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P101 .L3 1994</t>
        </is>
      </c>
      <c r="C2" t="inlineStr">
        <is>
          <t>0                      P  0101000L  3           1994</t>
        </is>
      </c>
      <c r="D2" t="inlineStr">
        <is>
          <t>Language / edited by Stephen Everson.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Cambridge ; New York : Cambridge University Press, 1994.</t>
        </is>
      </c>
      <c r="M2" t="inlineStr">
        <is>
          <t>1994</t>
        </is>
      </c>
      <c r="O2" t="inlineStr">
        <is>
          <t>eng</t>
        </is>
      </c>
      <c r="P2" t="inlineStr">
        <is>
          <t>enk</t>
        </is>
      </c>
      <c r="Q2" t="inlineStr">
        <is>
          <t>Companions to ancient thought ; 3</t>
        </is>
      </c>
      <c r="R2" t="inlineStr">
        <is>
          <t xml:space="preserve">P  </t>
        </is>
      </c>
      <c r="S2" t="n">
        <v>5</v>
      </c>
      <c r="T2" t="n">
        <v>5</v>
      </c>
      <c r="U2" t="inlineStr">
        <is>
          <t>1998-09-09</t>
        </is>
      </c>
      <c r="V2" t="inlineStr">
        <is>
          <t>1998-09-09</t>
        </is>
      </c>
      <c r="W2" t="inlineStr">
        <is>
          <t>1996-08-15</t>
        </is>
      </c>
      <c r="X2" t="inlineStr">
        <is>
          <t>1996-08-15</t>
        </is>
      </c>
      <c r="Y2" t="n">
        <v>407</v>
      </c>
      <c r="Z2" t="n">
        <v>268</v>
      </c>
      <c r="AA2" t="n">
        <v>274</v>
      </c>
      <c r="AB2" t="n">
        <v>3</v>
      </c>
      <c r="AC2" t="n">
        <v>3</v>
      </c>
      <c r="AD2" t="n">
        <v>21</v>
      </c>
      <c r="AE2" t="n">
        <v>21</v>
      </c>
      <c r="AF2" t="n">
        <v>3</v>
      </c>
      <c r="AG2" t="n">
        <v>3</v>
      </c>
      <c r="AH2" t="n">
        <v>8</v>
      </c>
      <c r="AI2" t="n">
        <v>8</v>
      </c>
      <c r="AJ2" t="n">
        <v>14</v>
      </c>
      <c r="AK2" t="n">
        <v>14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HYPERLINK("https://creighton-primo.hosted.exlibrisgroup.com/primo-explore/search?tab=default_tab&amp;search_scope=EVERYTHING&amp;vid=01CRU&amp;lang=en_US&amp;offset=0&amp;query=any,contains,991002225699702656","Catalog Record")</f>
        <v/>
      </c>
      <c r="AT2">
        <f>HYPERLINK("http://www.worldcat.org/oclc/28674919","WorldCat Record")</f>
        <v/>
      </c>
      <c r="AU2" t="inlineStr">
        <is>
          <t>55740820:eng</t>
        </is>
      </c>
      <c r="AV2" t="inlineStr">
        <is>
          <t>28674919</t>
        </is>
      </c>
      <c r="AW2" t="inlineStr">
        <is>
          <t>991002225699702656</t>
        </is>
      </c>
      <c r="AX2" t="inlineStr">
        <is>
          <t>991002225699702656</t>
        </is>
      </c>
      <c r="AY2" t="inlineStr">
        <is>
          <t>2271433680002656</t>
        </is>
      </c>
      <c r="AZ2" t="inlineStr">
        <is>
          <t>BOOK</t>
        </is>
      </c>
      <c r="BB2" t="inlineStr">
        <is>
          <t>9780521355384</t>
        </is>
      </c>
      <c r="BC2" t="inlineStr">
        <is>
          <t>32285002290319</t>
        </is>
      </c>
      <c r="BD2" t="inlineStr">
        <is>
          <t>893785874</t>
        </is>
      </c>
    </row>
    <row r="3">
      <c r="A3" t="inlineStr">
        <is>
          <t>No</t>
        </is>
      </c>
      <c r="B3" t="inlineStr">
        <is>
          <t>P1035 .C54 1987</t>
        </is>
      </c>
      <c r="C3" t="inlineStr">
        <is>
          <t>0                      P  1035000C  54          1987</t>
        </is>
      </c>
      <c r="D3" t="inlineStr">
        <is>
          <t>Linear B and related scripts / John Chadwick.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Chadwick, John, 1920-1998.</t>
        </is>
      </c>
      <c r="L3" t="inlineStr">
        <is>
          <t>Berkeley, CA : University of California Press ; London : Published for the Trustees of the British Museum by British Museum Publications, c1987.</t>
        </is>
      </c>
      <c r="M3" t="inlineStr">
        <is>
          <t>1987</t>
        </is>
      </c>
      <c r="O3" t="inlineStr">
        <is>
          <t>eng</t>
        </is>
      </c>
      <c r="P3" t="inlineStr">
        <is>
          <t>cau</t>
        </is>
      </c>
      <c r="Q3" t="inlineStr">
        <is>
          <t>Reading the past</t>
        </is>
      </c>
      <c r="R3" t="inlineStr">
        <is>
          <t xml:space="preserve">P  </t>
        </is>
      </c>
      <c r="S3" t="n">
        <v>6</v>
      </c>
      <c r="T3" t="n">
        <v>6</v>
      </c>
      <c r="U3" t="inlineStr">
        <is>
          <t>1999-09-13</t>
        </is>
      </c>
      <c r="V3" t="inlineStr">
        <is>
          <t>1999-09-13</t>
        </is>
      </c>
      <c r="W3" t="inlineStr">
        <is>
          <t>1992-11-13</t>
        </is>
      </c>
      <c r="X3" t="inlineStr">
        <is>
          <t>1992-11-13</t>
        </is>
      </c>
      <c r="Y3" t="n">
        <v>620</v>
      </c>
      <c r="Z3" t="n">
        <v>556</v>
      </c>
      <c r="AA3" t="n">
        <v>587</v>
      </c>
      <c r="AB3" t="n">
        <v>4</v>
      </c>
      <c r="AC3" t="n">
        <v>4</v>
      </c>
      <c r="AD3" t="n">
        <v>28</v>
      </c>
      <c r="AE3" t="n">
        <v>29</v>
      </c>
      <c r="AF3" t="n">
        <v>11</v>
      </c>
      <c r="AG3" t="n">
        <v>11</v>
      </c>
      <c r="AH3" t="n">
        <v>6</v>
      </c>
      <c r="AI3" t="n">
        <v>6</v>
      </c>
      <c r="AJ3" t="n">
        <v>15</v>
      </c>
      <c r="AK3" t="n">
        <v>16</v>
      </c>
      <c r="AL3" t="n">
        <v>3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HYPERLINK("http://catalog.hathitrust.org/Record/000846010","HathiTrust Record")</f>
        <v/>
      </c>
      <c r="AS3">
        <f>HYPERLINK("https://creighton-primo.hosted.exlibrisgroup.com/primo-explore/search?tab=default_tab&amp;search_scope=EVERYTHING&amp;vid=01CRU&amp;lang=en_US&amp;offset=0&amp;query=any,contains,991000909789702656","Catalog Record")</f>
        <v/>
      </c>
      <c r="AT3">
        <f>HYPERLINK("http://www.worldcat.org/oclc/14130420","WorldCat Record")</f>
        <v/>
      </c>
      <c r="AU3" t="inlineStr">
        <is>
          <t>143837521:eng</t>
        </is>
      </c>
      <c r="AV3" t="inlineStr">
        <is>
          <t>14130420</t>
        </is>
      </c>
      <c r="AW3" t="inlineStr">
        <is>
          <t>991000909789702656</t>
        </is>
      </c>
      <c r="AX3" t="inlineStr">
        <is>
          <t>991000909789702656</t>
        </is>
      </c>
      <c r="AY3" t="inlineStr">
        <is>
          <t>2265223680002656</t>
        </is>
      </c>
      <c r="AZ3" t="inlineStr">
        <is>
          <t>BOOK</t>
        </is>
      </c>
      <c r="BB3" t="inlineStr">
        <is>
          <t>9780520060197</t>
        </is>
      </c>
      <c r="BC3" t="inlineStr">
        <is>
          <t>32285001384857</t>
        </is>
      </c>
      <c r="BD3" t="inlineStr">
        <is>
          <t>893784625</t>
        </is>
      </c>
    </row>
    <row r="4">
      <c r="A4" t="inlineStr">
        <is>
          <t>No</t>
        </is>
      </c>
      <c r="B4" t="inlineStr">
        <is>
          <t>P1035 .G67</t>
        </is>
      </c>
      <c r="C4" t="inlineStr">
        <is>
          <t>0                      P  1035000G  67</t>
        </is>
      </c>
      <c r="D4" t="inlineStr">
        <is>
          <t>Evidence for the Minoan language, by Cyrus H. Gordon.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Gordon, Cyrus H. (Cyrus Herzl), 1908-2001.</t>
        </is>
      </c>
      <c r="L4" t="inlineStr">
        <is>
          <t>Ventnor, N.J., Ventnor Publishers [1966]</t>
        </is>
      </c>
      <c r="M4" t="inlineStr">
        <is>
          <t>1966</t>
        </is>
      </c>
      <c r="O4" t="inlineStr">
        <is>
          <t>eng</t>
        </is>
      </c>
      <c r="P4" t="inlineStr">
        <is>
          <t>___</t>
        </is>
      </c>
      <c r="R4" t="inlineStr">
        <is>
          <t xml:space="preserve">P  </t>
        </is>
      </c>
      <c r="S4" t="n">
        <v>2</v>
      </c>
      <c r="T4" t="n">
        <v>2</v>
      </c>
      <c r="U4" t="inlineStr">
        <is>
          <t>1999-09-13</t>
        </is>
      </c>
      <c r="V4" t="inlineStr">
        <is>
          <t>1999-09-13</t>
        </is>
      </c>
      <c r="W4" t="inlineStr">
        <is>
          <t>1993-04-06</t>
        </is>
      </c>
      <c r="X4" t="inlineStr">
        <is>
          <t>1993-04-06</t>
        </is>
      </c>
      <c r="Y4" t="n">
        <v>266</v>
      </c>
      <c r="Z4" t="n">
        <v>209</v>
      </c>
      <c r="AA4" t="n">
        <v>211</v>
      </c>
      <c r="AB4" t="n">
        <v>1</v>
      </c>
      <c r="AC4" t="n">
        <v>1</v>
      </c>
      <c r="AD4" t="n">
        <v>9</v>
      </c>
      <c r="AE4" t="n">
        <v>9</v>
      </c>
      <c r="AF4" t="n">
        <v>3</v>
      </c>
      <c r="AG4" t="n">
        <v>3</v>
      </c>
      <c r="AH4" t="n">
        <v>3</v>
      </c>
      <c r="AI4" t="n">
        <v>3</v>
      </c>
      <c r="AJ4" t="n">
        <v>6</v>
      </c>
      <c r="AK4" t="n">
        <v>6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HYPERLINK("http://catalog.hathitrust.org/Record/001181256","HathiTrust Record")</f>
        <v/>
      </c>
      <c r="AS4">
        <f>HYPERLINK("https://creighton-primo.hosted.exlibrisgroup.com/primo-explore/search?tab=default_tab&amp;search_scope=EVERYTHING&amp;vid=01CRU&amp;lang=en_US&amp;offset=0&amp;query=any,contains,991003223249702656","Catalog Record")</f>
        <v/>
      </c>
      <c r="AT4">
        <f>HYPERLINK("http://www.worldcat.org/oclc/748577","WorldCat Record")</f>
        <v/>
      </c>
      <c r="AU4" t="inlineStr">
        <is>
          <t>1830447:eng</t>
        </is>
      </c>
      <c r="AV4" t="inlineStr">
        <is>
          <t>748577</t>
        </is>
      </c>
      <c r="AW4" t="inlineStr">
        <is>
          <t>991003223249702656</t>
        </is>
      </c>
      <c r="AX4" t="inlineStr">
        <is>
          <t>991003223249702656</t>
        </is>
      </c>
      <c r="AY4" t="inlineStr">
        <is>
          <t>2254879640002656</t>
        </is>
      </c>
      <c r="AZ4" t="inlineStr">
        <is>
          <t>BOOK</t>
        </is>
      </c>
      <c r="BC4" t="inlineStr">
        <is>
          <t>32285001614279</t>
        </is>
      </c>
      <c r="BD4" t="inlineStr">
        <is>
          <t>893317758</t>
        </is>
      </c>
    </row>
    <row r="5">
      <c r="A5" t="inlineStr">
        <is>
          <t>No</t>
        </is>
      </c>
      <c r="B5" t="inlineStr">
        <is>
          <t>P1035 .P28</t>
        </is>
      </c>
      <c r="C5" t="inlineStr">
        <is>
          <t>0                      P  1035000P  28</t>
        </is>
      </c>
      <c r="D5" t="inlineStr">
        <is>
          <t>Minoan Linear A / by David W. Packard.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Packard, David W.</t>
        </is>
      </c>
      <c r="L5" t="inlineStr">
        <is>
          <t>Berkeley : University of California Press, 1974.</t>
        </is>
      </c>
      <c r="M5" t="inlineStr">
        <is>
          <t>1974</t>
        </is>
      </c>
      <c r="O5" t="inlineStr">
        <is>
          <t>eng</t>
        </is>
      </c>
      <c r="P5" t="inlineStr">
        <is>
          <t>cau</t>
        </is>
      </c>
      <c r="R5" t="inlineStr">
        <is>
          <t xml:space="preserve">P  </t>
        </is>
      </c>
      <c r="S5" t="n">
        <v>6</v>
      </c>
      <c r="T5" t="n">
        <v>6</v>
      </c>
      <c r="U5" t="inlineStr">
        <is>
          <t>1999-09-13</t>
        </is>
      </c>
      <c r="V5" t="inlineStr">
        <is>
          <t>1999-09-13</t>
        </is>
      </c>
      <c r="W5" t="inlineStr">
        <is>
          <t>1992-07-30</t>
        </is>
      </c>
      <c r="X5" t="inlineStr">
        <is>
          <t>1992-07-30</t>
        </is>
      </c>
      <c r="Y5" t="n">
        <v>399</v>
      </c>
      <c r="Z5" t="n">
        <v>310</v>
      </c>
      <c r="AA5" t="n">
        <v>311</v>
      </c>
      <c r="AB5" t="n">
        <v>2</v>
      </c>
      <c r="AC5" t="n">
        <v>2</v>
      </c>
      <c r="AD5" t="n">
        <v>13</v>
      </c>
      <c r="AE5" t="n">
        <v>13</v>
      </c>
      <c r="AF5" t="n">
        <v>3</v>
      </c>
      <c r="AG5" t="n">
        <v>3</v>
      </c>
      <c r="AH5" t="n">
        <v>4</v>
      </c>
      <c r="AI5" t="n">
        <v>4</v>
      </c>
      <c r="AJ5" t="n">
        <v>10</v>
      </c>
      <c r="AK5" t="n">
        <v>10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HYPERLINK("https://creighton-primo.hosted.exlibrisgroup.com/primo-explore/search?tab=default_tab&amp;search_scope=EVERYTHING&amp;vid=01CRU&amp;lang=en_US&amp;offset=0&amp;query=any,contains,991003503089702656","Catalog Record")</f>
        <v/>
      </c>
      <c r="AT5">
        <f>HYPERLINK("http://www.worldcat.org/oclc/1055287","WorldCat Record")</f>
        <v/>
      </c>
      <c r="AU5" t="inlineStr">
        <is>
          <t>1976946:eng</t>
        </is>
      </c>
      <c r="AV5" t="inlineStr">
        <is>
          <t>1055287</t>
        </is>
      </c>
      <c r="AW5" t="inlineStr">
        <is>
          <t>991003503089702656</t>
        </is>
      </c>
      <c r="AX5" t="inlineStr">
        <is>
          <t>991003503089702656</t>
        </is>
      </c>
      <c r="AY5" t="inlineStr">
        <is>
          <t>2271755920002656</t>
        </is>
      </c>
      <c r="AZ5" t="inlineStr">
        <is>
          <t>BOOK</t>
        </is>
      </c>
      <c r="BB5" t="inlineStr">
        <is>
          <t>9780520025806</t>
        </is>
      </c>
      <c r="BC5" t="inlineStr">
        <is>
          <t>32285001240604</t>
        </is>
      </c>
      <c r="BD5" t="inlineStr">
        <is>
          <t>893348744</t>
        </is>
      </c>
    </row>
    <row r="6">
      <c r="A6" t="inlineStr">
        <is>
          <t>No</t>
        </is>
      </c>
      <c r="B6" t="inlineStr">
        <is>
          <t>P1035 .P6 1964</t>
        </is>
      </c>
      <c r="C6" t="inlineStr">
        <is>
          <t>0                      P  1035000P  6           1964</t>
        </is>
      </c>
      <c r="D6" t="inlineStr">
        <is>
          <t>Aegean writing and Linear A / by Maurice Pope.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Pope, Maurice.</t>
        </is>
      </c>
      <c r="L6" t="inlineStr">
        <is>
          <t>Lund : [C. Bloms boktr., 1964]</t>
        </is>
      </c>
      <c r="M6" t="inlineStr">
        <is>
          <t>1964</t>
        </is>
      </c>
      <c r="O6" t="inlineStr">
        <is>
          <t>eng</t>
        </is>
      </c>
      <c r="P6" t="inlineStr">
        <is>
          <t xml:space="preserve">sw </t>
        </is>
      </c>
      <c r="Q6" t="inlineStr">
        <is>
          <t>Studies in Mediterranean archaeology ; v. 8</t>
        </is>
      </c>
      <c r="R6" t="inlineStr">
        <is>
          <t xml:space="preserve">P  </t>
        </is>
      </c>
      <c r="S6" t="n">
        <v>2</v>
      </c>
      <c r="T6" t="n">
        <v>2</v>
      </c>
      <c r="U6" t="inlineStr">
        <is>
          <t>1999-12-03</t>
        </is>
      </c>
      <c r="V6" t="inlineStr">
        <is>
          <t>1999-12-03</t>
        </is>
      </c>
      <c r="W6" t="inlineStr">
        <is>
          <t>1997-05-19</t>
        </is>
      </c>
      <c r="X6" t="inlineStr">
        <is>
          <t>1997-05-19</t>
        </is>
      </c>
      <c r="Y6" t="n">
        <v>163</v>
      </c>
      <c r="Z6" t="n">
        <v>115</v>
      </c>
      <c r="AA6" t="n">
        <v>116</v>
      </c>
      <c r="AB6" t="n">
        <v>1</v>
      </c>
      <c r="AC6" t="n">
        <v>1</v>
      </c>
      <c r="AD6" t="n">
        <v>6</v>
      </c>
      <c r="AE6" t="n">
        <v>6</v>
      </c>
      <c r="AF6" t="n">
        <v>0</v>
      </c>
      <c r="AG6" t="n">
        <v>0</v>
      </c>
      <c r="AH6" t="n">
        <v>2</v>
      </c>
      <c r="AI6" t="n">
        <v>2</v>
      </c>
      <c r="AJ6" t="n">
        <v>4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HYPERLINK("http://catalog.hathitrust.org/Record/007125316","HathiTrust Record")</f>
        <v/>
      </c>
      <c r="AS6">
        <f>HYPERLINK("https://creighton-primo.hosted.exlibrisgroup.com/primo-explore/search?tab=default_tab&amp;search_scope=EVERYTHING&amp;vid=01CRU&amp;lang=en_US&amp;offset=0&amp;query=any,contains,991003919729702656","Catalog Record")</f>
        <v/>
      </c>
      <c r="AT6">
        <f>HYPERLINK("http://www.worldcat.org/oclc/1867787","WorldCat Record")</f>
        <v/>
      </c>
      <c r="AU6" t="inlineStr">
        <is>
          <t>2706275:eng</t>
        </is>
      </c>
      <c r="AV6" t="inlineStr">
        <is>
          <t>1867787</t>
        </is>
      </c>
      <c r="AW6" t="inlineStr">
        <is>
          <t>991003919729702656</t>
        </is>
      </c>
      <c r="AX6" t="inlineStr">
        <is>
          <t>991003919729702656</t>
        </is>
      </c>
      <c r="AY6" t="inlineStr">
        <is>
          <t>2265661090002656</t>
        </is>
      </c>
      <c r="AZ6" t="inlineStr">
        <is>
          <t>BOOK</t>
        </is>
      </c>
      <c r="BC6" t="inlineStr">
        <is>
          <t>32285002609179</t>
        </is>
      </c>
      <c r="BD6" t="inlineStr">
        <is>
          <t>893881829</t>
        </is>
      </c>
    </row>
    <row r="7">
      <c r="A7" t="inlineStr">
        <is>
          <t>No</t>
        </is>
      </c>
      <c r="B7" t="inlineStr">
        <is>
          <t>P1038 .H66 1980</t>
        </is>
      </c>
      <c r="C7" t="inlineStr">
        <is>
          <t>0                      P  1038000H  66          1980</t>
        </is>
      </c>
      <c r="D7" t="inlineStr">
        <is>
          <t>Linear B : an introduction / J.T. Hooker.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Hooker, J. T.</t>
        </is>
      </c>
      <c r="L7" t="inlineStr">
        <is>
          <t>Bristol : Bristol Classical Press, 1980.</t>
        </is>
      </c>
      <c r="M7" t="inlineStr">
        <is>
          <t>1980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P  </t>
        </is>
      </c>
      <c r="S7" t="n">
        <v>1</v>
      </c>
      <c r="T7" t="n">
        <v>1</v>
      </c>
      <c r="U7" t="inlineStr">
        <is>
          <t>2009-04-14</t>
        </is>
      </c>
      <c r="V7" t="inlineStr">
        <is>
          <t>2009-04-14</t>
        </is>
      </c>
      <c r="W7" t="inlineStr">
        <is>
          <t>2009-04-14</t>
        </is>
      </c>
      <c r="X7" t="inlineStr">
        <is>
          <t>2009-04-14</t>
        </is>
      </c>
      <c r="Y7" t="n">
        <v>235</v>
      </c>
      <c r="Z7" t="n">
        <v>127</v>
      </c>
      <c r="AA7" t="n">
        <v>134</v>
      </c>
      <c r="AB7" t="n">
        <v>1</v>
      </c>
      <c r="AC7" t="n">
        <v>1</v>
      </c>
      <c r="AD7" t="n">
        <v>8</v>
      </c>
      <c r="AE7" t="n">
        <v>9</v>
      </c>
      <c r="AF7" t="n">
        <v>2</v>
      </c>
      <c r="AG7" t="n">
        <v>3</v>
      </c>
      <c r="AH7" t="n">
        <v>3</v>
      </c>
      <c r="AI7" t="n">
        <v>3</v>
      </c>
      <c r="AJ7" t="n">
        <v>5</v>
      </c>
      <c r="AK7" t="n">
        <v>6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HYPERLINK("http://catalog.hathitrust.org/Record/003817992","HathiTrust Record")</f>
        <v/>
      </c>
      <c r="AS7">
        <f>HYPERLINK("https://creighton-primo.hosted.exlibrisgroup.com/primo-explore/search?tab=default_tab&amp;search_scope=EVERYTHING&amp;vid=01CRU&amp;lang=en_US&amp;offset=0&amp;query=any,contains,991005307059702656","Catalog Record")</f>
        <v/>
      </c>
      <c r="AT7">
        <f>HYPERLINK("http://www.worldcat.org/oclc/7326206","WorldCat Record")</f>
        <v/>
      </c>
      <c r="AU7" t="inlineStr">
        <is>
          <t>866118232:eng</t>
        </is>
      </c>
      <c r="AV7" t="inlineStr">
        <is>
          <t>7326206</t>
        </is>
      </c>
      <c r="AW7" t="inlineStr">
        <is>
          <t>991005307059702656</t>
        </is>
      </c>
      <c r="AX7" t="inlineStr">
        <is>
          <t>991005307059702656</t>
        </is>
      </c>
      <c r="AY7" t="inlineStr">
        <is>
          <t>2269836740002656</t>
        </is>
      </c>
      <c r="AZ7" t="inlineStr">
        <is>
          <t>BOOK</t>
        </is>
      </c>
      <c r="BB7" t="inlineStr">
        <is>
          <t>9780906515624</t>
        </is>
      </c>
      <c r="BC7" t="inlineStr">
        <is>
          <t>32285005515126</t>
        </is>
      </c>
      <c r="BD7" t="inlineStr">
        <is>
          <t>893789774</t>
        </is>
      </c>
    </row>
    <row r="8">
      <c r="A8" t="inlineStr">
        <is>
          <t>No</t>
        </is>
      </c>
      <c r="B8" t="inlineStr">
        <is>
          <t>P105 .A43</t>
        </is>
      </c>
      <c r="C8" t="inlineStr">
        <is>
          <t>0                      P  0105000A  43</t>
        </is>
      </c>
      <c r="D8" t="inlineStr">
        <is>
          <t>Philosophy of language [by] William P. Alston.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Alston, William P.</t>
        </is>
      </c>
      <c r="L8" t="inlineStr">
        <is>
          <t>Englewood Cliffs, N.J., Prentice-Hall [1964]</t>
        </is>
      </c>
      <c r="M8" t="inlineStr">
        <is>
          <t>1964</t>
        </is>
      </c>
      <c r="O8" t="inlineStr">
        <is>
          <t>eng</t>
        </is>
      </c>
      <c r="P8" t="inlineStr">
        <is>
          <t>nju</t>
        </is>
      </c>
      <c r="Q8" t="inlineStr">
        <is>
          <t>Prentice-Hall foundations of philosophy series</t>
        </is>
      </c>
      <c r="R8" t="inlineStr">
        <is>
          <t xml:space="preserve">P  </t>
        </is>
      </c>
      <c r="S8" t="n">
        <v>5</v>
      </c>
      <c r="T8" t="n">
        <v>5</v>
      </c>
      <c r="U8" t="inlineStr">
        <is>
          <t>2002-04-21</t>
        </is>
      </c>
      <c r="V8" t="inlineStr">
        <is>
          <t>2002-04-21</t>
        </is>
      </c>
      <c r="W8" t="inlineStr">
        <is>
          <t>1997-08-18</t>
        </is>
      </c>
      <c r="X8" t="inlineStr">
        <is>
          <t>1997-08-18</t>
        </is>
      </c>
      <c r="Y8" t="n">
        <v>1262</v>
      </c>
      <c r="Z8" t="n">
        <v>977</v>
      </c>
      <c r="AA8" t="n">
        <v>989</v>
      </c>
      <c r="AB8" t="n">
        <v>8</v>
      </c>
      <c r="AC8" t="n">
        <v>8</v>
      </c>
      <c r="AD8" t="n">
        <v>47</v>
      </c>
      <c r="AE8" t="n">
        <v>48</v>
      </c>
      <c r="AF8" t="n">
        <v>18</v>
      </c>
      <c r="AG8" t="n">
        <v>19</v>
      </c>
      <c r="AH8" t="n">
        <v>9</v>
      </c>
      <c r="AI8" t="n">
        <v>9</v>
      </c>
      <c r="AJ8" t="n">
        <v>22</v>
      </c>
      <c r="AK8" t="n">
        <v>22</v>
      </c>
      <c r="AL8" t="n">
        <v>7</v>
      </c>
      <c r="AM8" t="n">
        <v>7</v>
      </c>
      <c r="AN8" t="n">
        <v>2</v>
      </c>
      <c r="AO8" t="n">
        <v>2</v>
      </c>
      <c r="AP8" t="inlineStr">
        <is>
          <t>No</t>
        </is>
      </c>
      <c r="AQ8" t="inlineStr">
        <is>
          <t>Yes</t>
        </is>
      </c>
      <c r="AR8">
        <f>HYPERLINK("http://catalog.hathitrust.org/Record/000849738","HathiTrust Record")</f>
        <v/>
      </c>
      <c r="AS8">
        <f>HYPERLINK("https://creighton-primo.hosted.exlibrisgroup.com/primo-explore/search?tab=default_tab&amp;search_scope=EVERYTHING&amp;vid=01CRU&amp;lang=en_US&amp;offset=0&amp;query=any,contains,991005354319702656","Catalog Record")</f>
        <v/>
      </c>
      <c r="AT8">
        <f>HYPERLINK("http://www.worldcat.org/oclc/306842","WorldCat Record")</f>
        <v/>
      </c>
      <c r="AU8" t="inlineStr">
        <is>
          <t>291929812:eng</t>
        </is>
      </c>
      <c r="AV8" t="inlineStr">
        <is>
          <t>306842</t>
        </is>
      </c>
      <c r="AW8" t="inlineStr">
        <is>
          <t>991005354319702656</t>
        </is>
      </c>
      <c r="AX8" t="inlineStr">
        <is>
          <t>991005354319702656</t>
        </is>
      </c>
      <c r="AY8" t="inlineStr">
        <is>
          <t>2266138130002656</t>
        </is>
      </c>
      <c r="AZ8" t="inlineStr">
        <is>
          <t>BOOK</t>
        </is>
      </c>
      <c r="BC8" t="inlineStr">
        <is>
          <t>32285003095816</t>
        </is>
      </c>
      <c r="BD8" t="inlineStr">
        <is>
          <t>893501742</t>
        </is>
      </c>
    </row>
    <row r="9">
      <c r="A9" t="inlineStr">
        <is>
          <t>No</t>
        </is>
      </c>
      <c r="B9" t="inlineStr">
        <is>
          <t>P105 .B58 1966</t>
        </is>
      </c>
      <c r="C9" t="inlineStr">
        <is>
          <t>0                      P  0105000B  58          1966</t>
        </is>
      </c>
      <c r="D9" t="inlineStr">
        <is>
          <t>Introduction to Handbook of American Indian languages [by] Franz Boas. Indian linguistic families of America north of Mexico [by] J. W. Powell. Edited by Preston Holder.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Boas, Franz, 1858-1942.</t>
        </is>
      </c>
      <c r="L9" t="inlineStr">
        <is>
          <t>Lincoln, University of Nebraska Press [1966]</t>
        </is>
      </c>
      <c r="M9" t="inlineStr">
        <is>
          <t>1966</t>
        </is>
      </c>
      <c r="O9" t="inlineStr">
        <is>
          <t>eng</t>
        </is>
      </c>
      <c r="P9" t="inlineStr">
        <is>
          <t>nbu</t>
        </is>
      </c>
      <c r="Q9" t="inlineStr">
        <is>
          <t>A Bison book, BB301</t>
        </is>
      </c>
      <c r="R9" t="inlineStr">
        <is>
          <t xml:space="preserve">P  </t>
        </is>
      </c>
      <c r="S9" t="n">
        <v>1</v>
      </c>
      <c r="T9" t="n">
        <v>1</v>
      </c>
      <c r="U9" t="inlineStr">
        <is>
          <t>2001-01-31</t>
        </is>
      </c>
      <c r="V9" t="inlineStr">
        <is>
          <t>2001-01-31</t>
        </is>
      </c>
      <c r="W9" t="inlineStr">
        <is>
          <t>1997-08-18</t>
        </is>
      </c>
      <c r="X9" t="inlineStr">
        <is>
          <t>1997-08-18</t>
        </is>
      </c>
      <c r="Y9" t="n">
        <v>772</v>
      </c>
      <c r="Z9" t="n">
        <v>699</v>
      </c>
      <c r="AA9" t="n">
        <v>929</v>
      </c>
      <c r="AB9" t="n">
        <v>13</v>
      </c>
      <c r="AC9" t="n">
        <v>16</v>
      </c>
      <c r="AD9" t="n">
        <v>24</v>
      </c>
      <c r="AE9" t="n">
        <v>39</v>
      </c>
      <c r="AF9" t="n">
        <v>5</v>
      </c>
      <c r="AG9" t="n">
        <v>11</v>
      </c>
      <c r="AH9" t="n">
        <v>5</v>
      </c>
      <c r="AI9" t="n">
        <v>9</v>
      </c>
      <c r="AJ9" t="n">
        <v>11</v>
      </c>
      <c r="AK9" t="n">
        <v>16</v>
      </c>
      <c r="AL9" t="n">
        <v>6</v>
      </c>
      <c r="AM9" t="n">
        <v>9</v>
      </c>
      <c r="AN9" t="n">
        <v>2</v>
      </c>
      <c r="AO9" t="n">
        <v>2</v>
      </c>
      <c r="AP9" t="inlineStr">
        <is>
          <t>No</t>
        </is>
      </c>
      <c r="AQ9" t="inlineStr">
        <is>
          <t>Yes</t>
        </is>
      </c>
      <c r="AR9">
        <f>HYPERLINK("http://catalog.hathitrust.org/Record/001180899","HathiTrust Record")</f>
        <v/>
      </c>
      <c r="AS9">
        <f>HYPERLINK("https://creighton-primo.hosted.exlibrisgroup.com/primo-explore/search?tab=default_tab&amp;search_scope=EVERYTHING&amp;vid=01CRU&amp;lang=en_US&amp;offset=0&amp;query=any,contains,991002265769702656","Catalog Record")</f>
        <v/>
      </c>
      <c r="AT9">
        <f>HYPERLINK("http://www.worldcat.org/oclc/306926","WorldCat Record")</f>
        <v/>
      </c>
      <c r="AU9" t="inlineStr">
        <is>
          <t>2830084498:eng</t>
        </is>
      </c>
      <c r="AV9" t="inlineStr">
        <is>
          <t>306926</t>
        </is>
      </c>
      <c r="AW9" t="inlineStr">
        <is>
          <t>991002265769702656</t>
        </is>
      </c>
      <c r="AX9" t="inlineStr">
        <is>
          <t>991002265769702656</t>
        </is>
      </c>
      <c r="AY9" t="inlineStr">
        <is>
          <t>2266154200002656</t>
        </is>
      </c>
      <c r="AZ9" t="inlineStr">
        <is>
          <t>BOOK</t>
        </is>
      </c>
      <c r="BC9" t="inlineStr">
        <is>
          <t>32285003095840</t>
        </is>
      </c>
      <c r="BD9" t="inlineStr">
        <is>
          <t>893773404</t>
        </is>
      </c>
    </row>
    <row r="10">
      <c r="A10" t="inlineStr">
        <is>
          <t>No</t>
        </is>
      </c>
      <c r="B10" t="inlineStr">
        <is>
          <t>P105 .C27</t>
        </is>
      </c>
      <c r="C10" t="inlineStr">
        <is>
          <t>0                      P  0105000C  27</t>
        </is>
      </c>
      <c r="D10" t="inlineStr">
        <is>
          <t>Language and thought / [by] John B. Carroll.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Carroll, John B. (John Bissell), 1916-2003.</t>
        </is>
      </c>
      <c r="L10" t="inlineStr">
        <is>
          <t>Englewood Cliffs, N.J. : Prentice-Hall, [1964]</t>
        </is>
      </c>
      <c r="M10" t="inlineStr">
        <is>
          <t>1964</t>
        </is>
      </c>
      <c r="O10" t="inlineStr">
        <is>
          <t>eng</t>
        </is>
      </c>
      <c r="P10" t="inlineStr">
        <is>
          <t>nju</t>
        </is>
      </c>
      <c r="Q10" t="inlineStr">
        <is>
          <t>Foundations of modern psychology series</t>
        </is>
      </c>
      <c r="R10" t="inlineStr">
        <is>
          <t xml:space="preserve">P  </t>
        </is>
      </c>
      <c r="S10" t="n">
        <v>3</v>
      </c>
      <c r="T10" t="n">
        <v>3</v>
      </c>
      <c r="U10" t="inlineStr">
        <is>
          <t>2002-03-07</t>
        </is>
      </c>
      <c r="V10" t="inlineStr">
        <is>
          <t>2002-03-07</t>
        </is>
      </c>
      <c r="W10" t="inlineStr">
        <is>
          <t>1992-02-10</t>
        </is>
      </c>
      <c r="X10" t="inlineStr">
        <is>
          <t>1992-02-10</t>
        </is>
      </c>
      <c r="Y10" t="n">
        <v>1206</v>
      </c>
      <c r="Z10" t="n">
        <v>939</v>
      </c>
      <c r="AA10" t="n">
        <v>943</v>
      </c>
      <c r="AB10" t="n">
        <v>8</v>
      </c>
      <c r="AC10" t="n">
        <v>8</v>
      </c>
      <c r="AD10" t="n">
        <v>37</v>
      </c>
      <c r="AE10" t="n">
        <v>37</v>
      </c>
      <c r="AF10" t="n">
        <v>15</v>
      </c>
      <c r="AG10" t="n">
        <v>15</v>
      </c>
      <c r="AH10" t="n">
        <v>6</v>
      </c>
      <c r="AI10" t="n">
        <v>6</v>
      </c>
      <c r="AJ10" t="n">
        <v>18</v>
      </c>
      <c r="AK10" t="n">
        <v>18</v>
      </c>
      <c r="AL10" t="n">
        <v>7</v>
      </c>
      <c r="AM10" t="n">
        <v>7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HYPERLINK("http://catalog.hathitrust.org/Record/001281110","HathiTrust Record")</f>
        <v/>
      </c>
      <c r="AS10">
        <f>HYPERLINK("https://creighton-primo.hosted.exlibrisgroup.com/primo-explore/search?tab=default_tab&amp;search_scope=EVERYTHING&amp;vid=01CRU&amp;lang=en_US&amp;offset=0&amp;query=any,contains,991005254769702656","Catalog Record")</f>
        <v/>
      </c>
      <c r="AT10">
        <f>HYPERLINK("http://www.worldcat.org/oclc/306931","WorldCat Record")</f>
        <v/>
      </c>
      <c r="AU10" t="inlineStr">
        <is>
          <t>181946703:eng</t>
        </is>
      </c>
      <c r="AV10" t="inlineStr">
        <is>
          <t>306931</t>
        </is>
      </c>
      <c r="AW10" t="inlineStr">
        <is>
          <t>991005254769702656</t>
        </is>
      </c>
      <c r="AX10" t="inlineStr">
        <is>
          <t>991005254769702656</t>
        </is>
      </c>
      <c r="AY10" t="inlineStr">
        <is>
          <t>2266152990002656</t>
        </is>
      </c>
      <c r="AZ10" t="inlineStr">
        <is>
          <t>BOOK</t>
        </is>
      </c>
      <c r="BC10" t="inlineStr">
        <is>
          <t>32285000954569</t>
        </is>
      </c>
      <c r="BD10" t="inlineStr">
        <is>
          <t>893777112</t>
        </is>
      </c>
    </row>
    <row r="11">
      <c r="A11" t="inlineStr">
        <is>
          <t>No</t>
        </is>
      </c>
      <c r="B11" t="inlineStr">
        <is>
          <t>P105 .G44</t>
        </is>
      </c>
      <c r="C11" t="inlineStr">
        <is>
          <t>0                      P  0105000G  44</t>
        </is>
      </c>
      <c r="D11" t="inlineStr">
        <is>
          <t>The limits of language.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Gibson, W. Walker editor.</t>
        </is>
      </c>
      <c r="L11" t="inlineStr">
        <is>
          <t>New York, Hill and Wang [1962]</t>
        </is>
      </c>
      <c r="M11" t="inlineStr">
        <is>
          <t>1962</t>
        </is>
      </c>
      <c r="O11" t="inlineStr">
        <is>
          <t>eng</t>
        </is>
      </c>
      <c r="P11" t="inlineStr">
        <is>
          <t>nyu</t>
        </is>
      </c>
      <c r="Q11" t="inlineStr">
        <is>
          <t>American century series ; AC51</t>
        </is>
      </c>
      <c r="R11" t="inlineStr">
        <is>
          <t xml:space="preserve">P  </t>
        </is>
      </c>
      <c r="S11" t="n">
        <v>2</v>
      </c>
      <c r="T11" t="n">
        <v>2</v>
      </c>
      <c r="U11" t="inlineStr">
        <is>
          <t>2006-11-25</t>
        </is>
      </c>
      <c r="V11" t="inlineStr">
        <is>
          <t>2006-11-25</t>
        </is>
      </c>
      <c r="W11" t="inlineStr">
        <is>
          <t>1997-08-18</t>
        </is>
      </c>
      <c r="X11" t="inlineStr">
        <is>
          <t>1997-08-18</t>
        </is>
      </c>
      <c r="Y11" t="n">
        <v>484</v>
      </c>
      <c r="Z11" t="n">
        <v>441</v>
      </c>
      <c r="AA11" t="n">
        <v>444</v>
      </c>
      <c r="AB11" t="n">
        <v>5</v>
      </c>
      <c r="AC11" t="n">
        <v>5</v>
      </c>
      <c r="AD11" t="n">
        <v>22</v>
      </c>
      <c r="AE11" t="n">
        <v>22</v>
      </c>
      <c r="AF11" t="n">
        <v>8</v>
      </c>
      <c r="AG11" t="n">
        <v>8</v>
      </c>
      <c r="AH11" t="n">
        <v>5</v>
      </c>
      <c r="AI11" t="n">
        <v>5</v>
      </c>
      <c r="AJ11" t="n">
        <v>12</v>
      </c>
      <c r="AK11" t="n">
        <v>12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R11">
        <f>HYPERLINK("http://catalog.hathitrust.org/Record/001897967","HathiTrust Record")</f>
        <v/>
      </c>
      <c r="AS11">
        <f>HYPERLINK("https://creighton-primo.hosted.exlibrisgroup.com/primo-explore/search?tab=default_tab&amp;search_scope=EVERYTHING&amp;vid=01CRU&amp;lang=en_US&amp;offset=0&amp;query=any,contains,991002265509702656","Catalog Record")</f>
        <v/>
      </c>
      <c r="AT11">
        <f>HYPERLINK("http://www.worldcat.org/oclc/306827","WorldCat Record")</f>
        <v/>
      </c>
      <c r="AU11" t="inlineStr">
        <is>
          <t>1359581:eng</t>
        </is>
      </c>
      <c r="AV11" t="inlineStr">
        <is>
          <t>306827</t>
        </is>
      </c>
      <c r="AW11" t="inlineStr">
        <is>
          <t>991002265509702656</t>
        </is>
      </c>
      <c r="AX11" t="inlineStr">
        <is>
          <t>991002265509702656</t>
        </is>
      </c>
      <c r="AY11" t="inlineStr">
        <is>
          <t>2266147190002656</t>
        </is>
      </c>
      <c r="AZ11" t="inlineStr">
        <is>
          <t>BOOK</t>
        </is>
      </c>
      <c r="BC11" t="inlineStr">
        <is>
          <t>32285003095931</t>
        </is>
      </c>
      <c r="BD11" t="inlineStr">
        <is>
          <t>893866993</t>
        </is>
      </c>
    </row>
    <row r="12">
      <c r="A12" t="inlineStr">
        <is>
          <t>No</t>
        </is>
      </c>
      <c r="B12" t="inlineStr">
        <is>
          <t>P105 .H518 1971</t>
        </is>
      </c>
      <c r="C12" t="inlineStr">
        <is>
          <t>0                      P  0105000H  518         1971</t>
        </is>
      </c>
      <c r="D12" t="inlineStr">
        <is>
          <t>Prolegómenos a una teoría del lenguaje / Louis Hjelmslev. Versión española de José Luis Díaz de Liaño.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Hjelmslev, Louis, 1899-1965.</t>
        </is>
      </c>
      <c r="L12" t="inlineStr">
        <is>
          <t>Madrid : Editorial Gredos, [1971]</t>
        </is>
      </c>
      <c r="M12" t="inlineStr">
        <is>
          <t>1971</t>
        </is>
      </c>
      <c r="O12" t="inlineStr">
        <is>
          <t>spa</t>
        </is>
      </c>
      <c r="P12" t="inlineStr">
        <is>
          <t xml:space="preserve">sp </t>
        </is>
      </c>
      <c r="Q12" t="inlineStr">
        <is>
          <t>Biblioteca románica hispánica. 2. Estudios y ensayos, 155</t>
        </is>
      </c>
      <c r="R12" t="inlineStr">
        <is>
          <t xml:space="preserve">P  </t>
        </is>
      </c>
      <c r="S12" t="n">
        <v>1</v>
      </c>
      <c r="T12" t="n">
        <v>1</v>
      </c>
      <c r="U12" t="inlineStr">
        <is>
          <t>2003-05-01</t>
        </is>
      </c>
      <c r="V12" t="inlineStr">
        <is>
          <t>2003-05-01</t>
        </is>
      </c>
      <c r="W12" t="inlineStr">
        <is>
          <t>2003-05-01</t>
        </is>
      </c>
      <c r="X12" t="inlineStr">
        <is>
          <t>2003-05-01</t>
        </is>
      </c>
      <c r="Y12" t="n">
        <v>103</v>
      </c>
      <c r="Z12" t="n">
        <v>68</v>
      </c>
      <c r="AA12" t="n">
        <v>88</v>
      </c>
      <c r="AB12" t="n">
        <v>2</v>
      </c>
      <c r="AC12" t="n">
        <v>2</v>
      </c>
      <c r="AD12" t="n">
        <v>3</v>
      </c>
      <c r="AE12" t="n">
        <v>3</v>
      </c>
      <c r="AF12" t="n">
        <v>0</v>
      </c>
      <c r="AG12" t="n">
        <v>0</v>
      </c>
      <c r="AH12" t="n">
        <v>2</v>
      </c>
      <c r="AI12" t="n">
        <v>2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HYPERLINK("http://catalog.hathitrust.org/Record/001434767","HathiTrust Record")</f>
        <v/>
      </c>
      <c r="AS12">
        <f>HYPERLINK("https://creighton-primo.hosted.exlibrisgroup.com/primo-explore/search?tab=default_tab&amp;search_scope=EVERYTHING&amp;vid=01CRU&amp;lang=en_US&amp;offset=0&amp;query=any,contains,991004044689702656","Catalog Record")</f>
        <v/>
      </c>
      <c r="AT12">
        <f>HYPERLINK("http://www.worldcat.org/oclc/330179","WorldCat Record")</f>
        <v/>
      </c>
      <c r="AU12" t="inlineStr">
        <is>
          <t>4494926253:spa</t>
        </is>
      </c>
      <c r="AV12" t="inlineStr">
        <is>
          <t>330179</t>
        </is>
      </c>
      <c r="AW12" t="inlineStr">
        <is>
          <t>991004044689702656</t>
        </is>
      </c>
      <c r="AX12" t="inlineStr">
        <is>
          <t>991004044689702656</t>
        </is>
      </c>
      <c r="AY12" t="inlineStr">
        <is>
          <t>2259109040002656</t>
        </is>
      </c>
      <c r="AZ12" t="inlineStr">
        <is>
          <t>BOOK</t>
        </is>
      </c>
      <c r="BC12" t="inlineStr">
        <is>
          <t>32285004683248</t>
        </is>
      </c>
      <c r="BD12" t="inlineStr">
        <is>
          <t>893228863</t>
        </is>
      </c>
    </row>
    <row r="13">
      <c r="A13" t="inlineStr">
        <is>
          <t>No</t>
        </is>
      </c>
      <c r="B13" t="inlineStr">
        <is>
          <t>P105 .V913</t>
        </is>
      </c>
      <c r="C13" t="inlineStr">
        <is>
          <t>0                      P  0105000V  913</t>
        </is>
      </c>
      <c r="D13" t="inlineStr">
        <is>
          <t>Thought and language / edited and translated by Eugenia Hanfmann and Gertrude Vakar.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Vygotskiĭ, L. S. (Lev Semenovich), 1896-1934.</t>
        </is>
      </c>
      <c r="L13" t="inlineStr">
        <is>
          <t>Cambridge : M.I.T. Press, Massachusetts Institute of Technology, 1962.</t>
        </is>
      </c>
      <c r="M13" t="inlineStr">
        <is>
          <t>1962</t>
        </is>
      </c>
      <c r="O13" t="inlineStr">
        <is>
          <t>eng</t>
        </is>
      </c>
      <c r="P13" t="inlineStr">
        <is>
          <t>mau</t>
        </is>
      </c>
      <c r="Q13" t="inlineStr">
        <is>
          <t>Studies in communication</t>
        </is>
      </c>
      <c r="R13" t="inlineStr">
        <is>
          <t xml:space="preserve">P  </t>
        </is>
      </c>
      <c r="S13" t="n">
        <v>6</v>
      </c>
      <c r="T13" t="n">
        <v>6</v>
      </c>
      <c r="U13" t="inlineStr">
        <is>
          <t>2007-11-06</t>
        </is>
      </c>
      <c r="V13" t="inlineStr">
        <is>
          <t>2007-11-06</t>
        </is>
      </c>
      <c r="W13" t="inlineStr">
        <is>
          <t>1991-09-06</t>
        </is>
      </c>
      <c r="X13" t="inlineStr">
        <is>
          <t>1991-09-06</t>
        </is>
      </c>
      <c r="Y13" t="n">
        <v>1293</v>
      </c>
      <c r="Z13" t="n">
        <v>1055</v>
      </c>
      <c r="AA13" t="n">
        <v>1133</v>
      </c>
      <c r="AB13" t="n">
        <v>10</v>
      </c>
      <c r="AC13" t="n">
        <v>10</v>
      </c>
      <c r="AD13" t="n">
        <v>51</v>
      </c>
      <c r="AE13" t="n">
        <v>53</v>
      </c>
      <c r="AF13" t="n">
        <v>24</v>
      </c>
      <c r="AG13" t="n">
        <v>25</v>
      </c>
      <c r="AH13" t="n">
        <v>8</v>
      </c>
      <c r="AI13" t="n">
        <v>9</v>
      </c>
      <c r="AJ13" t="n">
        <v>22</v>
      </c>
      <c r="AK13" t="n">
        <v>24</v>
      </c>
      <c r="AL13" t="n">
        <v>8</v>
      </c>
      <c r="AM13" t="n">
        <v>8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HYPERLINK("http://catalog.hathitrust.org/Record/000403743","HathiTrust Record")</f>
        <v/>
      </c>
      <c r="AS13">
        <f>HYPERLINK("https://creighton-primo.hosted.exlibrisgroup.com/primo-explore/search?tab=default_tab&amp;search_scope=EVERYTHING&amp;vid=01CRU&amp;lang=en_US&amp;offset=0&amp;query=any,contains,991002296929702656","Catalog Record")</f>
        <v/>
      </c>
      <c r="AT13">
        <f>HYPERLINK("http://www.worldcat.org/oclc/316164","WorldCat Record")</f>
        <v/>
      </c>
      <c r="AU13" t="inlineStr">
        <is>
          <t>603860:eng</t>
        </is>
      </c>
      <c r="AV13" t="inlineStr">
        <is>
          <t>316164</t>
        </is>
      </c>
      <c r="AW13" t="inlineStr">
        <is>
          <t>991002296929702656</t>
        </is>
      </c>
      <c r="AX13" t="inlineStr">
        <is>
          <t>991002296929702656</t>
        </is>
      </c>
      <c r="AY13" t="inlineStr">
        <is>
          <t>2269462080002656</t>
        </is>
      </c>
      <c r="AZ13" t="inlineStr">
        <is>
          <t>BOOK</t>
        </is>
      </c>
      <c r="BC13" t="inlineStr">
        <is>
          <t>32285000736164</t>
        </is>
      </c>
      <c r="BD13" t="inlineStr">
        <is>
          <t>893504247</t>
        </is>
      </c>
    </row>
    <row r="14">
      <c r="A14" t="inlineStr">
        <is>
          <t>No</t>
        </is>
      </c>
      <c r="B14" t="inlineStr">
        <is>
          <t>P105 .W57</t>
        </is>
      </c>
      <c r="C14" t="inlineStr">
        <is>
          <t>0                      P  0105000W  57</t>
        </is>
      </c>
      <c r="D14" t="inlineStr">
        <is>
          <t>The burning fountain; a study in the language of symbolism.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Wheelwright, Philip, 1901-1970.</t>
        </is>
      </c>
      <c r="L14" t="inlineStr">
        <is>
          <t>Bloomington, Indiana University Press, 1954.</t>
        </is>
      </c>
      <c r="M14" t="inlineStr">
        <is>
          <t>1954</t>
        </is>
      </c>
      <c r="O14" t="inlineStr">
        <is>
          <t>eng</t>
        </is>
      </c>
      <c r="P14" t="inlineStr">
        <is>
          <t>inu</t>
        </is>
      </c>
      <c r="R14" t="inlineStr">
        <is>
          <t xml:space="preserve">P  </t>
        </is>
      </c>
      <c r="S14" t="n">
        <v>1</v>
      </c>
      <c r="T14" t="n">
        <v>1</v>
      </c>
      <c r="U14" t="inlineStr">
        <is>
          <t>2005-11-17</t>
        </is>
      </c>
      <c r="V14" t="inlineStr">
        <is>
          <t>2005-11-17</t>
        </is>
      </c>
      <c r="W14" t="inlineStr">
        <is>
          <t>1997-08-18</t>
        </is>
      </c>
      <c r="X14" t="inlineStr">
        <is>
          <t>1997-08-18</t>
        </is>
      </c>
      <c r="Y14" t="n">
        <v>757</v>
      </c>
      <c r="Z14" t="n">
        <v>690</v>
      </c>
      <c r="AA14" t="n">
        <v>1062</v>
      </c>
      <c r="AB14" t="n">
        <v>7</v>
      </c>
      <c r="AC14" t="n">
        <v>9</v>
      </c>
      <c r="AD14" t="n">
        <v>41</v>
      </c>
      <c r="AE14" t="n">
        <v>53</v>
      </c>
      <c r="AF14" t="n">
        <v>18</v>
      </c>
      <c r="AG14" t="n">
        <v>22</v>
      </c>
      <c r="AH14" t="n">
        <v>8</v>
      </c>
      <c r="AI14" t="n">
        <v>10</v>
      </c>
      <c r="AJ14" t="n">
        <v>19</v>
      </c>
      <c r="AK14" t="n">
        <v>25</v>
      </c>
      <c r="AL14" t="n">
        <v>6</v>
      </c>
      <c r="AM14" t="n">
        <v>8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HYPERLINK("http://catalog.hathitrust.org/Record/001180917","HathiTrust Record")</f>
        <v/>
      </c>
      <c r="AS14">
        <f>HYPERLINK("https://creighton-primo.hosted.exlibrisgroup.com/primo-explore/search?tab=default_tab&amp;search_scope=EVERYTHING&amp;vid=01CRU&amp;lang=en_US&amp;offset=0&amp;query=any,contains,991002265109702656","Catalog Record")</f>
        <v/>
      </c>
      <c r="AT14">
        <f>HYPERLINK("http://www.worldcat.org/oclc/306623","WorldCat Record")</f>
        <v/>
      </c>
      <c r="AU14" t="inlineStr">
        <is>
          <t>1090706057:eng</t>
        </is>
      </c>
      <c r="AV14" t="inlineStr">
        <is>
          <t>306623</t>
        </is>
      </c>
      <c r="AW14" t="inlineStr">
        <is>
          <t>991002265109702656</t>
        </is>
      </c>
      <c r="AX14" t="inlineStr">
        <is>
          <t>991002265109702656</t>
        </is>
      </c>
      <c r="AY14" t="inlineStr">
        <is>
          <t>2266098470002656</t>
        </is>
      </c>
      <c r="AZ14" t="inlineStr">
        <is>
          <t>BOOK</t>
        </is>
      </c>
      <c r="BC14" t="inlineStr">
        <is>
          <t>32285003096160</t>
        </is>
      </c>
      <c r="BD14" t="inlineStr">
        <is>
          <t>893251007</t>
        </is>
      </c>
    </row>
    <row r="15">
      <c r="A15" t="inlineStr">
        <is>
          <t>No</t>
        </is>
      </c>
      <c r="B15" t="inlineStr">
        <is>
          <t>P106 .A2 1982</t>
        </is>
      </c>
      <c r="C15" t="inlineStr">
        <is>
          <t>0                      P  0106000A  2           1982</t>
        </is>
      </c>
      <c r="D15" t="inlineStr">
        <is>
          <t>From Locke to Saussure : essays on the study of language and intellectual history / Hans Aarsleff.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Aarsleff, Hans.</t>
        </is>
      </c>
      <c r="L15" t="inlineStr">
        <is>
          <t>Minneapolis : University of Minnesota Press, c1982.</t>
        </is>
      </c>
      <c r="M15" t="inlineStr">
        <is>
          <t>1982</t>
        </is>
      </c>
      <c r="O15" t="inlineStr">
        <is>
          <t>eng</t>
        </is>
      </c>
      <c r="P15" t="inlineStr">
        <is>
          <t>mnu</t>
        </is>
      </c>
      <c r="R15" t="inlineStr">
        <is>
          <t xml:space="preserve">P  </t>
        </is>
      </c>
      <c r="S15" t="n">
        <v>4</v>
      </c>
      <c r="T15" t="n">
        <v>4</v>
      </c>
      <c r="U15" t="inlineStr">
        <is>
          <t>2003-12-03</t>
        </is>
      </c>
      <c r="V15" t="inlineStr">
        <is>
          <t>2003-12-03</t>
        </is>
      </c>
      <c r="W15" t="inlineStr">
        <is>
          <t>1992-05-29</t>
        </is>
      </c>
      <c r="X15" t="inlineStr">
        <is>
          <t>1992-05-29</t>
        </is>
      </c>
      <c r="Y15" t="n">
        <v>643</v>
      </c>
      <c r="Z15" t="n">
        <v>541</v>
      </c>
      <c r="AA15" t="n">
        <v>552</v>
      </c>
      <c r="AB15" t="n">
        <v>4</v>
      </c>
      <c r="AC15" t="n">
        <v>4</v>
      </c>
      <c r="AD15" t="n">
        <v>27</v>
      </c>
      <c r="AE15" t="n">
        <v>27</v>
      </c>
      <c r="AF15" t="n">
        <v>9</v>
      </c>
      <c r="AG15" t="n">
        <v>9</v>
      </c>
      <c r="AH15" t="n">
        <v>6</v>
      </c>
      <c r="AI15" t="n">
        <v>6</v>
      </c>
      <c r="AJ15" t="n">
        <v>17</v>
      </c>
      <c r="AK15" t="n">
        <v>17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HYPERLINK("https://creighton-primo.hosted.exlibrisgroup.com/primo-explore/search?tab=default_tab&amp;search_scope=EVERYTHING&amp;vid=01CRU&amp;lang=en_US&amp;offset=0&amp;query=any,contains,991005131229702656","Catalog Record")</f>
        <v/>
      </c>
      <c r="AT15">
        <f>HYPERLINK("http://www.worldcat.org/oclc/7572619","WorldCat Record")</f>
        <v/>
      </c>
      <c r="AU15" t="inlineStr">
        <is>
          <t>9463546987:eng</t>
        </is>
      </c>
      <c r="AV15" t="inlineStr">
        <is>
          <t>7572619</t>
        </is>
      </c>
      <c r="AW15" t="inlineStr">
        <is>
          <t>991005131229702656</t>
        </is>
      </c>
      <c r="AX15" t="inlineStr">
        <is>
          <t>991005131229702656</t>
        </is>
      </c>
      <c r="AY15" t="inlineStr">
        <is>
          <t>2269902330002656</t>
        </is>
      </c>
      <c r="AZ15" t="inlineStr">
        <is>
          <t>BOOK</t>
        </is>
      </c>
      <c r="BB15" t="inlineStr">
        <is>
          <t>9780816609642</t>
        </is>
      </c>
      <c r="BC15" t="inlineStr">
        <is>
          <t>32285001119543</t>
        </is>
      </c>
      <c r="BD15" t="inlineStr">
        <is>
          <t>893619500</t>
        </is>
      </c>
    </row>
    <row r="16">
      <c r="A16" t="inlineStr">
        <is>
          <t>No</t>
        </is>
      </c>
      <c r="B16" t="inlineStr">
        <is>
          <t>P106 .B373 1994</t>
        </is>
      </c>
      <c r="C16" t="inlineStr">
        <is>
          <t>0                      P  0106000B  373         1994</t>
        </is>
      </c>
      <c r="D16" t="inlineStr">
        <is>
          <t>Basic topics in the philosophy of language / edited by Robert M. Harnish.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Englewood Cliffs, N.J. : Prentice Hall, c1994.</t>
        </is>
      </c>
      <c r="M16" t="inlineStr">
        <is>
          <t>1994</t>
        </is>
      </c>
      <c r="O16" t="inlineStr">
        <is>
          <t>eng</t>
        </is>
      </c>
      <c r="P16" t="inlineStr">
        <is>
          <t>nju</t>
        </is>
      </c>
      <c r="R16" t="inlineStr">
        <is>
          <t xml:space="preserve">P  </t>
        </is>
      </c>
      <c r="S16" t="n">
        <v>2</v>
      </c>
      <c r="T16" t="n">
        <v>2</v>
      </c>
      <c r="U16" t="inlineStr">
        <is>
          <t>2008-12-17</t>
        </is>
      </c>
      <c r="V16" t="inlineStr">
        <is>
          <t>2008-12-17</t>
        </is>
      </c>
      <c r="W16" t="inlineStr">
        <is>
          <t>2008-12-17</t>
        </is>
      </c>
      <c r="X16" t="inlineStr">
        <is>
          <t>2008-12-17</t>
        </is>
      </c>
      <c r="Y16" t="n">
        <v>93</v>
      </c>
      <c r="Z16" t="n">
        <v>66</v>
      </c>
      <c r="AA16" t="n">
        <v>71</v>
      </c>
      <c r="AB16" t="n">
        <v>2</v>
      </c>
      <c r="AC16" t="n">
        <v>2</v>
      </c>
      <c r="AD16" t="n">
        <v>4</v>
      </c>
      <c r="AE16" t="n">
        <v>4</v>
      </c>
      <c r="AF16" t="n">
        <v>0</v>
      </c>
      <c r="AG16" t="n">
        <v>0</v>
      </c>
      <c r="AH16" t="n">
        <v>1</v>
      </c>
      <c r="AI16" t="n">
        <v>1</v>
      </c>
      <c r="AJ16" t="n">
        <v>2</v>
      </c>
      <c r="AK16" t="n">
        <v>2</v>
      </c>
      <c r="AL16" t="n">
        <v>1</v>
      </c>
      <c r="AM16" t="n">
        <v>1</v>
      </c>
      <c r="AN16" t="n">
        <v>1</v>
      </c>
      <c r="AO16" t="n">
        <v>1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HYPERLINK("https://creighton-primo.hosted.exlibrisgroup.com/primo-explore/search?tab=default_tab&amp;search_scope=EVERYTHING&amp;vid=01CRU&amp;lang=en_US&amp;offset=0&amp;query=any,contains,991005285249702656","Catalog Record")</f>
        <v/>
      </c>
      <c r="AT16">
        <f>HYPERLINK("http://www.worldcat.org/oclc/28928299","WorldCat Record")</f>
        <v/>
      </c>
      <c r="AU16" t="inlineStr">
        <is>
          <t>55749393:eng</t>
        </is>
      </c>
      <c r="AV16" t="inlineStr">
        <is>
          <t>28928299</t>
        </is>
      </c>
      <c r="AW16" t="inlineStr">
        <is>
          <t>991005285249702656</t>
        </is>
      </c>
      <c r="AX16" t="inlineStr">
        <is>
          <t>991005285249702656</t>
        </is>
      </c>
      <c r="AY16" t="inlineStr">
        <is>
          <t>2270156000002656</t>
        </is>
      </c>
      <c r="AZ16" t="inlineStr">
        <is>
          <t>BOOK</t>
        </is>
      </c>
      <c r="BB16" t="inlineStr">
        <is>
          <t>9780131505094</t>
        </is>
      </c>
      <c r="BC16" t="inlineStr">
        <is>
          <t>32285005474373</t>
        </is>
      </c>
      <c r="BD16" t="inlineStr">
        <is>
          <t>893443702</t>
        </is>
      </c>
    </row>
    <row r="17">
      <c r="A17" t="inlineStr">
        <is>
          <t>No</t>
        </is>
      </c>
      <c r="B17" t="inlineStr">
        <is>
          <t>P106 .B467 1996</t>
        </is>
      </c>
      <c r="C17" t="inlineStr">
        <is>
          <t>0                      P  0106000B  467         1996</t>
        </is>
      </c>
      <c r="D17" t="inlineStr">
        <is>
          <t>Language and human behavior / Derek Bickerton.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Bickerton, Derek.</t>
        </is>
      </c>
      <c r="L17" t="inlineStr">
        <is>
          <t>Seattle : University of Washington Press, 1996, c1995.</t>
        </is>
      </c>
      <c r="M17" t="inlineStr">
        <is>
          <t>1996</t>
        </is>
      </c>
      <c r="O17" t="inlineStr">
        <is>
          <t>eng</t>
        </is>
      </c>
      <c r="P17" t="inlineStr">
        <is>
          <t>wau</t>
        </is>
      </c>
      <c r="Q17" t="inlineStr">
        <is>
          <t>The Jessie and John Danz lectures</t>
        </is>
      </c>
      <c r="R17" t="inlineStr">
        <is>
          <t xml:space="preserve">P  </t>
        </is>
      </c>
      <c r="S17" t="n">
        <v>6</v>
      </c>
      <c r="T17" t="n">
        <v>6</v>
      </c>
      <c r="U17" t="inlineStr">
        <is>
          <t>2005-03-10</t>
        </is>
      </c>
      <c r="V17" t="inlineStr">
        <is>
          <t>2005-03-10</t>
        </is>
      </c>
      <c r="W17" t="inlineStr">
        <is>
          <t>1996-06-11</t>
        </is>
      </c>
      <c r="X17" t="inlineStr">
        <is>
          <t>1996-06-11</t>
        </is>
      </c>
      <c r="Y17" t="n">
        <v>820</v>
      </c>
      <c r="Z17" t="n">
        <v>720</v>
      </c>
      <c r="AA17" t="n">
        <v>899</v>
      </c>
      <c r="AB17" t="n">
        <v>6</v>
      </c>
      <c r="AC17" t="n">
        <v>7</v>
      </c>
      <c r="AD17" t="n">
        <v>36</v>
      </c>
      <c r="AE17" t="n">
        <v>42</v>
      </c>
      <c r="AF17" t="n">
        <v>15</v>
      </c>
      <c r="AG17" t="n">
        <v>18</v>
      </c>
      <c r="AH17" t="n">
        <v>9</v>
      </c>
      <c r="AI17" t="n">
        <v>10</v>
      </c>
      <c r="AJ17" t="n">
        <v>16</v>
      </c>
      <c r="AK17" t="n">
        <v>18</v>
      </c>
      <c r="AL17" t="n">
        <v>5</v>
      </c>
      <c r="AM17" t="n">
        <v>6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HYPERLINK("https://creighton-primo.hosted.exlibrisgroup.com/primo-explore/search?tab=default_tab&amp;search_scope=EVERYTHING&amp;vid=01CRU&amp;lang=en_US&amp;offset=0&amp;query=any,contains,991002496659702656","Catalog Record")</f>
        <v/>
      </c>
      <c r="AT17">
        <f>HYPERLINK("http://www.worldcat.org/oclc/32468951","WorldCat Record")</f>
        <v/>
      </c>
      <c r="AU17" t="inlineStr">
        <is>
          <t>23793629:eng</t>
        </is>
      </c>
      <c r="AV17" t="inlineStr">
        <is>
          <t>32468951</t>
        </is>
      </c>
      <c r="AW17" t="inlineStr">
        <is>
          <t>991002496659702656</t>
        </is>
      </c>
      <c r="AX17" t="inlineStr">
        <is>
          <t>991002496659702656</t>
        </is>
      </c>
      <c r="AY17" t="inlineStr">
        <is>
          <t>2266074240002656</t>
        </is>
      </c>
      <c r="AZ17" t="inlineStr">
        <is>
          <t>BOOK</t>
        </is>
      </c>
      <c r="BB17" t="inlineStr">
        <is>
          <t>9780295974576</t>
        </is>
      </c>
      <c r="BC17" t="inlineStr">
        <is>
          <t>32285002190766</t>
        </is>
      </c>
      <c r="BD17" t="inlineStr">
        <is>
          <t>893597522</t>
        </is>
      </c>
    </row>
    <row r="18">
      <c r="A18" t="inlineStr">
        <is>
          <t>No</t>
        </is>
      </c>
      <c r="B18" t="inlineStr">
        <is>
          <t>P106 .B48 1984</t>
        </is>
      </c>
      <c r="C18" t="inlineStr">
        <is>
          <t>0                      P  0106000B  48          1984</t>
        </is>
      </c>
      <c r="D18" t="inlineStr">
        <is>
          <t>Spreading the word : groundings in the philosophy of language / by Simon Blackburn.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No</t>
        </is>
      </c>
      <c r="J18" t="inlineStr">
        <is>
          <t>0</t>
        </is>
      </c>
      <c r="K18" t="inlineStr">
        <is>
          <t>Blackburn, Simon, 1944-</t>
        </is>
      </c>
      <c r="L18" t="inlineStr">
        <is>
          <t>Oxford [Oxfordshire] : Clarendon Press ; New York : Oxford University Press, c1984.</t>
        </is>
      </c>
      <c r="M18" t="inlineStr">
        <is>
          <t>1984</t>
        </is>
      </c>
      <c r="O18" t="inlineStr">
        <is>
          <t>eng</t>
        </is>
      </c>
      <c r="P18" t="inlineStr">
        <is>
          <t>enk</t>
        </is>
      </c>
      <c r="R18" t="inlineStr">
        <is>
          <t xml:space="preserve">P  </t>
        </is>
      </c>
      <c r="S18" t="n">
        <v>5</v>
      </c>
      <c r="T18" t="n">
        <v>5</v>
      </c>
      <c r="U18" t="inlineStr">
        <is>
          <t>2001-08-02</t>
        </is>
      </c>
      <c r="V18" t="inlineStr">
        <is>
          <t>2001-08-02</t>
        </is>
      </c>
      <c r="W18" t="inlineStr">
        <is>
          <t>1993-04-01</t>
        </is>
      </c>
      <c r="X18" t="inlineStr">
        <is>
          <t>1994-10-05</t>
        </is>
      </c>
      <c r="Y18" t="n">
        <v>752</v>
      </c>
      <c r="Z18" t="n">
        <v>545</v>
      </c>
      <c r="AA18" t="n">
        <v>550</v>
      </c>
      <c r="AB18" t="n">
        <v>4</v>
      </c>
      <c r="AC18" t="n">
        <v>4</v>
      </c>
      <c r="AD18" t="n">
        <v>27</v>
      </c>
      <c r="AE18" t="n">
        <v>27</v>
      </c>
      <c r="AF18" t="n">
        <v>10</v>
      </c>
      <c r="AG18" t="n">
        <v>10</v>
      </c>
      <c r="AH18" t="n">
        <v>8</v>
      </c>
      <c r="AI18" t="n">
        <v>8</v>
      </c>
      <c r="AJ18" t="n">
        <v>16</v>
      </c>
      <c r="AK18" t="n">
        <v>16</v>
      </c>
      <c r="AL18" t="n">
        <v>2</v>
      </c>
      <c r="AM18" t="n">
        <v>2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HYPERLINK("https://creighton-primo.hosted.exlibrisgroup.com/primo-explore/search?tab=default_tab&amp;search_scope=EVERYTHING&amp;vid=01CRU&amp;lang=en_US&amp;offset=0&amp;query=any,contains,991001626229702656","Catalog Record")</f>
        <v/>
      </c>
      <c r="AT18">
        <f>HYPERLINK("http://www.worldcat.org/oclc/9828613","WorldCat Record")</f>
        <v/>
      </c>
      <c r="AU18" t="inlineStr">
        <is>
          <t>796477997:eng</t>
        </is>
      </c>
      <c r="AV18" t="inlineStr">
        <is>
          <t>9828613</t>
        </is>
      </c>
      <c r="AW18" t="inlineStr">
        <is>
          <t>991001626229702656</t>
        </is>
      </c>
      <c r="AX18" t="inlineStr">
        <is>
          <t>991001626229702656</t>
        </is>
      </c>
      <c r="AY18" t="inlineStr">
        <is>
          <t>2269493390002656</t>
        </is>
      </c>
      <c r="AZ18" t="inlineStr">
        <is>
          <t>BOOK</t>
        </is>
      </c>
      <c r="BB18" t="inlineStr">
        <is>
          <t>9780198246503</t>
        </is>
      </c>
      <c r="BC18" t="inlineStr">
        <is>
          <t>32285001612927</t>
        </is>
      </c>
      <c r="BD18" t="inlineStr">
        <is>
          <t>893328237</t>
        </is>
      </c>
    </row>
    <row r="19">
      <c r="A19" t="inlineStr">
        <is>
          <t>No</t>
        </is>
      </c>
      <c r="B19" t="inlineStr">
        <is>
          <t>P106 .B665 1997</t>
        </is>
      </c>
      <c r="C19" t="inlineStr">
        <is>
          <t>0                      P  0106000B  665         1997</t>
        </is>
      </c>
      <c r="D19" t="inlineStr">
        <is>
          <t>Speech and system / Peter Bornedal.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Bornedal, Peter.</t>
        </is>
      </c>
      <c r="L19" t="inlineStr">
        <is>
          <t>Copenhagen : Museum Tusculanum Press, 1997.</t>
        </is>
      </c>
      <c r="M19" t="inlineStr">
        <is>
          <t>1997</t>
        </is>
      </c>
      <c r="O19" t="inlineStr">
        <is>
          <t>eng</t>
        </is>
      </c>
      <c r="P19" t="inlineStr">
        <is>
          <t xml:space="preserve">dk </t>
        </is>
      </c>
      <c r="R19" t="inlineStr">
        <is>
          <t xml:space="preserve">P  </t>
        </is>
      </c>
      <c r="S19" t="n">
        <v>1</v>
      </c>
      <c r="T19" t="n">
        <v>1</v>
      </c>
      <c r="U19" t="inlineStr">
        <is>
          <t>2001-06-12</t>
        </is>
      </c>
      <c r="V19" t="inlineStr">
        <is>
          <t>2001-06-12</t>
        </is>
      </c>
      <c r="W19" t="inlineStr">
        <is>
          <t>2001-06-12</t>
        </is>
      </c>
      <c r="X19" t="inlineStr">
        <is>
          <t>2001-06-12</t>
        </is>
      </c>
      <c r="Y19" t="n">
        <v>78</v>
      </c>
      <c r="Z19" t="n">
        <v>48</v>
      </c>
      <c r="AA19" t="n">
        <v>48</v>
      </c>
      <c r="AB19" t="n">
        <v>1</v>
      </c>
      <c r="AC19" t="n">
        <v>1</v>
      </c>
      <c r="AD19" t="n">
        <v>2</v>
      </c>
      <c r="AE19" t="n">
        <v>2</v>
      </c>
      <c r="AF19" t="n">
        <v>0</v>
      </c>
      <c r="AG19" t="n">
        <v>0</v>
      </c>
      <c r="AH19" t="n">
        <v>1</v>
      </c>
      <c r="AI19" t="n">
        <v>1</v>
      </c>
      <c r="AJ19" t="n">
        <v>2</v>
      </c>
      <c r="AK19" t="n">
        <v>2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HYPERLINK("https://creighton-primo.hosted.exlibrisgroup.com/primo-explore/search?tab=default_tab&amp;search_scope=EVERYTHING&amp;vid=01CRU&amp;lang=en_US&amp;offset=0&amp;query=any,contains,991003506569702656","Catalog Record")</f>
        <v/>
      </c>
      <c r="AT19">
        <f>HYPERLINK("http://www.worldcat.org/oclc/39824596","WorldCat Record")</f>
        <v/>
      </c>
      <c r="AU19" t="inlineStr">
        <is>
          <t>42046985:eng</t>
        </is>
      </c>
      <c r="AV19" t="inlineStr">
        <is>
          <t>39824596</t>
        </is>
      </c>
      <c r="AW19" t="inlineStr">
        <is>
          <t>991003506569702656</t>
        </is>
      </c>
      <c r="AX19" t="inlineStr">
        <is>
          <t>991003506569702656</t>
        </is>
      </c>
      <c r="AY19" t="inlineStr">
        <is>
          <t>2265694340002656</t>
        </is>
      </c>
      <c r="AZ19" t="inlineStr">
        <is>
          <t>BOOK</t>
        </is>
      </c>
      <c r="BB19" t="inlineStr">
        <is>
          <t>9788772893525</t>
        </is>
      </c>
      <c r="BC19" t="inlineStr">
        <is>
          <t>32285004326749</t>
        </is>
      </c>
      <c r="BD19" t="inlineStr">
        <is>
          <t>893330358</t>
        </is>
      </c>
    </row>
    <row r="20">
      <c r="A20" t="inlineStr">
        <is>
          <t>No</t>
        </is>
      </c>
      <c r="B20" t="inlineStr">
        <is>
          <t>P106 .B694 1994</t>
        </is>
      </c>
      <c r="C20" t="inlineStr">
        <is>
          <t>0                      P  0106000B  694         1994</t>
        </is>
      </c>
      <c r="D20" t="inlineStr">
        <is>
          <t>Making it explicit : reasoning, representing, and discursive commitment / Robert B. Brandom.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Brandom, Robert.</t>
        </is>
      </c>
      <c r="L20" t="inlineStr">
        <is>
          <t>Cambridge, Mass. : Harvard University Press, 1994.</t>
        </is>
      </c>
      <c r="M20" t="inlineStr">
        <is>
          <t>1994</t>
        </is>
      </c>
      <c r="O20" t="inlineStr">
        <is>
          <t>eng</t>
        </is>
      </c>
      <c r="P20" t="inlineStr">
        <is>
          <t>mau</t>
        </is>
      </c>
      <c r="R20" t="inlineStr">
        <is>
          <t xml:space="preserve">P  </t>
        </is>
      </c>
      <c r="S20" t="n">
        <v>7</v>
      </c>
      <c r="T20" t="n">
        <v>7</v>
      </c>
      <c r="U20" t="inlineStr">
        <is>
          <t>2010-12-31</t>
        </is>
      </c>
      <c r="V20" t="inlineStr">
        <is>
          <t>2010-12-31</t>
        </is>
      </c>
      <c r="W20" t="inlineStr">
        <is>
          <t>1999-10-12</t>
        </is>
      </c>
      <c r="X20" t="inlineStr">
        <is>
          <t>1999-10-12</t>
        </is>
      </c>
      <c r="Y20" t="n">
        <v>430</v>
      </c>
      <c r="Z20" t="n">
        <v>285</v>
      </c>
      <c r="AA20" t="n">
        <v>359</v>
      </c>
      <c r="AB20" t="n">
        <v>4</v>
      </c>
      <c r="AC20" t="n">
        <v>4</v>
      </c>
      <c r="AD20" t="n">
        <v>20</v>
      </c>
      <c r="AE20" t="n">
        <v>22</v>
      </c>
      <c r="AF20" t="n">
        <v>3</v>
      </c>
      <c r="AG20" t="n">
        <v>4</v>
      </c>
      <c r="AH20" t="n">
        <v>7</v>
      </c>
      <c r="AI20" t="n">
        <v>8</v>
      </c>
      <c r="AJ20" t="n">
        <v>13</v>
      </c>
      <c r="AK20" t="n">
        <v>13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HYPERLINK("http://catalog.hathitrust.org/Record/002906716","HathiTrust Record")</f>
        <v/>
      </c>
      <c r="AS20">
        <f>HYPERLINK("https://creighton-primo.hosted.exlibrisgroup.com/primo-explore/search?tab=default_tab&amp;search_scope=EVERYTHING&amp;vid=01CRU&amp;lang=en_US&amp;offset=0&amp;query=any,contains,991002287949702656","Catalog Record")</f>
        <v/>
      </c>
      <c r="AT20">
        <f>HYPERLINK("http://www.worldcat.org/oclc/29667963","WorldCat Record")</f>
        <v/>
      </c>
      <c r="AU20" t="inlineStr">
        <is>
          <t>480059618:eng</t>
        </is>
      </c>
      <c r="AV20" t="inlineStr">
        <is>
          <t>29667963</t>
        </is>
      </c>
      <c r="AW20" t="inlineStr">
        <is>
          <t>991002287949702656</t>
        </is>
      </c>
      <c r="AX20" t="inlineStr">
        <is>
          <t>991002287949702656</t>
        </is>
      </c>
      <c r="AY20" t="inlineStr">
        <is>
          <t>2271641740002656</t>
        </is>
      </c>
      <c r="AZ20" t="inlineStr">
        <is>
          <t>BOOK</t>
        </is>
      </c>
      <c r="BB20" t="inlineStr">
        <is>
          <t>9780674543195</t>
        </is>
      </c>
      <c r="BC20" t="inlineStr">
        <is>
          <t>32285003594768</t>
        </is>
      </c>
      <c r="BD20" t="inlineStr">
        <is>
          <t>893408920</t>
        </is>
      </c>
    </row>
    <row r="21">
      <c r="A21" t="inlineStr">
        <is>
          <t>No</t>
        </is>
      </c>
      <c r="B21" t="inlineStr">
        <is>
          <t>P106 .C5</t>
        </is>
      </c>
      <c r="C21" t="inlineStr">
        <is>
          <t>0                      P  0106000C  5</t>
        </is>
      </c>
      <c r="D21" t="inlineStr">
        <is>
          <t>Language and symbolic systems.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Chao, Yuen Ren, 1892-1982.</t>
        </is>
      </c>
      <c r="L21" t="inlineStr">
        <is>
          <t>Cambridge, Cambridge U.P., 1968.</t>
        </is>
      </c>
      <c r="M21" t="inlineStr">
        <is>
          <t>1968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P  </t>
        </is>
      </c>
      <c r="S21" t="n">
        <v>7</v>
      </c>
      <c r="T21" t="n">
        <v>7</v>
      </c>
      <c r="U21" t="inlineStr">
        <is>
          <t>2008-04-28</t>
        </is>
      </c>
      <c r="V21" t="inlineStr">
        <is>
          <t>2008-04-28</t>
        </is>
      </c>
      <c r="W21" t="inlineStr">
        <is>
          <t>1997-08-18</t>
        </is>
      </c>
      <c r="X21" t="inlineStr">
        <is>
          <t>1997-08-18</t>
        </is>
      </c>
      <c r="Y21" t="n">
        <v>860</v>
      </c>
      <c r="Z21" t="n">
        <v>640</v>
      </c>
      <c r="AA21" t="n">
        <v>650</v>
      </c>
      <c r="AB21" t="n">
        <v>4</v>
      </c>
      <c r="AC21" t="n">
        <v>4</v>
      </c>
      <c r="AD21" t="n">
        <v>26</v>
      </c>
      <c r="AE21" t="n">
        <v>26</v>
      </c>
      <c r="AF21" t="n">
        <v>6</v>
      </c>
      <c r="AG21" t="n">
        <v>6</v>
      </c>
      <c r="AH21" t="n">
        <v>8</v>
      </c>
      <c r="AI21" t="n">
        <v>8</v>
      </c>
      <c r="AJ21" t="n">
        <v>15</v>
      </c>
      <c r="AK21" t="n">
        <v>15</v>
      </c>
      <c r="AL21" t="n">
        <v>3</v>
      </c>
      <c r="AM21" t="n">
        <v>3</v>
      </c>
      <c r="AN21" t="n">
        <v>1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HYPERLINK("https://creighton-primo.hosted.exlibrisgroup.com/primo-explore/search?tab=default_tab&amp;search_scope=EVERYTHING&amp;vid=01CRU&amp;lang=en_US&amp;offset=0&amp;query=any,contains,991002257029702656","Catalog Record")</f>
        <v/>
      </c>
      <c r="AT21">
        <f>HYPERLINK("http://www.worldcat.org/oclc/302110","WorldCat Record")</f>
        <v/>
      </c>
      <c r="AU21" t="inlineStr">
        <is>
          <t>47696246:eng</t>
        </is>
      </c>
      <c r="AV21" t="inlineStr">
        <is>
          <t>302110</t>
        </is>
      </c>
      <c r="AW21" t="inlineStr">
        <is>
          <t>991002257029702656</t>
        </is>
      </c>
      <c r="AX21" t="inlineStr">
        <is>
          <t>991002257029702656</t>
        </is>
      </c>
      <c r="AY21" t="inlineStr">
        <is>
          <t>2271993760002656</t>
        </is>
      </c>
      <c r="AZ21" t="inlineStr">
        <is>
          <t>BOOK</t>
        </is>
      </c>
      <c r="BB21" t="inlineStr">
        <is>
          <t>9780521046169</t>
        </is>
      </c>
      <c r="BC21" t="inlineStr">
        <is>
          <t>32285003096251</t>
        </is>
      </c>
      <c r="BD21" t="inlineStr">
        <is>
          <t>893609647</t>
        </is>
      </c>
    </row>
    <row r="22">
      <c r="A22" t="inlineStr">
        <is>
          <t>No</t>
        </is>
      </c>
      <c r="B22" t="inlineStr">
        <is>
          <t>P106 .C5945 1997</t>
        </is>
      </c>
      <c r="C22" t="inlineStr">
        <is>
          <t>0                      P  0106000C  5945        1997</t>
        </is>
      </c>
      <c r="D22" t="inlineStr">
        <is>
          <t>A companion to the philosophy of language / edited by Bob Hale and Crispin Wright.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Oxford ; Malden, Mass. : Blackwell, 1997.</t>
        </is>
      </c>
      <c r="M22" t="inlineStr">
        <is>
          <t>1997</t>
        </is>
      </c>
      <c r="O22" t="inlineStr">
        <is>
          <t>eng</t>
        </is>
      </c>
      <c r="P22" t="inlineStr">
        <is>
          <t>enk</t>
        </is>
      </c>
      <c r="Q22" t="inlineStr">
        <is>
          <t>Blackwell companions to philosophy</t>
        </is>
      </c>
      <c r="R22" t="inlineStr">
        <is>
          <t xml:space="preserve">P  </t>
        </is>
      </c>
      <c r="S22" t="n">
        <v>7</v>
      </c>
      <c r="T22" t="n">
        <v>7</v>
      </c>
      <c r="U22" t="inlineStr">
        <is>
          <t>2001-04-27</t>
        </is>
      </c>
      <c r="V22" t="inlineStr">
        <is>
          <t>2001-04-27</t>
        </is>
      </c>
      <c r="W22" t="inlineStr">
        <is>
          <t>1997-10-01</t>
        </is>
      </c>
      <c r="X22" t="inlineStr">
        <is>
          <t>1997-10-01</t>
        </is>
      </c>
      <c r="Y22" t="n">
        <v>540</v>
      </c>
      <c r="Z22" t="n">
        <v>385</v>
      </c>
      <c r="AA22" t="n">
        <v>1042</v>
      </c>
      <c r="AB22" t="n">
        <v>3</v>
      </c>
      <c r="AC22" t="n">
        <v>4</v>
      </c>
      <c r="AD22" t="n">
        <v>20</v>
      </c>
      <c r="AE22" t="n">
        <v>29</v>
      </c>
      <c r="AF22" t="n">
        <v>6</v>
      </c>
      <c r="AG22" t="n">
        <v>10</v>
      </c>
      <c r="AH22" t="n">
        <v>9</v>
      </c>
      <c r="AI22" t="n">
        <v>10</v>
      </c>
      <c r="AJ22" t="n">
        <v>8</v>
      </c>
      <c r="AK22" t="n">
        <v>12</v>
      </c>
      <c r="AL22" t="n">
        <v>2</v>
      </c>
      <c r="AM22" t="n">
        <v>3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HYPERLINK("https://creighton-primo.hosted.exlibrisgroup.com/primo-explore/search?tab=default_tab&amp;search_scope=EVERYTHING&amp;vid=01CRU&amp;lang=en_US&amp;offset=0&amp;query=any,contains,991005424679702656","Catalog Record")</f>
        <v/>
      </c>
      <c r="AT22">
        <f>HYPERLINK("http://www.worldcat.org/oclc/35285462","WorldCat Record")</f>
        <v/>
      </c>
      <c r="AU22" t="inlineStr">
        <is>
          <t>413000229:eng</t>
        </is>
      </c>
      <c r="AV22" t="inlineStr">
        <is>
          <t>35285462</t>
        </is>
      </c>
      <c r="AW22" t="inlineStr">
        <is>
          <t>991005424679702656</t>
        </is>
      </c>
      <c r="AX22" t="inlineStr">
        <is>
          <t>991005424679702656</t>
        </is>
      </c>
      <c r="AY22" t="inlineStr">
        <is>
          <t>2259280700002656</t>
        </is>
      </c>
      <c r="AZ22" t="inlineStr">
        <is>
          <t>BOOK</t>
        </is>
      </c>
      <c r="BB22" t="inlineStr">
        <is>
          <t>9780631167570</t>
        </is>
      </c>
      <c r="BC22" t="inlineStr">
        <is>
          <t>32285003251724</t>
        </is>
      </c>
      <c r="BD22" t="inlineStr">
        <is>
          <t>893811101</t>
        </is>
      </c>
    </row>
    <row r="23">
      <c r="A23" t="inlineStr">
        <is>
          <t>No</t>
        </is>
      </c>
      <c r="B23" t="inlineStr">
        <is>
          <t>P106 .H284</t>
        </is>
      </c>
      <c r="C23" t="inlineStr">
        <is>
          <t>0                      P  0106000H  284</t>
        </is>
      </c>
      <c r="D23" t="inlineStr">
        <is>
          <t>Why does language matter to philosophy? / Ian Hacking.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Hacking, Ian.</t>
        </is>
      </c>
      <c r="L23" t="inlineStr">
        <is>
          <t>Cambridge ; New York : Cambridge University Press, 1975.</t>
        </is>
      </c>
      <c r="M23" t="inlineStr">
        <is>
          <t>1975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P  </t>
        </is>
      </c>
      <c r="S23" t="n">
        <v>4</v>
      </c>
      <c r="T23" t="n">
        <v>4</v>
      </c>
      <c r="U23" t="inlineStr">
        <is>
          <t>2008-02-05</t>
        </is>
      </c>
      <c r="V23" t="inlineStr">
        <is>
          <t>2008-02-05</t>
        </is>
      </c>
      <c r="W23" t="inlineStr">
        <is>
          <t>1997-08-18</t>
        </is>
      </c>
      <c r="X23" t="inlineStr">
        <is>
          <t>1997-08-18</t>
        </is>
      </c>
      <c r="Y23" t="n">
        <v>904</v>
      </c>
      <c r="Z23" t="n">
        <v>678</v>
      </c>
      <c r="AA23" t="n">
        <v>692</v>
      </c>
      <c r="AB23" t="n">
        <v>4</v>
      </c>
      <c r="AC23" t="n">
        <v>4</v>
      </c>
      <c r="AD23" t="n">
        <v>40</v>
      </c>
      <c r="AE23" t="n">
        <v>41</v>
      </c>
      <c r="AF23" t="n">
        <v>15</v>
      </c>
      <c r="AG23" t="n">
        <v>16</v>
      </c>
      <c r="AH23" t="n">
        <v>9</v>
      </c>
      <c r="AI23" t="n">
        <v>9</v>
      </c>
      <c r="AJ23" t="n">
        <v>23</v>
      </c>
      <c r="AK23" t="n">
        <v>23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HYPERLINK("http://catalog.hathitrust.org/Record/000770956","HathiTrust Record")</f>
        <v/>
      </c>
      <c r="AS23">
        <f>HYPERLINK("https://creighton-primo.hosted.exlibrisgroup.com/primo-explore/search?tab=default_tab&amp;search_scope=EVERYTHING&amp;vid=01CRU&amp;lang=en_US&amp;offset=0&amp;query=any,contains,991003892849702656","Catalog Record")</f>
        <v/>
      </c>
      <c r="AT23">
        <f>HYPERLINK("http://www.worldcat.org/oclc/1800530","WorldCat Record")</f>
        <v/>
      </c>
      <c r="AU23" t="inlineStr">
        <is>
          <t>503309:eng</t>
        </is>
      </c>
      <c r="AV23" t="inlineStr">
        <is>
          <t>1800530</t>
        </is>
      </c>
      <c r="AW23" t="inlineStr">
        <is>
          <t>991003892849702656</t>
        </is>
      </c>
      <c r="AX23" t="inlineStr">
        <is>
          <t>991003892849702656</t>
        </is>
      </c>
      <c r="AY23" t="inlineStr">
        <is>
          <t>2270371600002656</t>
        </is>
      </c>
      <c r="AZ23" t="inlineStr">
        <is>
          <t>BOOK</t>
        </is>
      </c>
      <c r="BB23" t="inlineStr">
        <is>
          <t>9780521209236</t>
        </is>
      </c>
      <c r="BC23" t="inlineStr">
        <is>
          <t>32285003096376</t>
        </is>
      </c>
      <c r="BD23" t="inlineStr">
        <is>
          <t>893806407</t>
        </is>
      </c>
    </row>
    <row r="24">
      <c r="A24" t="inlineStr">
        <is>
          <t>No</t>
        </is>
      </c>
      <c r="B24" t="inlineStr">
        <is>
          <t>P106 .H328 1996</t>
        </is>
      </c>
      <c r="C24" t="inlineStr">
        <is>
          <t>0                      P  0106000H  328         1996</t>
        </is>
      </c>
      <c r="D24" t="inlineStr">
        <is>
          <t>The language connection : philosophy and linguistics / Roy Harris ; preface by Ray Monk.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Harris, Roy, 1931-</t>
        </is>
      </c>
      <c r="L24" t="inlineStr">
        <is>
          <t>Bristol, U.K. : Thoemmes Press, 1996.</t>
        </is>
      </c>
      <c r="M24" t="inlineStr">
        <is>
          <t>1996</t>
        </is>
      </c>
      <c r="O24" t="inlineStr">
        <is>
          <t>eng</t>
        </is>
      </c>
      <c r="P24" t="inlineStr">
        <is>
          <t>enk</t>
        </is>
      </c>
      <c r="Q24" t="inlineStr">
        <is>
          <t>Bristol introductions</t>
        </is>
      </c>
      <c r="R24" t="inlineStr">
        <is>
          <t xml:space="preserve">P  </t>
        </is>
      </c>
      <c r="S24" t="n">
        <v>7</v>
      </c>
      <c r="T24" t="n">
        <v>7</v>
      </c>
      <c r="U24" t="inlineStr">
        <is>
          <t>2010-08-07</t>
        </is>
      </c>
      <c r="V24" t="inlineStr">
        <is>
          <t>2010-08-07</t>
        </is>
      </c>
      <c r="W24" t="inlineStr">
        <is>
          <t>1998-03-26</t>
        </is>
      </c>
      <c r="X24" t="inlineStr">
        <is>
          <t>1998-03-26</t>
        </is>
      </c>
      <c r="Y24" t="n">
        <v>211</v>
      </c>
      <c r="Z24" t="n">
        <v>138</v>
      </c>
      <c r="AA24" t="n">
        <v>144</v>
      </c>
      <c r="AB24" t="n">
        <v>3</v>
      </c>
      <c r="AC24" t="n">
        <v>3</v>
      </c>
      <c r="AD24" t="n">
        <v>11</v>
      </c>
      <c r="AE24" t="n">
        <v>11</v>
      </c>
      <c r="AF24" t="n">
        <v>2</v>
      </c>
      <c r="AG24" t="n">
        <v>2</v>
      </c>
      <c r="AH24" t="n">
        <v>5</v>
      </c>
      <c r="AI24" t="n">
        <v>5</v>
      </c>
      <c r="AJ24" t="n">
        <v>6</v>
      </c>
      <c r="AK24" t="n">
        <v>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HYPERLINK("http://catalog.hathitrust.org/Record/101977982","HathiTrust Record")</f>
        <v/>
      </c>
      <c r="AS24">
        <f>HYPERLINK("https://creighton-primo.hosted.exlibrisgroup.com/primo-explore/search?tab=default_tab&amp;search_scope=EVERYTHING&amp;vid=01CRU&amp;lang=en_US&amp;offset=0&amp;query=any,contains,991005425119702656","Catalog Record")</f>
        <v/>
      </c>
      <c r="AT24">
        <f>HYPERLINK("http://www.worldcat.org/oclc/35824321","WorldCat Record")</f>
        <v/>
      </c>
      <c r="AU24" t="inlineStr">
        <is>
          <t>25327107:eng</t>
        </is>
      </c>
      <c r="AV24" t="inlineStr">
        <is>
          <t>35824321</t>
        </is>
      </c>
      <c r="AW24" t="inlineStr">
        <is>
          <t>991005425119702656</t>
        </is>
      </c>
      <c r="AX24" t="inlineStr">
        <is>
          <t>991005425119702656</t>
        </is>
      </c>
      <c r="AY24" t="inlineStr">
        <is>
          <t>2260054370002656</t>
        </is>
      </c>
      <c r="AZ24" t="inlineStr">
        <is>
          <t>BOOK</t>
        </is>
      </c>
      <c r="BB24" t="inlineStr">
        <is>
          <t>9781855064973</t>
        </is>
      </c>
      <c r="BC24" t="inlineStr">
        <is>
          <t>32285003381042</t>
        </is>
      </c>
      <c r="BD24" t="inlineStr">
        <is>
          <t>893701586</t>
        </is>
      </c>
    </row>
    <row r="25">
      <c r="A25" t="inlineStr">
        <is>
          <t>No</t>
        </is>
      </c>
      <c r="B25" t="inlineStr">
        <is>
          <t>P106 .H354 1987</t>
        </is>
      </c>
      <c r="C25" t="inlineStr">
        <is>
          <t>0                      P  0106000H  354         1987</t>
        </is>
      </c>
      <c r="D25" t="inlineStr">
        <is>
          <t>How is language possible? : philosophical reflections on the evolution of language and knowledge / J.N. Hattiangadi.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Hattiangadi, J. N., 1942-</t>
        </is>
      </c>
      <c r="L25" t="inlineStr">
        <is>
          <t>La Salle, Ill. : Open Court, c1987.</t>
        </is>
      </c>
      <c r="M25" t="inlineStr">
        <is>
          <t>1987</t>
        </is>
      </c>
      <c r="O25" t="inlineStr">
        <is>
          <t>eng</t>
        </is>
      </c>
      <c r="P25" t="inlineStr">
        <is>
          <t>ilu</t>
        </is>
      </c>
      <c r="R25" t="inlineStr">
        <is>
          <t xml:space="preserve">P  </t>
        </is>
      </c>
      <c r="S25" t="n">
        <v>10</v>
      </c>
      <c r="T25" t="n">
        <v>10</v>
      </c>
      <c r="U25" t="inlineStr">
        <is>
          <t>1998-11-17</t>
        </is>
      </c>
      <c r="V25" t="inlineStr">
        <is>
          <t>1998-11-17</t>
        </is>
      </c>
      <c r="W25" t="inlineStr">
        <is>
          <t>1993-03-09</t>
        </is>
      </c>
      <c r="X25" t="inlineStr">
        <is>
          <t>1993-03-09</t>
        </is>
      </c>
      <c r="Y25" t="n">
        <v>499</v>
      </c>
      <c r="Z25" t="n">
        <v>430</v>
      </c>
      <c r="AA25" t="n">
        <v>436</v>
      </c>
      <c r="AB25" t="n">
        <v>4</v>
      </c>
      <c r="AC25" t="n">
        <v>4</v>
      </c>
      <c r="AD25" t="n">
        <v>26</v>
      </c>
      <c r="AE25" t="n">
        <v>26</v>
      </c>
      <c r="AF25" t="n">
        <v>10</v>
      </c>
      <c r="AG25" t="n">
        <v>10</v>
      </c>
      <c r="AH25" t="n">
        <v>6</v>
      </c>
      <c r="AI25" t="n">
        <v>6</v>
      </c>
      <c r="AJ25" t="n">
        <v>13</v>
      </c>
      <c r="AK25" t="n">
        <v>13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HYPERLINK("http://catalog.hathitrust.org/Record/000872694","HathiTrust Record")</f>
        <v/>
      </c>
      <c r="AS25">
        <f>HYPERLINK("https://creighton-primo.hosted.exlibrisgroup.com/primo-explore/search?tab=default_tab&amp;search_scope=EVERYTHING&amp;vid=01CRU&amp;lang=en_US&amp;offset=0&amp;query=any,contains,991001144939702656","Catalog Record")</f>
        <v/>
      </c>
      <c r="AT25">
        <f>HYPERLINK("http://www.worldcat.org/oclc/16758138","WorldCat Record")</f>
        <v/>
      </c>
      <c r="AU25" t="inlineStr">
        <is>
          <t>138592018:eng</t>
        </is>
      </c>
      <c r="AV25" t="inlineStr">
        <is>
          <t>16758138</t>
        </is>
      </c>
      <c r="AW25" t="inlineStr">
        <is>
          <t>991001144939702656</t>
        </is>
      </c>
      <c r="AX25" t="inlineStr">
        <is>
          <t>991001144939702656</t>
        </is>
      </c>
      <c r="AY25" t="inlineStr">
        <is>
          <t>2263999260002656</t>
        </is>
      </c>
      <c r="AZ25" t="inlineStr">
        <is>
          <t>BOOK</t>
        </is>
      </c>
      <c r="BB25" t="inlineStr">
        <is>
          <t>9780812690453</t>
        </is>
      </c>
      <c r="BC25" t="inlineStr">
        <is>
          <t>32285001571297</t>
        </is>
      </c>
      <c r="BD25" t="inlineStr">
        <is>
          <t>893426356</t>
        </is>
      </c>
    </row>
    <row r="26">
      <c r="A26" t="inlineStr">
        <is>
          <t>No</t>
        </is>
      </c>
      <c r="B26" t="inlineStr">
        <is>
          <t>P106 .H3613</t>
        </is>
      </c>
      <c r="C26" t="inlineStr">
        <is>
          <t>0                      P  0106000H  3613</t>
        </is>
      </c>
      <c r="D26" t="inlineStr">
        <is>
          <t>On the way to language. Translated by Peter D. Hertz.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Heidegger, Martin, 1889-1976.</t>
        </is>
      </c>
      <c r="L26" t="inlineStr">
        <is>
          <t>New York, Harper &amp; Row [1971]</t>
        </is>
      </c>
      <c r="M26" t="inlineStr">
        <is>
          <t>1971</t>
        </is>
      </c>
      <c r="N26" t="inlineStr">
        <is>
          <t>[1st ed.]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  </t>
        </is>
      </c>
      <c r="S26" t="n">
        <v>11</v>
      </c>
      <c r="T26" t="n">
        <v>11</v>
      </c>
      <c r="U26" t="inlineStr">
        <is>
          <t>2009-03-28</t>
        </is>
      </c>
      <c r="V26" t="inlineStr">
        <is>
          <t>2009-03-28</t>
        </is>
      </c>
      <c r="W26" t="inlineStr">
        <is>
          <t>1997-08-18</t>
        </is>
      </c>
      <c r="X26" t="inlineStr">
        <is>
          <t>1997-08-18</t>
        </is>
      </c>
      <c r="Y26" t="n">
        <v>784</v>
      </c>
      <c r="Z26" t="n">
        <v>662</v>
      </c>
      <c r="AA26" t="n">
        <v>877</v>
      </c>
      <c r="AB26" t="n">
        <v>6</v>
      </c>
      <c r="AC26" t="n">
        <v>7</v>
      </c>
      <c r="AD26" t="n">
        <v>40</v>
      </c>
      <c r="AE26" t="n">
        <v>46</v>
      </c>
      <c r="AF26" t="n">
        <v>13</v>
      </c>
      <c r="AG26" t="n">
        <v>18</v>
      </c>
      <c r="AH26" t="n">
        <v>9</v>
      </c>
      <c r="AI26" t="n">
        <v>9</v>
      </c>
      <c r="AJ26" t="n">
        <v>24</v>
      </c>
      <c r="AK26" t="n">
        <v>25</v>
      </c>
      <c r="AL26" t="n">
        <v>4</v>
      </c>
      <c r="AM26" t="n">
        <v>5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HYPERLINK("http://catalog.hathitrust.org/Record/001434758","HathiTrust Record")</f>
        <v/>
      </c>
      <c r="AS26">
        <f>HYPERLINK("https://creighton-primo.hosted.exlibrisgroup.com/primo-explore/search?tab=default_tab&amp;search_scope=EVERYTHING&amp;vid=01CRU&amp;lang=en_US&amp;offset=0&amp;query=any,contains,991000783889702656","Catalog Record")</f>
        <v/>
      </c>
      <c r="AT26">
        <f>HYPERLINK("http://www.worldcat.org/oclc/135854","WorldCat Record")</f>
        <v/>
      </c>
      <c r="AU26" t="inlineStr">
        <is>
          <t>403745:eng</t>
        </is>
      </c>
      <c r="AV26" t="inlineStr">
        <is>
          <t>135854</t>
        </is>
      </c>
      <c r="AW26" t="inlineStr">
        <is>
          <t>991000783889702656</t>
        </is>
      </c>
      <c r="AX26" t="inlineStr">
        <is>
          <t>991000783889702656</t>
        </is>
      </c>
      <c r="AY26" t="inlineStr">
        <is>
          <t>2263421450002656</t>
        </is>
      </c>
      <c r="AZ26" t="inlineStr">
        <is>
          <t>BOOK</t>
        </is>
      </c>
      <c r="BC26" t="inlineStr">
        <is>
          <t>32285003096392</t>
        </is>
      </c>
      <c r="BD26" t="inlineStr">
        <is>
          <t>893515601</t>
        </is>
      </c>
    </row>
    <row r="27">
      <c r="A27" t="inlineStr">
        <is>
          <t>No</t>
        </is>
      </c>
      <c r="B27" t="inlineStr">
        <is>
          <t>P106 .K35</t>
        </is>
      </c>
      <c r="C27" t="inlineStr">
        <is>
          <t>0                      P  0106000K  35</t>
        </is>
      </c>
      <c r="D27" t="inlineStr">
        <is>
          <t>The underlying reality of language and its philosophical import, by Jerrold J. Katz.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Katz, Jerrold J.</t>
        </is>
      </c>
      <c r="L27" t="inlineStr">
        <is>
          <t>New York, Harper &amp; Row [1971]</t>
        </is>
      </c>
      <c r="M27" t="inlineStr">
        <is>
          <t>1971</t>
        </is>
      </c>
      <c r="O27" t="inlineStr">
        <is>
          <t>eng</t>
        </is>
      </c>
      <c r="P27" t="inlineStr">
        <is>
          <t>nyu</t>
        </is>
      </c>
      <c r="Q27" t="inlineStr">
        <is>
          <t>Harper essays in philosophy</t>
        </is>
      </c>
      <c r="R27" t="inlineStr">
        <is>
          <t xml:space="preserve">P  </t>
        </is>
      </c>
      <c r="S27" t="n">
        <v>3</v>
      </c>
      <c r="T27" t="n">
        <v>3</v>
      </c>
      <c r="U27" t="inlineStr">
        <is>
          <t>1999-02-24</t>
        </is>
      </c>
      <c r="V27" t="inlineStr">
        <is>
          <t>1999-02-24</t>
        </is>
      </c>
      <c r="W27" t="inlineStr">
        <is>
          <t>1997-08-18</t>
        </is>
      </c>
      <c r="X27" t="inlineStr">
        <is>
          <t>1997-08-18</t>
        </is>
      </c>
      <c r="Y27" t="n">
        <v>475</v>
      </c>
      <c r="Z27" t="n">
        <v>379</v>
      </c>
      <c r="AA27" t="n">
        <v>423</v>
      </c>
      <c r="AB27" t="n">
        <v>3</v>
      </c>
      <c r="AC27" t="n">
        <v>4</v>
      </c>
      <c r="AD27" t="n">
        <v>25</v>
      </c>
      <c r="AE27" t="n">
        <v>29</v>
      </c>
      <c r="AF27" t="n">
        <v>8</v>
      </c>
      <c r="AG27" t="n">
        <v>9</v>
      </c>
      <c r="AH27" t="n">
        <v>7</v>
      </c>
      <c r="AI27" t="n">
        <v>7</v>
      </c>
      <c r="AJ27" t="n">
        <v>13</v>
      </c>
      <c r="AK27" t="n">
        <v>15</v>
      </c>
      <c r="AL27" t="n">
        <v>2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HYPERLINK("http://catalog.hathitrust.org/Record/001434799","HathiTrust Record")</f>
        <v/>
      </c>
      <c r="AS27">
        <f>HYPERLINK("https://creighton-primo.hosted.exlibrisgroup.com/primo-explore/search?tab=default_tab&amp;search_scope=EVERYTHING&amp;vid=01CRU&amp;lang=en_US&amp;offset=0&amp;query=any,contains,991002560449702656","Catalog Record")</f>
        <v/>
      </c>
      <c r="AT27">
        <f>HYPERLINK("http://www.worldcat.org/oclc/371649","WorldCat Record")</f>
        <v/>
      </c>
      <c r="AU27" t="inlineStr">
        <is>
          <t>3901548956:eng</t>
        </is>
      </c>
      <c r="AV27" t="inlineStr">
        <is>
          <t>371649</t>
        </is>
      </c>
      <c r="AW27" t="inlineStr">
        <is>
          <t>991002560449702656</t>
        </is>
      </c>
      <c r="AX27" t="inlineStr">
        <is>
          <t>991002560449702656</t>
        </is>
      </c>
      <c r="AY27" t="inlineStr">
        <is>
          <t>2260040550002656</t>
        </is>
      </c>
      <c r="AZ27" t="inlineStr">
        <is>
          <t>BOOK</t>
        </is>
      </c>
      <c r="BB27" t="inlineStr">
        <is>
          <t>9780061316333</t>
        </is>
      </c>
      <c r="BC27" t="inlineStr">
        <is>
          <t>32285003096434</t>
        </is>
      </c>
      <c r="BD27" t="inlineStr">
        <is>
          <t>893239211</t>
        </is>
      </c>
    </row>
    <row r="28">
      <c r="A28" t="inlineStr">
        <is>
          <t>No</t>
        </is>
      </c>
      <c r="B28" t="inlineStr">
        <is>
          <t>P106 .L3177 1997</t>
        </is>
      </c>
      <c r="C28" t="inlineStr">
        <is>
          <t>0                      P  0106000L  3177        1997</t>
        </is>
      </c>
      <c r="D28" t="inlineStr">
        <is>
          <t>Language, thought, and logic : essays in honour of Michael Dummett / edited by Richard G. Heck, Jnr.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Oxford ; New York : Oxford University Press, 1997.</t>
        </is>
      </c>
      <c r="M28" t="inlineStr">
        <is>
          <t>1997</t>
        </is>
      </c>
      <c r="O28" t="inlineStr">
        <is>
          <t>eng</t>
        </is>
      </c>
      <c r="P28" t="inlineStr">
        <is>
          <t>enk</t>
        </is>
      </c>
      <c r="R28" t="inlineStr">
        <is>
          <t xml:space="preserve">P  </t>
        </is>
      </c>
      <c r="S28" t="n">
        <v>1</v>
      </c>
      <c r="T28" t="n">
        <v>1</v>
      </c>
      <c r="U28" t="inlineStr">
        <is>
          <t>2005-02-13</t>
        </is>
      </c>
      <c r="V28" t="inlineStr">
        <is>
          <t>2005-02-13</t>
        </is>
      </c>
      <c r="W28" t="inlineStr">
        <is>
          <t>1998-10-28</t>
        </is>
      </c>
      <c r="X28" t="inlineStr">
        <is>
          <t>1998-10-28</t>
        </is>
      </c>
      <c r="Y28" t="n">
        <v>270</v>
      </c>
      <c r="Z28" t="n">
        <v>171</v>
      </c>
      <c r="AA28" t="n">
        <v>172</v>
      </c>
      <c r="AB28" t="n">
        <v>2</v>
      </c>
      <c r="AC28" t="n">
        <v>2</v>
      </c>
      <c r="AD28" t="n">
        <v>14</v>
      </c>
      <c r="AE28" t="n">
        <v>14</v>
      </c>
      <c r="AF28" t="n">
        <v>4</v>
      </c>
      <c r="AG28" t="n">
        <v>4</v>
      </c>
      <c r="AH28" t="n">
        <v>6</v>
      </c>
      <c r="AI28" t="n">
        <v>6</v>
      </c>
      <c r="AJ28" t="n">
        <v>6</v>
      </c>
      <c r="AK28" t="n">
        <v>6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HYPERLINK("http://catalog.hathitrust.org/Record/003955057","HathiTrust Record")</f>
        <v/>
      </c>
      <c r="AS28">
        <f>HYPERLINK("https://creighton-primo.hosted.exlibrisgroup.com/primo-explore/search?tab=default_tab&amp;search_scope=EVERYTHING&amp;vid=01CRU&amp;lang=en_US&amp;offset=0&amp;query=any,contains,991002905029702656","Catalog Record")</f>
        <v/>
      </c>
      <c r="AT28">
        <f>HYPERLINK("http://www.worldcat.org/oclc/38315512","WorldCat Record")</f>
        <v/>
      </c>
      <c r="AU28" t="inlineStr">
        <is>
          <t>806942641:eng</t>
        </is>
      </c>
      <c r="AV28" t="inlineStr">
        <is>
          <t>38315512</t>
        </is>
      </c>
      <c r="AW28" t="inlineStr">
        <is>
          <t>991002905029702656</t>
        </is>
      </c>
      <c r="AX28" t="inlineStr">
        <is>
          <t>991002905029702656</t>
        </is>
      </c>
      <c r="AY28" t="inlineStr">
        <is>
          <t>2270590790002656</t>
        </is>
      </c>
      <c r="AZ28" t="inlineStr">
        <is>
          <t>BOOK</t>
        </is>
      </c>
      <c r="BB28" t="inlineStr">
        <is>
          <t>9780198239208</t>
        </is>
      </c>
      <c r="BC28" t="inlineStr">
        <is>
          <t>32285003478350</t>
        </is>
      </c>
      <c r="BD28" t="inlineStr">
        <is>
          <t>893610451</t>
        </is>
      </c>
    </row>
    <row r="29">
      <c r="A29" t="inlineStr">
        <is>
          <t>No</t>
        </is>
      </c>
      <c r="B29" t="inlineStr">
        <is>
          <t>P106 .L33 1985</t>
        </is>
      </c>
      <c r="C29" t="inlineStr">
        <is>
          <t>0                      P  0106000L  33          1985</t>
        </is>
      </c>
      <c r="D29" t="inlineStr">
        <is>
          <t>Philosophy through the looking-glass : language, nonsense, desire / Jean-Jacques Lecercle.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Lecercle, Jean-Jacques.</t>
        </is>
      </c>
      <c r="L29" t="inlineStr">
        <is>
          <t>La Salle, Ill. : Open Court, 1985.</t>
        </is>
      </c>
      <c r="M29" t="inlineStr">
        <is>
          <t>1985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P  </t>
        </is>
      </c>
      <c r="S29" t="n">
        <v>3</v>
      </c>
      <c r="T29" t="n">
        <v>3</v>
      </c>
      <c r="U29" t="inlineStr">
        <is>
          <t>1999-05-06</t>
        </is>
      </c>
      <c r="V29" t="inlineStr">
        <is>
          <t>1999-05-06</t>
        </is>
      </c>
      <c r="W29" t="inlineStr">
        <is>
          <t>1990-07-19</t>
        </is>
      </c>
      <c r="X29" t="inlineStr">
        <is>
          <t>1990-07-19</t>
        </is>
      </c>
      <c r="Y29" t="n">
        <v>241</v>
      </c>
      <c r="Z29" t="n">
        <v>206</v>
      </c>
      <c r="AA29" t="n">
        <v>279</v>
      </c>
      <c r="AB29" t="n">
        <v>2</v>
      </c>
      <c r="AC29" t="n">
        <v>3</v>
      </c>
      <c r="AD29" t="n">
        <v>15</v>
      </c>
      <c r="AE29" t="n">
        <v>17</v>
      </c>
      <c r="AF29" t="n">
        <v>4</v>
      </c>
      <c r="AG29" t="n">
        <v>4</v>
      </c>
      <c r="AH29" t="n">
        <v>5</v>
      </c>
      <c r="AI29" t="n">
        <v>5</v>
      </c>
      <c r="AJ29" t="n">
        <v>12</v>
      </c>
      <c r="AK29" t="n">
        <v>13</v>
      </c>
      <c r="AL29" t="n">
        <v>1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HYPERLINK("https://creighton-primo.hosted.exlibrisgroup.com/primo-explore/search?tab=default_tab&amp;search_scope=EVERYTHING&amp;vid=01CRU&amp;lang=en_US&amp;offset=0&amp;query=any,contains,991000664049702656","Catalog Record")</f>
        <v/>
      </c>
      <c r="AT29">
        <f>HYPERLINK("http://www.worldcat.org/oclc/12262766","WorldCat Record")</f>
        <v/>
      </c>
      <c r="AU29" t="inlineStr">
        <is>
          <t>866936422:eng</t>
        </is>
      </c>
      <c r="AV29" t="inlineStr">
        <is>
          <t>12262766</t>
        </is>
      </c>
      <c r="AW29" t="inlineStr">
        <is>
          <t>991000664049702656</t>
        </is>
      </c>
      <c r="AX29" t="inlineStr">
        <is>
          <t>991000664049702656</t>
        </is>
      </c>
      <c r="AY29" t="inlineStr">
        <is>
          <t>2270597080002656</t>
        </is>
      </c>
      <c r="AZ29" t="inlineStr">
        <is>
          <t>BOOK</t>
        </is>
      </c>
      <c r="BB29" t="inlineStr">
        <is>
          <t>9780812690040</t>
        </is>
      </c>
      <c r="BC29" t="inlineStr">
        <is>
          <t>32285000209394</t>
        </is>
      </c>
      <c r="BD29" t="inlineStr">
        <is>
          <t>893515491</t>
        </is>
      </c>
    </row>
    <row r="30">
      <c r="A30" t="inlineStr">
        <is>
          <t>No</t>
        </is>
      </c>
      <c r="B30" t="inlineStr">
        <is>
          <t>P106 .L9</t>
        </is>
      </c>
      <c r="C30" t="inlineStr">
        <is>
          <t>0                      P  0106000L  9</t>
        </is>
      </c>
      <c r="D30" t="inlineStr">
        <is>
          <t>Introduction to theoretical linguistics.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Lyons, John, 1932-2020.</t>
        </is>
      </c>
      <c r="L30" t="inlineStr">
        <is>
          <t>London, Cambridge U.P., 1968.</t>
        </is>
      </c>
      <c r="M30" t="inlineStr">
        <is>
          <t>1968</t>
        </is>
      </c>
      <c r="O30" t="inlineStr">
        <is>
          <t>eng</t>
        </is>
      </c>
      <c r="P30" t="inlineStr">
        <is>
          <t>enk</t>
        </is>
      </c>
      <c r="R30" t="inlineStr">
        <is>
          <t xml:space="preserve">P  </t>
        </is>
      </c>
      <c r="S30" t="n">
        <v>3</v>
      </c>
      <c r="T30" t="n">
        <v>3</v>
      </c>
      <c r="U30" t="inlineStr">
        <is>
          <t>1999-01-26</t>
        </is>
      </c>
      <c r="V30" t="inlineStr">
        <is>
          <t>1999-01-26</t>
        </is>
      </c>
      <c r="W30" t="inlineStr">
        <is>
          <t>1997-08-18</t>
        </is>
      </c>
      <c r="X30" t="inlineStr">
        <is>
          <t>1997-08-18</t>
        </is>
      </c>
      <c r="Y30" t="n">
        <v>981</v>
      </c>
      <c r="Z30" t="n">
        <v>696</v>
      </c>
      <c r="AA30" t="n">
        <v>796</v>
      </c>
      <c r="AB30" t="n">
        <v>8</v>
      </c>
      <c r="AC30" t="n">
        <v>9</v>
      </c>
      <c r="AD30" t="n">
        <v>36</v>
      </c>
      <c r="AE30" t="n">
        <v>38</v>
      </c>
      <c r="AF30" t="n">
        <v>13</v>
      </c>
      <c r="AG30" t="n">
        <v>13</v>
      </c>
      <c r="AH30" t="n">
        <v>6</v>
      </c>
      <c r="AI30" t="n">
        <v>7</v>
      </c>
      <c r="AJ30" t="n">
        <v>21</v>
      </c>
      <c r="AK30" t="n">
        <v>22</v>
      </c>
      <c r="AL30" t="n">
        <v>6</v>
      </c>
      <c r="AM30" t="n">
        <v>7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HYPERLINK("https://creighton-primo.hosted.exlibrisgroup.com/primo-explore/search?tab=default_tab&amp;search_scope=EVERYTHING&amp;vid=01CRU&amp;lang=en_US&amp;offset=0&amp;query=any,contains,991001914159702656","Catalog Record")</f>
        <v/>
      </c>
      <c r="AT30">
        <f>HYPERLINK("http://www.worldcat.org/oclc/243253","WorldCat Record")</f>
        <v/>
      </c>
      <c r="AU30" t="inlineStr">
        <is>
          <t>512377:eng</t>
        </is>
      </c>
      <c r="AV30" t="inlineStr">
        <is>
          <t>243253</t>
        </is>
      </c>
      <c r="AW30" t="inlineStr">
        <is>
          <t>991001914159702656</t>
        </is>
      </c>
      <c r="AX30" t="inlineStr">
        <is>
          <t>991001914159702656</t>
        </is>
      </c>
      <c r="AY30" t="inlineStr">
        <is>
          <t>2270698720002656</t>
        </is>
      </c>
      <c r="AZ30" t="inlineStr">
        <is>
          <t>BOOK</t>
        </is>
      </c>
      <c r="BB30" t="inlineStr">
        <is>
          <t>9780521056175</t>
        </is>
      </c>
      <c r="BC30" t="inlineStr">
        <is>
          <t>32285003096459</t>
        </is>
      </c>
      <c r="BD30" t="inlineStr">
        <is>
          <t>893709632</t>
        </is>
      </c>
    </row>
    <row r="31">
      <c r="A31" t="inlineStr">
        <is>
          <t>No</t>
        </is>
      </c>
      <c r="B31" t="inlineStr">
        <is>
          <t>P106 .M55</t>
        </is>
      </c>
      <c r="C31" t="inlineStr">
        <is>
          <t>0                      P  0106000M  55</t>
        </is>
      </c>
      <c r="D31" t="inlineStr">
        <is>
          <t>Mind and language / edited by Samuel Guttenplan.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Oxford : Clarendon Press, 1975.</t>
        </is>
      </c>
      <c r="M31" t="inlineStr">
        <is>
          <t>1975</t>
        </is>
      </c>
      <c r="O31" t="inlineStr">
        <is>
          <t>eng</t>
        </is>
      </c>
      <c r="P31" t="inlineStr">
        <is>
          <t>enk</t>
        </is>
      </c>
      <c r="Q31" t="inlineStr">
        <is>
          <t>Wolfson College lectures ; 1974</t>
        </is>
      </c>
      <c r="R31" t="inlineStr">
        <is>
          <t xml:space="preserve">P  </t>
        </is>
      </c>
      <c r="S31" t="n">
        <v>5</v>
      </c>
      <c r="T31" t="n">
        <v>5</v>
      </c>
      <c r="U31" t="inlineStr">
        <is>
          <t>2005-03-10</t>
        </is>
      </c>
      <c r="V31" t="inlineStr">
        <is>
          <t>2005-03-10</t>
        </is>
      </c>
      <c r="W31" t="inlineStr">
        <is>
          <t>1997-08-18</t>
        </is>
      </c>
      <c r="X31" t="inlineStr">
        <is>
          <t>1997-08-18</t>
        </is>
      </c>
      <c r="Y31" t="n">
        <v>656</v>
      </c>
      <c r="Z31" t="n">
        <v>507</v>
      </c>
      <c r="AA31" t="n">
        <v>571</v>
      </c>
      <c r="AB31" t="n">
        <v>4</v>
      </c>
      <c r="AC31" t="n">
        <v>4</v>
      </c>
      <c r="AD31" t="n">
        <v>30</v>
      </c>
      <c r="AE31" t="n">
        <v>32</v>
      </c>
      <c r="AF31" t="n">
        <v>12</v>
      </c>
      <c r="AG31" t="n">
        <v>13</v>
      </c>
      <c r="AH31" t="n">
        <v>6</v>
      </c>
      <c r="AI31" t="n">
        <v>6</v>
      </c>
      <c r="AJ31" t="n">
        <v>18</v>
      </c>
      <c r="AK31" t="n">
        <v>20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HYPERLINK("http://catalog.hathitrust.org/Record/000172535","HathiTrust Record")</f>
        <v/>
      </c>
      <c r="AS31">
        <f>HYPERLINK("https://creighton-primo.hosted.exlibrisgroup.com/primo-explore/search?tab=default_tab&amp;search_scope=EVERYTHING&amp;vid=01CRU&amp;lang=en_US&amp;offset=0&amp;query=any,contains,991004237179702656","Catalog Record")</f>
        <v/>
      </c>
      <c r="AT31">
        <f>HYPERLINK("http://www.worldcat.org/oclc/2772963","WorldCat Record")</f>
        <v/>
      </c>
      <c r="AU31" t="inlineStr">
        <is>
          <t>5980734:eng</t>
        </is>
      </c>
      <c r="AV31" t="inlineStr">
        <is>
          <t>2772963</t>
        </is>
      </c>
      <c r="AW31" t="inlineStr">
        <is>
          <t>991004237179702656</t>
        </is>
      </c>
      <c r="AX31" t="inlineStr">
        <is>
          <t>991004237179702656</t>
        </is>
      </c>
      <c r="AY31" t="inlineStr">
        <is>
          <t>2267467710002656</t>
        </is>
      </c>
      <c r="AZ31" t="inlineStr">
        <is>
          <t>BOOK</t>
        </is>
      </c>
      <c r="BB31" t="inlineStr">
        <is>
          <t>9780198245216</t>
        </is>
      </c>
      <c r="BC31" t="inlineStr">
        <is>
          <t>32285003096483</t>
        </is>
      </c>
      <c r="BD31" t="inlineStr">
        <is>
          <t>893525841</t>
        </is>
      </c>
    </row>
    <row r="32">
      <c r="A32" t="inlineStr">
        <is>
          <t>No</t>
        </is>
      </c>
      <c r="B32" t="inlineStr">
        <is>
          <t>P106 .M587 1998</t>
        </is>
      </c>
      <c r="C32" t="inlineStr">
        <is>
          <t>0                      P  0106000M  587         1998</t>
        </is>
      </c>
      <c r="D32" t="inlineStr">
        <is>
          <t>Meaning, creativity, and the partial inscrutability of the human mind / Julius M. Moravcsik.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Moravcsik, J. M. E.</t>
        </is>
      </c>
      <c r="L32" t="inlineStr">
        <is>
          <t>Stanford, Calif. : CSLI Publications, c1998.</t>
        </is>
      </c>
      <c r="M32" t="inlineStr">
        <is>
          <t>1998</t>
        </is>
      </c>
      <c r="O32" t="inlineStr">
        <is>
          <t>eng</t>
        </is>
      </c>
      <c r="P32" t="inlineStr">
        <is>
          <t>cau</t>
        </is>
      </c>
      <c r="Q32" t="inlineStr">
        <is>
          <t>CSLI lecture notes ; no. 79</t>
        </is>
      </c>
      <c r="R32" t="inlineStr">
        <is>
          <t xml:space="preserve">P  </t>
        </is>
      </c>
      <c r="S32" t="n">
        <v>1</v>
      </c>
      <c r="T32" t="n">
        <v>1</v>
      </c>
      <c r="U32" t="inlineStr">
        <is>
          <t>2005-04-18</t>
        </is>
      </c>
      <c r="V32" t="inlineStr">
        <is>
          <t>2005-04-18</t>
        </is>
      </c>
      <c r="W32" t="inlineStr">
        <is>
          <t>1998-11-05</t>
        </is>
      </c>
      <c r="X32" t="inlineStr">
        <is>
          <t>1998-11-05</t>
        </is>
      </c>
      <c r="Y32" t="n">
        <v>239</v>
      </c>
      <c r="Z32" t="n">
        <v>181</v>
      </c>
      <c r="AA32" t="n">
        <v>192</v>
      </c>
      <c r="AB32" t="n">
        <v>3</v>
      </c>
      <c r="AC32" t="n">
        <v>3</v>
      </c>
      <c r="AD32" t="n">
        <v>10</v>
      </c>
      <c r="AE32" t="n">
        <v>10</v>
      </c>
      <c r="AF32" t="n">
        <v>2</v>
      </c>
      <c r="AG32" t="n">
        <v>2</v>
      </c>
      <c r="AH32" t="n">
        <v>3</v>
      </c>
      <c r="AI32" t="n">
        <v>3</v>
      </c>
      <c r="AJ32" t="n">
        <v>6</v>
      </c>
      <c r="AK32" t="n">
        <v>6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HYPERLINK("https://creighton-primo.hosted.exlibrisgroup.com/primo-explore/search?tab=default_tab&amp;search_scope=EVERYTHING&amp;vid=01CRU&amp;lang=en_US&amp;offset=0&amp;query=any,contains,991002910769702656","Catalog Record")</f>
        <v/>
      </c>
      <c r="AT32">
        <f>HYPERLINK("http://www.worldcat.org/oclc/38485924","WorldCat Record")</f>
        <v/>
      </c>
      <c r="AU32" t="inlineStr">
        <is>
          <t>688420:eng</t>
        </is>
      </c>
      <c r="AV32" t="inlineStr">
        <is>
          <t>38485924</t>
        </is>
      </c>
      <c r="AW32" t="inlineStr">
        <is>
          <t>991002910769702656</t>
        </is>
      </c>
      <c r="AX32" t="inlineStr">
        <is>
          <t>991002910769702656</t>
        </is>
      </c>
      <c r="AY32" t="inlineStr">
        <is>
          <t>2269712920002656</t>
        </is>
      </c>
      <c r="AZ32" t="inlineStr">
        <is>
          <t>BOOK</t>
        </is>
      </c>
      <c r="BB32" t="inlineStr">
        <is>
          <t>9781575861265</t>
        </is>
      </c>
      <c r="BC32" t="inlineStr">
        <is>
          <t>32285003486288</t>
        </is>
      </c>
      <c r="BD32" t="inlineStr">
        <is>
          <t>893598051</t>
        </is>
      </c>
    </row>
    <row r="33">
      <c r="A33" t="inlineStr">
        <is>
          <t>No</t>
        </is>
      </c>
      <c r="B33" t="inlineStr">
        <is>
          <t>P106 .O5</t>
        </is>
      </c>
      <c r="C33" t="inlineStr">
        <is>
          <t>0                      P  0106000O  5</t>
        </is>
      </c>
      <c r="D33" t="inlineStr">
        <is>
          <t>The presence of the word; some prolegomena for cultural and religious history, by Walter J. Ong.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Yes</t>
        </is>
      </c>
      <c r="J33" t="inlineStr">
        <is>
          <t>0</t>
        </is>
      </c>
      <c r="K33" t="inlineStr">
        <is>
          <t>Ong, Walter J.</t>
        </is>
      </c>
      <c r="L33" t="inlineStr">
        <is>
          <t>New Haven, Yale University Press, 1967.</t>
        </is>
      </c>
      <c r="M33" t="inlineStr">
        <is>
          <t>1967</t>
        </is>
      </c>
      <c r="O33" t="inlineStr">
        <is>
          <t>eng</t>
        </is>
      </c>
      <c r="P33" t="inlineStr">
        <is>
          <t>ctu</t>
        </is>
      </c>
      <c r="Q33" t="inlineStr">
        <is>
          <t>The Terry lectures</t>
        </is>
      </c>
      <c r="R33" t="inlineStr">
        <is>
          <t xml:space="preserve">P  </t>
        </is>
      </c>
      <c r="S33" t="n">
        <v>12</v>
      </c>
      <c r="T33" t="n">
        <v>12</v>
      </c>
      <c r="U33" t="inlineStr">
        <is>
          <t>2009-09-10</t>
        </is>
      </c>
      <c r="V33" t="inlineStr">
        <is>
          <t>2009-09-10</t>
        </is>
      </c>
      <c r="W33" t="inlineStr">
        <is>
          <t>1997-08-18</t>
        </is>
      </c>
      <c r="X33" t="inlineStr">
        <is>
          <t>1997-08-18</t>
        </is>
      </c>
      <c r="Y33" t="n">
        <v>937</v>
      </c>
      <c r="Z33" t="n">
        <v>804</v>
      </c>
      <c r="AA33" t="n">
        <v>1052</v>
      </c>
      <c r="AB33" t="n">
        <v>8</v>
      </c>
      <c r="AC33" t="n">
        <v>9</v>
      </c>
      <c r="AD33" t="n">
        <v>47</v>
      </c>
      <c r="AE33" t="n">
        <v>57</v>
      </c>
      <c r="AF33" t="n">
        <v>17</v>
      </c>
      <c r="AG33" t="n">
        <v>22</v>
      </c>
      <c r="AH33" t="n">
        <v>9</v>
      </c>
      <c r="AI33" t="n">
        <v>11</v>
      </c>
      <c r="AJ33" t="n">
        <v>26</v>
      </c>
      <c r="AK33" t="n">
        <v>29</v>
      </c>
      <c r="AL33" t="n">
        <v>7</v>
      </c>
      <c r="AM33" t="n">
        <v>8</v>
      </c>
      <c r="AN33" t="n">
        <v>0</v>
      </c>
      <c r="AO33" t="n">
        <v>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HYPERLINK("https://creighton-primo.hosted.exlibrisgroup.com/primo-explore/search?tab=default_tab&amp;search_scope=EVERYTHING&amp;vid=01CRU&amp;lang=en_US&amp;offset=0&amp;query=any,contains,991005355909702656","Catalog Record")</f>
        <v/>
      </c>
      <c r="AT33">
        <f>HYPERLINK("http://www.worldcat.org/oclc/586274","WorldCat Record")</f>
        <v/>
      </c>
      <c r="AU33" t="inlineStr">
        <is>
          <t>1102461945:eng</t>
        </is>
      </c>
      <c r="AV33" t="inlineStr">
        <is>
          <t>586274</t>
        </is>
      </c>
      <c r="AW33" t="inlineStr">
        <is>
          <t>991005355909702656</t>
        </is>
      </c>
      <c r="AX33" t="inlineStr">
        <is>
          <t>991005355909702656</t>
        </is>
      </c>
      <c r="AY33" t="inlineStr">
        <is>
          <t>2269068960002656</t>
        </is>
      </c>
      <c r="AZ33" t="inlineStr">
        <is>
          <t>BOOK</t>
        </is>
      </c>
      <c r="BC33" t="inlineStr">
        <is>
          <t>32285003096525</t>
        </is>
      </c>
      <c r="BD33" t="inlineStr">
        <is>
          <t>893695182</t>
        </is>
      </c>
    </row>
    <row r="34">
      <c r="A34" t="inlineStr">
        <is>
          <t>No</t>
        </is>
      </c>
      <c r="B34" t="inlineStr">
        <is>
          <t>P106 .P4613 1992</t>
        </is>
      </c>
      <c r="C34" t="inlineStr">
        <is>
          <t>0                      P  0106000P  4613        1992</t>
        </is>
      </c>
      <c r="D34" t="inlineStr">
        <is>
          <t>Abuse of language, abuse of power / Josef Pieper ; translated by Lothar Krauth.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Pieper, Josef, 1904-1997.</t>
        </is>
      </c>
      <c r="L34" t="inlineStr">
        <is>
          <t>San Francisco, Calif. : Ignatius Press, c1992.</t>
        </is>
      </c>
      <c r="M34" t="inlineStr">
        <is>
          <t>1992</t>
        </is>
      </c>
      <c r="O34" t="inlineStr">
        <is>
          <t>eng</t>
        </is>
      </c>
      <c r="P34" t="inlineStr">
        <is>
          <t>cau</t>
        </is>
      </c>
      <c r="R34" t="inlineStr">
        <is>
          <t xml:space="preserve">P  </t>
        </is>
      </c>
      <c r="S34" t="n">
        <v>3</v>
      </c>
      <c r="T34" t="n">
        <v>3</v>
      </c>
      <c r="U34" t="inlineStr">
        <is>
          <t>2006-08-31</t>
        </is>
      </c>
      <c r="V34" t="inlineStr">
        <is>
          <t>2006-08-31</t>
        </is>
      </c>
      <c r="W34" t="inlineStr">
        <is>
          <t>2002-08-13</t>
        </is>
      </c>
      <c r="X34" t="inlineStr">
        <is>
          <t>2002-08-13</t>
        </is>
      </c>
      <c r="Y34" t="n">
        <v>188</v>
      </c>
      <c r="Z34" t="n">
        <v>156</v>
      </c>
      <c r="AA34" t="n">
        <v>156</v>
      </c>
      <c r="AB34" t="n">
        <v>3</v>
      </c>
      <c r="AC34" t="n">
        <v>3</v>
      </c>
      <c r="AD34" t="n">
        <v>16</v>
      </c>
      <c r="AE34" t="n">
        <v>16</v>
      </c>
      <c r="AF34" t="n">
        <v>4</v>
      </c>
      <c r="AG34" t="n">
        <v>4</v>
      </c>
      <c r="AH34" t="n">
        <v>4</v>
      </c>
      <c r="AI34" t="n">
        <v>4</v>
      </c>
      <c r="AJ34" t="n">
        <v>12</v>
      </c>
      <c r="AK34" t="n">
        <v>12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HYPERLINK("https://creighton-primo.hosted.exlibrisgroup.com/primo-explore/search?tab=default_tab&amp;search_scope=EVERYTHING&amp;vid=01CRU&amp;lang=en_US&amp;offset=0&amp;query=any,contains,991003858729702656","Catalog Record")</f>
        <v/>
      </c>
      <c r="AT34">
        <f>HYPERLINK("http://www.worldcat.org/oclc/25744126","WorldCat Record")</f>
        <v/>
      </c>
      <c r="AU34" t="inlineStr">
        <is>
          <t>58777316:eng</t>
        </is>
      </c>
      <c r="AV34" t="inlineStr">
        <is>
          <t>25744126</t>
        </is>
      </c>
      <c r="AW34" t="inlineStr">
        <is>
          <t>991003858729702656</t>
        </is>
      </c>
      <c r="AX34" t="inlineStr">
        <is>
          <t>991003858729702656</t>
        </is>
      </c>
      <c r="AY34" t="inlineStr">
        <is>
          <t>2270474190002656</t>
        </is>
      </c>
      <c r="AZ34" t="inlineStr">
        <is>
          <t>BOOK</t>
        </is>
      </c>
      <c r="BB34" t="inlineStr">
        <is>
          <t>9780898703627</t>
        </is>
      </c>
      <c r="BC34" t="inlineStr">
        <is>
          <t>32285004643119</t>
        </is>
      </c>
      <c r="BD34" t="inlineStr">
        <is>
          <t>893423059</t>
        </is>
      </c>
    </row>
    <row r="35">
      <c r="A35" t="inlineStr">
        <is>
          <t>No</t>
        </is>
      </c>
      <c r="B35" t="inlineStr">
        <is>
          <t>P106 .P56</t>
        </is>
      </c>
      <c r="C35" t="inlineStr">
        <is>
          <t>0                      P  0106000P  56</t>
        </is>
      </c>
      <c r="D35" t="inlineStr">
        <is>
          <t>Ways of meaning : an introduction to a philosophy of language / Mark de Bretton Platts.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Platts, Mark de Bretton, 1947-</t>
        </is>
      </c>
      <c r="L35" t="inlineStr">
        <is>
          <t>London ; Boston : Routledge &amp; K. Paul, 1979.</t>
        </is>
      </c>
      <c r="M35" t="inlineStr">
        <is>
          <t>1979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P  </t>
        </is>
      </c>
      <c r="S35" t="n">
        <v>1</v>
      </c>
      <c r="T35" t="n">
        <v>1</v>
      </c>
      <c r="U35" t="inlineStr">
        <is>
          <t>1995-04-25</t>
        </is>
      </c>
      <c r="V35" t="inlineStr">
        <is>
          <t>1995-04-25</t>
        </is>
      </c>
      <c r="W35" t="inlineStr">
        <is>
          <t>1993-04-01</t>
        </is>
      </c>
      <c r="X35" t="inlineStr">
        <is>
          <t>1993-04-01</t>
        </is>
      </c>
      <c r="Y35" t="n">
        <v>504</v>
      </c>
      <c r="Z35" t="n">
        <v>340</v>
      </c>
      <c r="AA35" t="n">
        <v>818</v>
      </c>
      <c r="AB35" t="n">
        <v>4</v>
      </c>
      <c r="AC35" t="n">
        <v>5</v>
      </c>
      <c r="AD35" t="n">
        <v>24</v>
      </c>
      <c r="AE35" t="n">
        <v>32</v>
      </c>
      <c r="AF35" t="n">
        <v>7</v>
      </c>
      <c r="AG35" t="n">
        <v>13</v>
      </c>
      <c r="AH35" t="n">
        <v>6</v>
      </c>
      <c r="AI35" t="n">
        <v>7</v>
      </c>
      <c r="AJ35" t="n">
        <v>16</v>
      </c>
      <c r="AK35" t="n">
        <v>17</v>
      </c>
      <c r="AL35" t="n">
        <v>3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HYPERLINK("http://catalog.hathitrust.org/Record/000508291","HathiTrust Record")</f>
        <v/>
      </c>
      <c r="AS35">
        <f>HYPERLINK("https://creighton-primo.hosted.exlibrisgroup.com/primo-explore/search?tab=default_tab&amp;search_scope=EVERYTHING&amp;vid=01CRU&amp;lang=en_US&amp;offset=0&amp;query=any,contains,991004692059702656","Catalog Record")</f>
        <v/>
      </c>
      <c r="AT35">
        <f>HYPERLINK("http://www.worldcat.org/oclc/4620151","WorldCat Record")</f>
        <v/>
      </c>
      <c r="AU35" t="inlineStr">
        <is>
          <t>866851623:eng</t>
        </is>
      </c>
      <c r="AV35" t="inlineStr">
        <is>
          <t>4620151</t>
        </is>
      </c>
      <c r="AW35" t="inlineStr">
        <is>
          <t>991004692059702656</t>
        </is>
      </c>
      <c r="AX35" t="inlineStr">
        <is>
          <t>991004692059702656</t>
        </is>
      </c>
      <c r="AY35" t="inlineStr">
        <is>
          <t>2258975570002656</t>
        </is>
      </c>
      <c r="AZ35" t="inlineStr">
        <is>
          <t>BOOK</t>
        </is>
      </c>
      <c r="BB35" t="inlineStr">
        <is>
          <t>9780710000002</t>
        </is>
      </c>
      <c r="BC35" t="inlineStr">
        <is>
          <t>32285001613032</t>
        </is>
      </c>
      <c r="BD35" t="inlineStr">
        <is>
          <t>893519948</t>
        </is>
      </c>
    </row>
    <row r="36">
      <c r="A36" t="inlineStr">
        <is>
          <t>No</t>
        </is>
      </c>
      <c r="B36" t="inlineStr">
        <is>
          <t>P106 .R385 1997</t>
        </is>
      </c>
      <c r="C36" t="inlineStr">
        <is>
          <t>0                      P  0106000R  385         1997</t>
        </is>
      </c>
      <c r="D36" t="inlineStr">
        <is>
          <t>Readings in the philosophy of language / edited by Peter Ludlow.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Cambridge, Mass. : MIT Press, c1997.</t>
        </is>
      </c>
      <c r="M36" t="inlineStr">
        <is>
          <t>1997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P  </t>
        </is>
      </c>
      <c r="S36" t="n">
        <v>4</v>
      </c>
      <c r="T36" t="n">
        <v>4</v>
      </c>
      <c r="U36" t="inlineStr">
        <is>
          <t>2008-01-02</t>
        </is>
      </c>
      <c r="V36" t="inlineStr">
        <is>
          <t>2008-01-02</t>
        </is>
      </c>
      <c r="W36" t="inlineStr">
        <is>
          <t>2001-10-03</t>
        </is>
      </c>
      <c r="X36" t="inlineStr">
        <is>
          <t>2001-10-03</t>
        </is>
      </c>
      <c r="Y36" t="n">
        <v>338</v>
      </c>
      <c r="Z36" t="n">
        <v>209</v>
      </c>
      <c r="AA36" t="n">
        <v>210</v>
      </c>
      <c r="AB36" t="n">
        <v>2</v>
      </c>
      <c r="AC36" t="n">
        <v>2</v>
      </c>
      <c r="AD36" t="n">
        <v>9</v>
      </c>
      <c r="AE36" t="n">
        <v>9</v>
      </c>
      <c r="AF36" t="n">
        <v>3</v>
      </c>
      <c r="AG36" t="n">
        <v>3</v>
      </c>
      <c r="AH36" t="n">
        <v>4</v>
      </c>
      <c r="AI36" t="n">
        <v>4</v>
      </c>
      <c r="AJ36" t="n">
        <v>5</v>
      </c>
      <c r="AK36" t="n">
        <v>5</v>
      </c>
      <c r="AL36" t="n">
        <v>1</v>
      </c>
      <c r="AM36" t="n">
        <v>1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HYPERLINK("https://creighton-primo.hosted.exlibrisgroup.com/primo-explore/search?tab=default_tab&amp;search_scope=EVERYTHING&amp;vid=01CRU&amp;lang=en_US&amp;offset=0&amp;query=any,contains,991003638519702656","Catalog Record")</f>
        <v/>
      </c>
      <c r="AT36">
        <f>HYPERLINK("http://www.worldcat.org/oclc/35777332","WorldCat Record")</f>
        <v/>
      </c>
      <c r="AU36" t="inlineStr">
        <is>
          <t>118134267:eng</t>
        </is>
      </c>
      <c r="AV36" t="inlineStr">
        <is>
          <t>35777332</t>
        </is>
      </c>
      <c r="AW36" t="inlineStr">
        <is>
          <t>991003638519702656</t>
        </is>
      </c>
      <c r="AX36" t="inlineStr">
        <is>
          <t>991003638519702656</t>
        </is>
      </c>
      <c r="AY36" t="inlineStr">
        <is>
          <t>2267745300002656</t>
        </is>
      </c>
      <c r="AZ36" t="inlineStr">
        <is>
          <t>BOOK</t>
        </is>
      </c>
      <c r="BB36" t="inlineStr">
        <is>
          <t>9780262122054</t>
        </is>
      </c>
      <c r="BC36" t="inlineStr">
        <is>
          <t>32285004394895</t>
        </is>
      </c>
      <c r="BD36" t="inlineStr">
        <is>
          <t>893692960</t>
        </is>
      </c>
    </row>
    <row r="37">
      <c r="A37" t="inlineStr">
        <is>
          <t>No</t>
        </is>
      </c>
      <c r="B37" t="inlineStr">
        <is>
          <t>P106 .R47 1998</t>
        </is>
      </c>
      <c r="C37" t="inlineStr">
        <is>
          <t>0                      P  0106000R  47          1998</t>
        </is>
      </c>
      <c r="D37" t="inlineStr">
        <is>
          <t>Wittgenstein and the possibility of discourse / Rush Rhees ; edited by D.Z. Phillips.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Rhees, Rush, 1905-1989.</t>
        </is>
      </c>
      <c r="L37" t="inlineStr">
        <is>
          <t>Cambridge [England] ; New York : Cambridge University Press, 1998.</t>
        </is>
      </c>
      <c r="M37" t="inlineStr">
        <is>
          <t>1998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P  </t>
        </is>
      </c>
      <c r="S37" t="n">
        <v>2</v>
      </c>
      <c r="T37" t="n">
        <v>2</v>
      </c>
      <c r="U37" t="inlineStr">
        <is>
          <t>2001-03-30</t>
        </is>
      </c>
      <c r="V37" t="inlineStr">
        <is>
          <t>2001-03-30</t>
        </is>
      </c>
      <c r="W37" t="inlineStr">
        <is>
          <t>1998-12-08</t>
        </is>
      </c>
      <c r="X37" t="inlineStr">
        <is>
          <t>1998-12-08</t>
        </is>
      </c>
      <c r="Y37" t="n">
        <v>317</v>
      </c>
      <c r="Z37" t="n">
        <v>217</v>
      </c>
      <c r="AA37" t="n">
        <v>690</v>
      </c>
      <c r="AB37" t="n">
        <v>3</v>
      </c>
      <c r="AC37" t="n">
        <v>4</v>
      </c>
      <c r="AD37" t="n">
        <v>21</v>
      </c>
      <c r="AE37" t="n">
        <v>28</v>
      </c>
      <c r="AF37" t="n">
        <v>3</v>
      </c>
      <c r="AG37" t="n">
        <v>7</v>
      </c>
      <c r="AH37" t="n">
        <v>7</v>
      </c>
      <c r="AI37" t="n">
        <v>8</v>
      </c>
      <c r="AJ37" t="n">
        <v>14</v>
      </c>
      <c r="AK37" t="n">
        <v>15</v>
      </c>
      <c r="AL37" t="n">
        <v>2</v>
      </c>
      <c r="AM37" t="n">
        <v>3</v>
      </c>
      <c r="AN37" t="n">
        <v>1</v>
      </c>
      <c r="AO37" t="n">
        <v>1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HYPERLINK("http://catalog.hathitrust.org/Record/003972017","HathiTrust Record")</f>
        <v/>
      </c>
      <c r="AS37">
        <f>HYPERLINK("https://creighton-primo.hosted.exlibrisgroup.com/primo-explore/search?tab=default_tab&amp;search_scope=EVERYTHING&amp;vid=01CRU&amp;lang=en_US&amp;offset=0&amp;query=any,contains,991002823139702656","Catalog Record")</f>
        <v/>
      </c>
      <c r="AT37">
        <f>HYPERLINK("http://www.worldcat.org/oclc/37156178","WorldCat Record")</f>
        <v/>
      </c>
      <c r="AU37" t="inlineStr">
        <is>
          <t>65359728:eng</t>
        </is>
      </c>
      <c r="AV37" t="inlineStr">
        <is>
          <t>37156178</t>
        </is>
      </c>
      <c r="AW37" t="inlineStr">
        <is>
          <t>991002823139702656</t>
        </is>
      </c>
      <c r="AX37" t="inlineStr">
        <is>
          <t>991002823139702656</t>
        </is>
      </c>
      <c r="AY37" t="inlineStr">
        <is>
          <t>2270932060002656</t>
        </is>
      </c>
      <c r="AZ37" t="inlineStr">
        <is>
          <t>BOOK</t>
        </is>
      </c>
      <c r="BB37" t="inlineStr">
        <is>
          <t>9780521622615</t>
        </is>
      </c>
      <c r="BC37" t="inlineStr">
        <is>
          <t>32285003494803</t>
        </is>
      </c>
      <c r="BD37" t="inlineStr">
        <is>
          <t>893498587</t>
        </is>
      </c>
    </row>
    <row r="38">
      <c r="A38" t="inlineStr">
        <is>
          <t>No</t>
        </is>
      </c>
      <c r="B38" t="inlineStr">
        <is>
          <t>P106 .R676 1982</t>
        </is>
      </c>
      <c r="C38" t="inlineStr">
        <is>
          <t>0                      P  0106000R  676         1982</t>
        </is>
      </c>
      <c r="D38" t="inlineStr">
        <is>
          <t>Telling it like it isn't : language misuse &amp; malpractice, what we can do about it / J. Dan Rothwell.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Rothwell, J. Dan.</t>
        </is>
      </c>
      <c r="L38" t="inlineStr">
        <is>
          <t>Englewood Cliffs, N.J. : Prentice-Hall, c1982.</t>
        </is>
      </c>
      <c r="M38" t="inlineStr">
        <is>
          <t>1982</t>
        </is>
      </c>
      <c r="O38" t="inlineStr">
        <is>
          <t>eng</t>
        </is>
      </c>
      <c r="P38" t="inlineStr">
        <is>
          <t>nju</t>
        </is>
      </c>
      <c r="R38" t="inlineStr">
        <is>
          <t xml:space="preserve">P  </t>
        </is>
      </c>
      <c r="S38" t="n">
        <v>2</v>
      </c>
      <c r="T38" t="n">
        <v>2</v>
      </c>
      <c r="U38" t="inlineStr">
        <is>
          <t>1994-11-14</t>
        </is>
      </c>
      <c r="V38" t="inlineStr">
        <is>
          <t>1994-11-14</t>
        </is>
      </c>
      <c r="W38" t="inlineStr">
        <is>
          <t>1992-04-30</t>
        </is>
      </c>
      <c r="X38" t="inlineStr">
        <is>
          <t>1992-04-30</t>
        </is>
      </c>
      <c r="Y38" t="n">
        <v>294</v>
      </c>
      <c r="Z38" t="n">
        <v>271</v>
      </c>
      <c r="AA38" t="n">
        <v>273</v>
      </c>
      <c r="AB38" t="n">
        <v>3</v>
      </c>
      <c r="AC38" t="n">
        <v>3</v>
      </c>
      <c r="AD38" t="n">
        <v>4</v>
      </c>
      <c r="AE38" t="n">
        <v>4</v>
      </c>
      <c r="AF38" t="n">
        <v>1</v>
      </c>
      <c r="AG38" t="n">
        <v>1</v>
      </c>
      <c r="AH38" t="n">
        <v>0</v>
      </c>
      <c r="AI38" t="n">
        <v>0</v>
      </c>
      <c r="AJ38" t="n">
        <v>2</v>
      </c>
      <c r="AK38" t="n">
        <v>2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HYPERLINK("https://creighton-primo.hosted.exlibrisgroup.com/primo-explore/search?tab=default_tab&amp;search_scope=EVERYTHING&amp;vid=01CRU&amp;lang=en_US&amp;offset=0&amp;query=any,contains,991005179889702656","Catalog Record")</f>
        <v/>
      </c>
      <c r="AT38">
        <f>HYPERLINK("http://www.worldcat.org/oclc/7945037","WorldCat Record")</f>
        <v/>
      </c>
      <c r="AU38" t="inlineStr">
        <is>
          <t>196513629:eng</t>
        </is>
      </c>
      <c r="AV38" t="inlineStr">
        <is>
          <t>7945037</t>
        </is>
      </c>
      <c r="AW38" t="inlineStr">
        <is>
          <t>991005179889702656</t>
        </is>
      </c>
      <c r="AX38" t="inlineStr">
        <is>
          <t>991005179889702656</t>
        </is>
      </c>
      <c r="AY38" t="inlineStr">
        <is>
          <t>2271258870002656</t>
        </is>
      </c>
      <c r="AZ38" t="inlineStr">
        <is>
          <t>BOOK</t>
        </is>
      </c>
      <c r="BB38" t="inlineStr">
        <is>
          <t>9780139031533</t>
        </is>
      </c>
      <c r="BC38" t="inlineStr">
        <is>
          <t>32285001090439</t>
        </is>
      </c>
      <c r="BD38" t="inlineStr">
        <is>
          <t>893260682</t>
        </is>
      </c>
    </row>
    <row r="39">
      <c r="A39" t="inlineStr">
        <is>
          <t>No</t>
        </is>
      </c>
      <c r="B39" t="inlineStr">
        <is>
          <t>P106 .S28</t>
        </is>
      </c>
      <c r="C39" t="inlineStr">
        <is>
          <t>0                      P  0106000S  28</t>
        </is>
      </c>
      <c r="D39" t="inlineStr">
        <is>
          <t>Beyond the letter : a philosophical inquiry into ambiguity, vagueness and metaphor in language / Israel Scheffler.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Scheffler, Israel.</t>
        </is>
      </c>
      <c r="L39" t="inlineStr">
        <is>
          <t>London ; Boston : Routledge &amp; Kegan Paul, 1979.</t>
        </is>
      </c>
      <c r="M39" t="inlineStr">
        <is>
          <t>1979</t>
        </is>
      </c>
      <c r="O39" t="inlineStr">
        <is>
          <t>eng</t>
        </is>
      </c>
      <c r="P39" t="inlineStr">
        <is>
          <t xml:space="preserve">xx </t>
        </is>
      </c>
      <c r="Q39" t="inlineStr">
        <is>
          <t>International library of philosophy and scientific method</t>
        </is>
      </c>
      <c r="R39" t="inlineStr">
        <is>
          <t xml:space="preserve">P  </t>
        </is>
      </c>
      <c r="S39" t="n">
        <v>2</v>
      </c>
      <c r="T39" t="n">
        <v>2</v>
      </c>
      <c r="U39" t="inlineStr">
        <is>
          <t>1996-02-09</t>
        </is>
      </c>
      <c r="V39" t="inlineStr">
        <is>
          <t>1996-02-09</t>
        </is>
      </c>
      <c r="W39" t="inlineStr">
        <is>
          <t>1993-04-01</t>
        </is>
      </c>
      <c r="X39" t="inlineStr">
        <is>
          <t>1993-04-01</t>
        </is>
      </c>
      <c r="Y39" t="n">
        <v>511</v>
      </c>
      <c r="Z39" t="n">
        <v>355</v>
      </c>
      <c r="AA39" t="n">
        <v>388</v>
      </c>
      <c r="AB39" t="n">
        <v>4</v>
      </c>
      <c r="AC39" t="n">
        <v>4</v>
      </c>
      <c r="AD39" t="n">
        <v>22</v>
      </c>
      <c r="AE39" t="n">
        <v>22</v>
      </c>
      <c r="AF39" t="n">
        <v>6</v>
      </c>
      <c r="AG39" t="n">
        <v>6</v>
      </c>
      <c r="AH39" t="n">
        <v>6</v>
      </c>
      <c r="AI39" t="n">
        <v>6</v>
      </c>
      <c r="AJ39" t="n">
        <v>15</v>
      </c>
      <c r="AK39" t="n">
        <v>15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HYPERLINK("http://catalog.hathitrust.org/Record/000095624","HathiTrust Record")</f>
        <v/>
      </c>
      <c r="AS39">
        <f>HYPERLINK("https://creighton-primo.hosted.exlibrisgroup.com/primo-explore/search?tab=default_tab&amp;search_scope=EVERYTHING&amp;vid=01CRU&amp;lang=en_US&amp;offset=0&amp;query=any,contains,991004907919702656","Catalog Record")</f>
        <v/>
      </c>
      <c r="AT39">
        <f>HYPERLINK("http://www.worldcat.org/oclc/5966165","WorldCat Record")</f>
        <v/>
      </c>
      <c r="AU39" t="inlineStr">
        <is>
          <t>445193:eng</t>
        </is>
      </c>
      <c r="AV39" t="inlineStr">
        <is>
          <t>5966165</t>
        </is>
      </c>
      <c r="AW39" t="inlineStr">
        <is>
          <t>991004907919702656</t>
        </is>
      </c>
      <c r="AX39" t="inlineStr">
        <is>
          <t>991004907919702656</t>
        </is>
      </c>
      <c r="AY39" t="inlineStr">
        <is>
          <t>2268904990002656</t>
        </is>
      </c>
      <c r="AZ39" t="inlineStr">
        <is>
          <t>BOOK</t>
        </is>
      </c>
      <c r="BB39" t="inlineStr">
        <is>
          <t>9780710003157</t>
        </is>
      </c>
      <c r="BC39" t="inlineStr">
        <is>
          <t>32285001613057</t>
        </is>
      </c>
      <c r="BD39" t="inlineStr">
        <is>
          <t>893418135</t>
        </is>
      </c>
    </row>
    <row r="40">
      <c r="A40" t="inlineStr">
        <is>
          <t>No</t>
        </is>
      </c>
      <c r="B40" t="inlineStr">
        <is>
          <t>P106 .T724 2000</t>
        </is>
      </c>
      <c r="C40" t="inlineStr">
        <is>
          <t>0                      P  0106000T  724         2000</t>
        </is>
      </c>
      <c r="D40" t="inlineStr">
        <is>
          <t>Unshadowed thought : representation in thought and language / Charles Travis.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Travis, Charles, 1943-</t>
        </is>
      </c>
      <c r="L40" t="inlineStr">
        <is>
          <t>Cambridge, Mass. : Harvard University Press, 2000.</t>
        </is>
      </c>
      <c r="M40" t="inlineStr">
        <is>
          <t>2000</t>
        </is>
      </c>
      <c r="O40" t="inlineStr">
        <is>
          <t>eng</t>
        </is>
      </c>
      <c r="P40" t="inlineStr">
        <is>
          <t>mau</t>
        </is>
      </c>
      <c r="R40" t="inlineStr">
        <is>
          <t xml:space="preserve">P  </t>
        </is>
      </c>
      <c r="S40" t="n">
        <v>1</v>
      </c>
      <c r="T40" t="n">
        <v>1</v>
      </c>
      <c r="U40" t="inlineStr">
        <is>
          <t>2009-03-16</t>
        </is>
      </c>
      <c r="V40" t="inlineStr">
        <is>
          <t>2009-03-16</t>
        </is>
      </c>
      <c r="W40" t="inlineStr">
        <is>
          <t>2009-03-16</t>
        </is>
      </c>
      <c r="X40" t="inlineStr">
        <is>
          <t>2009-03-16</t>
        </is>
      </c>
      <c r="Y40" t="n">
        <v>303</v>
      </c>
      <c r="Z40" t="n">
        <v>227</v>
      </c>
      <c r="AA40" t="n">
        <v>229</v>
      </c>
      <c r="AB40" t="n">
        <v>3</v>
      </c>
      <c r="AC40" t="n">
        <v>3</v>
      </c>
      <c r="AD40" t="n">
        <v>10</v>
      </c>
      <c r="AE40" t="n">
        <v>10</v>
      </c>
      <c r="AF40" t="n">
        <v>0</v>
      </c>
      <c r="AG40" t="n">
        <v>0</v>
      </c>
      <c r="AH40" t="n">
        <v>4</v>
      </c>
      <c r="AI40" t="n">
        <v>4</v>
      </c>
      <c r="AJ40" t="n">
        <v>6</v>
      </c>
      <c r="AK40" t="n">
        <v>6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HYPERLINK("http://catalog.hathitrust.org/Record/004138497","HathiTrust Record")</f>
        <v/>
      </c>
      <c r="AS40">
        <f>HYPERLINK("https://creighton-primo.hosted.exlibrisgroup.com/primo-explore/search?tab=default_tab&amp;search_scope=EVERYTHING&amp;vid=01CRU&amp;lang=en_US&amp;offset=0&amp;query=any,contains,991005298899702656","Catalog Record")</f>
        <v/>
      </c>
      <c r="AT40">
        <f>HYPERLINK("http://www.worldcat.org/oclc/44270425","WorldCat Record")</f>
        <v/>
      </c>
      <c r="AU40" t="inlineStr">
        <is>
          <t>2675740:eng</t>
        </is>
      </c>
      <c r="AV40" t="inlineStr">
        <is>
          <t>44270425</t>
        </is>
      </c>
      <c r="AW40" t="inlineStr">
        <is>
          <t>991005298899702656</t>
        </is>
      </c>
      <c r="AX40" t="inlineStr">
        <is>
          <t>991005298899702656</t>
        </is>
      </c>
      <c r="AY40" t="inlineStr">
        <is>
          <t>2260801330002656</t>
        </is>
      </c>
      <c r="AZ40" t="inlineStr">
        <is>
          <t>BOOK</t>
        </is>
      </c>
      <c r="BB40" t="inlineStr">
        <is>
          <t>9780674003392</t>
        </is>
      </c>
      <c r="BC40" t="inlineStr">
        <is>
          <t>32285005509350</t>
        </is>
      </c>
      <c r="BD40" t="inlineStr">
        <is>
          <t>893418707</t>
        </is>
      </c>
    </row>
    <row r="41">
      <c r="A41" t="inlineStr">
        <is>
          <t>No</t>
        </is>
      </c>
      <c r="B41" t="inlineStr">
        <is>
          <t>P106 .W328 1993</t>
        </is>
      </c>
      <c r="C41" t="inlineStr">
        <is>
          <t>0                      P  0106000W  328         1993</t>
        </is>
      </c>
      <c r="D41" t="inlineStr">
        <is>
          <t>What's in a name? : reflections on language, magic, and religion / G.A. Wells.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Wells, George Albert, 1926-</t>
        </is>
      </c>
      <c r="L41" t="inlineStr">
        <is>
          <t>Chicago : Open Court, 1993.</t>
        </is>
      </c>
      <c r="M41" t="inlineStr">
        <is>
          <t>1993</t>
        </is>
      </c>
      <c r="O41" t="inlineStr">
        <is>
          <t>eng</t>
        </is>
      </c>
      <c r="P41" t="inlineStr">
        <is>
          <t>ilu</t>
        </is>
      </c>
      <c r="R41" t="inlineStr">
        <is>
          <t xml:space="preserve">P  </t>
        </is>
      </c>
      <c r="S41" t="n">
        <v>2</v>
      </c>
      <c r="T41" t="n">
        <v>2</v>
      </c>
      <c r="U41" t="inlineStr">
        <is>
          <t>1998-01-23</t>
        </is>
      </c>
      <c r="V41" t="inlineStr">
        <is>
          <t>1998-01-23</t>
        </is>
      </c>
      <c r="W41" t="inlineStr">
        <is>
          <t>1996-11-14</t>
        </is>
      </c>
      <c r="X41" t="inlineStr">
        <is>
          <t>1996-11-14</t>
        </is>
      </c>
      <c r="Y41" t="n">
        <v>165</v>
      </c>
      <c r="Z41" t="n">
        <v>128</v>
      </c>
      <c r="AA41" t="n">
        <v>144</v>
      </c>
      <c r="AB41" t="n">
        <v>1</v>
      </c>
      <c r="AC41" t="n">
        <v>1</v>
      </c>
      <c r="AD41" t="n">
        <v>6</v>
      </c>
      <c r="AE41" t="n">
        <v>6</v>
      </c>
      <c r="AF41" t="n">
        <v>1</v>
      </c>
      <c r="AG41" t="n">
        <v>1</v>
      </c>
      <c r="AH41" t="n">
        <v>2</v>
      </c>
      <c r="AI41" t="n">
        <v>2</v>
      </c>
      <c r="AJ41" t="n">
        <v>5</v>
      </c>
      <c r="AK41" t="n">
        <v>5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HYPERLINK("http://catalog.hathitrust.org/Record/002738506","HathiTrust Record")</f>
        <v/>
      </c>
      <c r="AS41">
        <f>HYPERLINK("https://creighton-primo.hosted.exlibrisgroup.com/primo-explore/search?tab=default_tab&amp;search_scope=EVERYTHING&amp;vid=01CRU&amp;lang=en_US&amp;offset=0&amp;query=any,contains,991002218609702656","Catalog Record")</f>
        <v/>
      </c>
      <c r="AT41">
        <f>HYPERLINK("http://www.worldcat.org/oclc/28583667","WorldCat Record")</f>
        <v/>
      </c>
      <c r="AU41" t="inlineStr">
        <is>
          <t>339951737:eng</t>
        </is>
      </c>
      <c r="AV41" t="inlineStr">
        <is>
          <t>28583667</t>
        </is>
      </c>
      <c r="AW41" t="inlineStr">
        <is>
          <t>991002218609702656</t>
        </is>
      </c>
      <c r="AX41" t="inlineStr">
        <is>
          <t>991002218609702656</t>
        </is>
      </c>
      <c r="AY41" t="inlineStr">
        <is>
          <t>2258387860002656</t>
        </is>
      </c>
      <c r="AZ41" t="inlineStr">
        <is>
          <t>BOOK</t>
        </is>
      </c>
      <c r="BB41" t="inlineStr">
        <is>
          <t>9780812692389</t>
        </is>
      </c>
      <c r="BC41" t="inlineStr">
        <is>
          <t>32285001419877</t>
        </is>
      </c>
      <c r="BD41" t="inlineStr">
        <is>
          <t>893609590</t>
        </is>
      </c>
    </row>
    <row r="42">
      <c r="A42" t="inlineStr">
        <is>
          <t>No</t>
        </is>
      </c>
      <c r="B42" t="inlineStr">
        <is>
          <t>P106 .Y85 1985</t>
        </is>
      </c>
      <c r="C42" t="inlineStr">
        <is>
          <t>0                      P  0106000Y  85          1985</t>
        </is>
      </c>
      <c r="D42" t="inlineStr">
        <is>
          <t>The study of language : an introduction / George Yule.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Yes</t>
        </is>
      </c>
      <c r="J42" t="inlineStr">
        <is>
          <t>0</t>
        </is>
      </c>
      <c r="K42" t="inlineStr">
        <is>
          <t>Yule, George, 1947-</t>
        </is>
      </c>
      <c r="L42" t="inlineStr">
        <is>
          <t>Cambridge [Cambridgeshire] ; New York : Cambridge University Press, 1985.</t>
        </is>
      </c>
      <c r="M42" t="inlineStr">
        <is>
          <t>1985</t>
        </is>
      </c>
      <c r="O42" t="inlineStr">
        <is>
          <t>eng</t>
        </is>
      </c>
      <c r="P42" t="inlineStr">
        <is>
          <t>enk</t>
        </is>
      </c>
      <c r="R42" t="inlineStr">
        <is>
          <t xml:space="preserve">P  </t>
        </is>
      </c>
      <c r="S42" t="n">
        <v>2</v>
      </c>
      <c r="T42" t="n">
        <v>2</v>
      </c>
      <c r="U42" t="inlineStr">
        <is>
          <t>1993-10-13</t>
        </is>
      </c>
      <c r="V42" t="inlineStr">
        <is>
          <t>1993-10-13</t>
        </is>
      </c>
      <c r="W42" t="inlineStr">
        <is>
          <t>1996-10-28</t>
        </is>
      </c>
      <c r="X42" t="inlineStr">
        <is>
          <t>1996-10-28</t>
        </is>
      </c>
      <c r="Y42" t="n">
        <v>609</v>
      </c>
      <c r="Z42" t="n">
        <v>356</v>
      </c>
      <c r="AA42" t="n">
        <v>979</v>
      </c>
      <c r="AB42" t="n">
        <v>3</v>
      </c>
      <c r="AC42" t="n">
        <v>19</v>
      </c>
      <c r="AD42" t="n">
        <v>18</v>
      </c>
      <c r="AE42" t="n">
        <v>39</v>
      </c>
      <c r="AF42" t="n">
        <v>8</v>
      </c>
      <c r="AG42" t="n">
        <v>13</v>
      </c>
      <c r="AH42" t="n">
        <v>4</v>
      </c>
      <c r="AI42" t="n">
        <v>6</v>
      </c>
      <c r="AJ42" t="n">
        <v>10</v>
      </c>
      <c r="AK42" t="n">
        <v>17</v>
      </c>
      <c r="AL42" t="n">
        <v>2</v>
      </c>
      <c r="AM42" t="n">
        <v>11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HYPERLINK("http://catalog.hathitrust.org/Record/000469024","HathiTrust Record")</f>
        <v/>
      </c>
      <c r="AS42">
        <f>HYPERLINK("https://creighton-primo.hosted.exlibrisgroup.com/primo-explore/search?tab=default_tab&amp;search_scope=EVERYTHING&amp;vid=01CRU&amp;lang=en_US&amp;offset=0&amp;query=any,contains,991000607469702656","Catalog Record")</f>
        <v/>
      </c>
      <c r="AT42">
        <f>HYPERLINK("http://www.worldcat.org/oclc/11867613","WorldCat Record")</f>
        <v/>
      </c>
      <c r="AU42" t="inlineStr">
        <is>
          <t>36404106:eng</t>
        </is>
      </c>
      <c r="AV42" t="inlineStr">
        <is>
          <t>11867613</t>
        </is>
      </c>
      <c r="AW42" t="inlineStr">
        <is>
          <t>991000607469702656</t>
        </is>
      </c>
      <c r="AX42" t="inlineStr">
        <is>
          <t>991000607469702656</t>
        </is>
      </c>
      <c r="AY42" t="inlineStr">
        <is>
          <t>2262604000002656</t>
        </is>
      </c>
      <c r="AZ42" t="inlineStr">
        <is>
          <t>BOOK</t>
        </is>
      </c>
      <c r="BB42" t="inlineStr">
        <is>
          <t>9780521318778</t>
        </is>
      </c>
      <c r="BC42" t="inlineStr">
        <is>
          <t>32285002390069</t>
        </is>
      </c>
      <c r="BD42" t="inlineStr">
        <is>
          <t>893249503</t>
        </is>
      </c>
    </row>
    <row r="43">
      <c r="A43" t="inlineStr">
        <is>
          <t>No</t>
        </is>
      </c>
      <c r="B43" t="inlineStr">
        <is>
          <t>P107 .O88 2005</t>
        </is>
      </c>
      <c r="C43" t="inlineStr">
        <is>
          <t>0                      P  0107000O  88          2005</t>
        </is>
      </c>
      <c r="D43" t="inlineStr">
        <is>
          <t>Empires of the word : a language history of the world / Nicholas Ostler.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Ostler, Nicholas.</t>
        </is>
      </c>
      <c r="L43" t="inlineStr">
        <is>
          <t>New York : HarperCollins Publishers, c2005.</t>
        </is>
      </c>
      <c r="M43" t="inlineStr">
        <is>
          <t>2005</t>
        </is>
      </c>
      <c r="N43" t="inlineStr">
        <is>
          <t>1st ed.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P  </t>
        </is>
      </c>
      <c r="S43" t="n">
        <v>3</v>
      </c>
      <c r="T43" t="n">
        <v>3</v>
      </c>
      <c r="U43" t="inlineStr">
        <is>
          <t>2006-07-12</t>
        </is>
      </c>
      <c r="V43" t="inlineStr">
        <is>
          <t>2006-07-12</t>
        </is>
      </c>
      <c r="W43" t="inlineStr">
        <is>
          <t>2005-11-17</t>
        </is>
      </c>
      <c r="X43" t="inlineStr">
        <is>
          <t>2005-11-17</t>
        </is>
      </c>
      <c r="Y43" t="n">
        <v>1390</v>
      </c>
      <c r="Z43" t="n">
        <v>1273</v>
      </c>
      <c r="AA43" t="n">
        <v>1533</v>
      </c>
      <c r="AB43" t="n">
        <v>7</v>
      </c>
      <c r="AC43" t="n">
        <v>12</v>
      </c>
      <c r="AD43" t="n">
        <v>29</v>
      </c>
      <c r="AE43" t="n">
        <v>43</v>
      </c>
      <c r="AF43" t="n">
        <v>14</v>
      </c>
      <c r="AG43" t="n">
        <v>17</v>
      </c>
      <c r="AH43" t="n">
        <v>2</v>
      </c>
      <c r="AI43" t="n">
        <v>6</v>
      </c>
      <c r="AJ43" t="n">
        <v>11</v>
      </c>
      <c r="AK43" t="n">
        <v>17</v>
      </c>
      <c r="AL43" t="n">
        <v>4</v>
      </c>
      <c r="AM43" t="n">
        <v>9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HYPERLINK("https://creighton-primo.hosted.exlibrisgroup.com/primo-explore/search?tab=default_tab&amp;search_scope=EVERYTHING&amp;vid=01CRU&amp;lang=en_US&amp;offset=0&amp;query=any,contains,991004615639702656","Catalog Record")</f>
        <v/>
      </c>
      <c r="AT43">
        <f>HYPERLINK("http://www.worldcat.org/oclc/58563178","WorldCat Record")</f>
        <v/>
      </c>
      <c r="AU43" t="inlineStr">
        <is>
          <t>796381725:eng</t>
        </is>
      </c>
      <c r="AV43" t="inlineStr">
        <is>
          <t>58563178</t>
        </is>
      </c>
      <c r="AW43" t="inlineStr">
        <is>
          <t>991004615639702656</t>
        </is>
      </c>
      <c r="AX43" t="inlineStr">
        <is>
          <t>991004615639702656</t>
        </is>
      </c>
      <c r="AY43" t="inlineStr">
        <is>
          <t>2263757090002656</t>
        </is>
      </c>
      <c r="AZ43" t="inlineStr">
        <is>
          <t>BOOK</t>
        </is>
      </c>
      <c r="BB43" t="inlineStr">
        <is>
          <t>9780066210865</t>
        </is>
      </c>
      <c r="BC43" t="inlineStr">
        <is>
          <t>32285005148118</t>
        </is>
      </c>
      <c r="BD43" t="inlineStr">
        <is>
          <t>893519849</t>
        </is>
      </c>
    </row>
    <row r="44">
      <c r="A44" t="inlineStr">
        <is>
          <t>No</t>
        </is>
      </c>
      <c r="B44" t="inlineStr">
        <is>
          <t>P107 .P546 2006</t>
        </is>
      </c>
      <c r="C44" t="inlineStr">
        <is>
          <t>0                      P  0107000P  546         2006</t>
        </is>
      </c>
      <c r="D44" t="inlineStr">
        <is>
          <t>Philosophy of language / edited by Ernest Sosa and Enrique Villanueva.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Malden, MA : Blackwell Pub., c2006.</t>
        </is>
      </c>
      <c r="M44" t="inlineStr">
        <is>
          <t>2006</t>
        </is>
      </c>
      <c r="O44" t="inlineStr">
        <is>
          <t>eng</t>
        </is>
      </c>
      <c r="P44" t="inlineStr">
        <is>
          <t>mau</t>
        </is>
      </c>
      <c r="Q44" t="inlineStr">
        <is>
          <t>Philosophical issues ; 16</t>
        </is>
      </c>
      <c r="R44" t="inlineStr">
        <is>
          <t xml:space="preserve">P  </t>
        </is>
      </c>
      <c r="S44" t="n">
        <v>5</v>
      </c>
      <c r="T44" t="n">
        <v>5</v>
      </c>
      <c r="U44" t="inlineStr">
        <is>
          <t>2008-03-31</t>
        </is>
      </c>
      <c r="V44" t="inlineStr">
        <is>
          <t>2008-03-31</t>
        </is>
      </c>
      <c r="W44" t="inlineStr">
        <is>
          <t>2006-11-20</t>
        </is>
      </c>
      <c r="X44" t="inlineStr">
        <is>
          <t>2006-11-20</t>
        </is>
      </c>
      <c r="Y44" t="n">
        <v>262</v>
      </c>
      <c r="Z44" t="n">
        <v>194</v>
      </c>
      <c r="AA44" t="n">
        <v>197</v>
      </c>
      <c r="AB44" t="n">
        <v>2</v>
      </c>
      <c r="AC44" t="n">
        <v>2</v>
      </c>
      <c r="AD44" t="n">
        <v>15</v>
      </c>
      <c r="AE44" t="n">
        <v>15</v>
      </c>
      <c r="AF44" t="n">
        <v>6</v>
      </c>
      <c r="AG44" t="n">
        <v>6</v>
      </c>
      <c r="AH44" t="n">
        <v>5</v>
      </c>
      <c r="AI44" t="n">
        <v>5</v>
      </c>
      <c r="AJ44" t="n">
        <v>7</v>
      </c>
      <c r="AK44" t="n">
        <v>7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HYPERLINK("http://catalog.hathitrust.org/Record/005346166","HathiTrust Record")</f>
        <v/>
      </c>
      <c r="AS44">
        <f>HYPERLINK("https://creighton-primo.hosted.exlibrisgroup.com/primo-explore/search?tab=default_tab&amp;search_scope=EVERYTHING&amp;vid=01CRU&amp;lang=en_US&amp;offset=0&amp;query=any,contains,991004984789702656","Catalog Record")</f>
        <v/>
      </c>
      <c r="AT44">
        <f>HYPERLINK("http://www.worldcat.org/oclc/71350561","WorldCat Record")</f>
        <v/>
      </c>
      <c r="AU44" t="inlineStr">
        <is>
          <t>351830402:eng</t>
        </is>
      </c>
      <c r="AV44" t="inlineStr">
        <is>
          <t>71350561</t>
        </is>
      </c>
      <c r="AW44" t="inlineStr">
        <is>
          <t>991004984789702656</t>
        </is>
      </c>
      <c r="AX44" t="inlineStr">
        <is>
          <t>991004984789702656</t>
        </is>
      </c>
      <c r="AY44" t="inlineStr">
        <is>
          <t>2271239140002656</t>
        </is>
      </c>
      <c r="AZ44" t="inlineStr">
        <is>
          <t>BOOK</t>
        </is>
      </c>
      <c r="BB44" t="inlineStr">
        <is>
          <t>9781405160315</t>
        </is>
      </c>
      <c r="BC44" t="inlineStr">
        <is>
          <t>32285005260905</t>
        </is>
      </c>
      <c r="BD44" t="inlineStr">
        <is>
          <t>893507451</t>
        </is>
      </c>
    </row>
    <row r="45">
      <c r="A45" t="inlineStr">
        <is>
          <t>No</t>
        </is>
      </c>
      <c r="B45" t="inlineStr">
        <is>
          <t>P107 .S93 2001</t>
        </is>
      </c>
      <c r="C45" t="inlineStr">
        <is>
          <t>0                      P  0107000S  93          2001</t>
        </is>
      </c>
      <c r="D45" t="inlineStr">
        <is>
          <t>Words of the world : the global language system / Abram de Swaan.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Swaan, Abram de, 1942-</t>
        </is>
      </c>
      <c r="L45" t="inlineStr">
        <is>
          <t>Cambridge, UK : Polity ; Malden, MA : Blackwell, 2001.</t>
        </is>
      </c>
      <c r="M45" t="inlineStr">
        <is>
          <t>2001</t>
        </is>
      </c>
      <c r="O45" t="inlineStr">
        <is>
          <t>eng</t>
        </is>
      </c>
      <c r="P45" t="inlineStr">
        <is>
          <t>enk</t>
        </is>
      </c>
      <c r="R45" t="inlineStr">
        <is>
          <t xml:space="preserve">P  </t>
        </is>
      </c>
      <c r="S45" t="n">
        <v>2</v>
      </c>
      <c r="T45" t="n">
        <v>2</v>
      </c>
      <c r="U45" t="inlineStr">
        <is>
          <t>2003-11-24</t>
        </is>
      </c>
      <c r="V45" t="inlineStr">
        <is>
          <t>2003-11-24</t>
        </is>
      </c>
      <c r="W45" t="inlineStr">
        <is>
          <t>2002-04-22</t>
        </is>
      </c>
      <c r="X45" t="inlineStr">
        <is>
          <t>2002-04-22</t>
        </is>
      </c>
      <c r="Y45" t="n">
        <v>279</v>
      </c>
      <c r="Z45" t="n">
        <v>170</v>
      </c>
      <c r="AA45" t="n">
        <v>188</v>
      </c>
      <c r="AB45" t="n">
        <v>2</v>
      </c>
      <c r="AC45" t="n">
        <v>2</v>
      </c>
      <c r="AD45" t="n">
        <v>5</v>
      </c>
      <c r="AE45" t="n">
        <v>6</v>
      </c>
      <c r="AF45" t="n">
        <v>2</v>
      </c>
      <c r="AG45" t="n">
        <v>3</v>
      </c>
      <c r="AH45" t="n">
        <v>1</v>
      </c>
      <c r="AI45" t="n">
        <v>2</v>
      </c>
      <c r="AJ45" t="n">
        <v>3</v>
      </c>
      <c r="AK45" t="n">
        <v>3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HYPERLINK("http://catalog.hathitrust.org/Record/004216044","HathiTrust Record")</f>
        <v/>
      </c>
      <c r="AS45">
        <f>HYPERLINK("https://creighton-primo.hosted.exlibrisgroup.com/primo-explore/search?tab=default_tab&amp;search_scope=EVERYTHING&amp;vid=01CRU&amp;lang=en_US&amp;offset=0&amp;query=any,contains,991003775169702656","Catalog Record")</f>
        <v/>
      </c>
      <c r="AT45">
        <f>HYPERLINK("http://www.worldcat.org/oclc/47650565","WorldCat Record")</f>
        <v/>
      </c>
      <c r="AU45" t="inlineStr">
        <is>
          <t>353947824:eng</t>
        </is>
      </c>
      <c r="AV45" t="inlineStr">
        <is>
          <t>47650565</t>
        </is>
      </c>
      <c r="AW45" t="inlineStr">
        <is>
          <t>991003775169702656</t>
        </is>
      </c>
      <c r="AX45" t="inlineStr">
        <is>
          <t>991003775169702656</t>
        </is>
      </c>
      <c r="AY45" t="inlineStr">
        <is>
          <t>2260090000002656</t>
        </is>
      </c>
      <c r="AZ45" t="inlineStr">
        <is>
          <t>BOOK</t>
        </is>
      </c>
      <c r="BB45" t="inlineStr">
        <is>
          <t>9780745627472</t>
        </is>
      </c>
      <c r="BC45" t="inlineStr">
        <is>
          <t>32285004481924</t>
        </is>
      </c>
      <c r="BD45" t="inlineStr">
        <is>
          <t>893699405</t>
        </is>
      </c>
    </row>
    <row r="46">
      <c r="A46" t="inlineStr">
        <is>
          <t>No</t>
        </is>
      </c>
      <c r="B46" t="inlineStr">
        <is>
          <t>P1078 .B58 1983</t>
        </is>
      </c>
      <c r="C46" t="inlineStr">
        <is>
          <t>0                      P  1078000B  58          1983</t>
        </is>
      </c>
      <c r="D46" t="inlineStr">
        <is>
          <t>The Etruscan language : an introduction / Giuliano Bonfante and Larissa Bonfante.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Bonfante, Giuliano, 1904-2005.</t>
        </is>
      </c>
      <c r="L46" t="inlineStr">
        <is>
          <t>New York : New York University Press, 1983.</t>
        </is>
      </c>
      <c r="M46" t="inlineStr">
        <is>
          <t>1983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P  </t>
        </is>
      </c>
      <c r="S46" t="n">
        <v>4</v>
      </c>
      <c r="T46" t="n">
        <v>4</v>
      </c>
      <c r="U46" t="inlineStr">
        <is>
          <t>2000-08-22</t>
        </is>
      </c>
      <c r="V46" t="inlineStr">
        <is>
          <t>2000-08-22</t>
        </is>
      </c>
      <c r="W46" t="inlineStr">
        <is>
          <t>1993-04-06</t>
        </is>
      </c>
      <c r="X46" t="inlineStr">
        <is>
          <t>1993-04-06</t>
        </is>
      </c>
      <c r="Y46" t="n">
        <v>263</v>
      </c>
      <c r="Z46" t="n">
        <v>236</v>
      </c>
      <c r="AA46" t="n">
        <v>340</v>
      </c>
      <c r="AB46" t="n">
        <v>1</v>
      </c>
      <c r="AC46" t="n">
        <v>2</v>
      </c>
      <c r="AD46" t="n">
        <v>6</v>
      </c>
      <c r="AE46" t="n">
        <v>16</v>
      </c>
      <c r="AF46" t="n">
        <v>0</v>
      </c>
      <c r="AG46" t="n">
        <v>4</v>
      </c>
      <c r="AH46" t="n">
        <v>4</v>
      </c>
      <c r="AI46" t="n">
        <v>6</v>
      </c>
      <c r="AJ46" t="n">
        <v>3</v>
      </c>
      <c r="AK46" t="n">
        <v>10</v>
      </c>
      <c r="AL46" t="n">
        <v>0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HYPERLINK("https://creighton-primo.hosted.exlibrisgroup.com/primo-explore/search?tab=default_tab&amp;search_scope=EVERYTHING&amp;vid=01CRU&amp;lang=en_US&amp;offset=0&amp;query=any,contains,991000250889702656","Catalog Record")</f>
        <v/>
      </c>
      <c r="AT46">
        <f>HYPERLINK("http://www.worldcat.org/oclc/9757050","WorldCat Record")</f>
        <v/>
      </c>
      <c r="AU46" t="inlineStr">
        <is>
          <t>6267751:eng</t>
        </is>
      </c>
      <c r="AV46" t="inlineStr">
        <is>
          <t>9757050</t>
        </is>
      </c>
      <c r="AW46" t="inlineStr">
        <is>
          <t>991000250889702656</t>
        </is>
      </c>
      <c r="AX46" t="inlineStr">
        <is>
          <t>991000250889702656</t>
        </is>
      </c>
      <c r="AY46" t="inlineStr">
        <is>
          <t>2255253670002656</t>
        </is>
      </c>
      <c r="AZ46" t="inlineStr">
        <is>
          <t>BOOK</t>
        </is>
      </c>
      <c r="BB46" t="inlineStr">
        <is>
          <t>9780814710470</t>
        </is>
      </c>
      <c r="BC46" t="inlineStr">
        <is>
          <t>32285001614287</t>
        </is>
      </c>
      <c r="BD46" t="inlineStr">
        <is>
          <t>893614049</t>
        </is>
      </c>
    </row>
    <row r="47">
      <c r="A47" t="inlineStr">
        <is>
          <t>No</t>
        </is>
      </c>
      <c r="B47" t="inlineStr">
        <is>
          <t>P115 .B545 1984</t>
        </is>
      </c>
      <c r="C47" t="inlineStr">
        <is>
          <t>0                      P  0115000B  545         1984</t>
        </is>
      </c>
      <c r="D47" t="inlineStr">
        <is>
          <t>Bilingualism and language disability : assessment &amp; remediation / edited by Niklas Miller.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London : Croom Helm ; San Diego, CA : College Hill Press, c1984.</t>
        </is>
      </c>
      <c r="M47" t="inlineStr">
        <is>
          <t>1984</t>
        </is>
      </c>
      <c r="O47" t="inlineStr">
        <is>
          <t>eng</t>
        </is>
      </c>
      <c r="P47" t="inlineStr">
        <is>
          <t>enk</t>
        </is>
      </c>
      <c r="R47" t="inlineStr">
        <is>
          <t xml:space="preserve">P  </t>
        </is>
      </c>
      <c r="S47" t="n">
        <v>9</v>
      </c>
      <c r="T47" t="n">
        <v>9</v>
      </c>
      <c r="U47" t="inlineStr">
        <is>
          <t>2008-03-14</t>
        </is>
      </c>
      <c r="V47" t="inlineStr">
        <is>
          <t>2008-03-14</t>
        </is>
      </c>
      <c r="W47" t="inlineStr">
        <is>
          <t>1992-03-17</t>
        </is>
      </c>
      <c r="X47" t="inlineStr">
        <is>
          <t>1992-03-17</t>
        </is>
      </c>
      <c r="Y47" t="n">
        <v>444</v>
      </c>
      <c r="Z47" t="n">
        <v>315</v>
      </c>
      <c r="AA47" t="n">
        <v>340</v>
      </c>
      <c r="AB47" t="n">
        <v>2</v>
      </c>
      <c r="AC47" t="n">
        <v>2</v>
      </c>
      <c r="AD47" t="n">
        <v>12</v>
      </c>
      <c r="AE47" t="n">
        <v>12</v>
      </c>
      <c r="AF47" t="n">
        <v>6</v>
      </c>
      <c r="AG47" t="n">
        <v>6</v>
      </c>
      <c r="AH47" t="n">
        <v>4</v>
      </c>
      <c r="AI47" t="n">
        <v>4</v>
      </c>
      <c r="AJ47" t="n">
        <v>5</v>
      </c>
      <c r="AK47" t="n">
        <v>5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HYPERLINK("http://catalog.hathitrust.org/Record/000285958","HathiTrust Record")</f>
        <v/>
      </c>
      <c r="AS47">
        <f>HYPERLINK("https://creighton-primo.hosted.exlibrisgroup.com/primo-explore/search?tab=default_tab&amp;search_scope=EVERYTHING&amp;vid=01CRU&amp;lang=en_US&amp;offset=0&amp;query=any,contains,991000370899702656","Catalog Record")</f>
        <v/>
      </c>
      <c r="AT47">
        <f>HYPERLINK("http://www.worldcat.org/oclc/10430262","WorldCat Record")</f>
        <v/>
      </c>
      <c r="AU47" t="inlineStr">
        <is>
          <t>836655272:eng</t>
        </is>
      </c>
      <c r="AV47" t="inlineStr">
        <is>
          <t>10430262</t>
        </is>
      </c>
      <c r="AW47" t="inlineStr">
        <is>
          <t>991000370899702656</t>
        </is>
      </c>
      <c r="AX47" t="inlineStr">
        <is>
          <t>991000370899702656</t>
        </is>
      </c>
      <c r="AY47" t="inlineStr">
        <is>
          <t>2264323090002656</t>
        </is>
      </c>
      <c r="AZ47" t="inlineStr">
        <is>
          <t>BOOK</t>
        </is>
      </c>
      <c r="BB47" t="inlineStr">
        <is>
          <t>9780933014268</t>
        </is>
      </c>
      <c r="BC47" t="inlineStr">
        <is>
          <t>32285001022648</t>
        </is>
      </c>
      <c r="BD47" t="inlineStr">
        <is>
          <t>893871588</t>
        </is>
      </c>
    </row>
    <row r="48">
      <c r="A48" t="inlineStr">
        <is>
          <t>No</t>
        </is>
      </c>
      <c r="B48" t="inlineStr">
        <is>
          <t>P115 .H34 1986</t>
        </is>
      </c>
      <c r="C48" t="inlineStr">
        <is>
          <t>0                      P  0115000H  34          1986</t>
        </is>
      </c>
      <c r="D48" t="inlineStr">
        <is>
          <t>Mirror of language : the debate on bilingualism / Kenji Hakuta.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Hakuta, Kenji.</t>
        </is>
      </c>
      <c r="L48" t="inlineStr">
        <is>
          <t>New York : Basic Books, c1986.</t>
        </is>
      </c>
      <c r="M48" t="inlineStr">
        <is>
          <t>1986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P  </t>
        </is>
      </c>
      <c r="S48" t="n">
        <v>5</v>
      </c>
      <c r="T48" t="n">
        <v>5</v>
      </c>
      <c r="U48" t="inlineStr">
        <is>
          <t>2008-03-14</t>
        </is>
      </c>
      <c r="V48" t="inlineStr">
        <is>
          <t>2008-03-14</t>
        </is>
      </c>
      <c r="W48" t="inlineStr">
        <is>
          <t>1992-04-09</t>
        </is>
      </c>
      <c r="X48" t="inlineStr">
        <is>
          <t>1992-04-09</t>
        </is>
      </c>
      <c r="Y48" t="n">
        <v>1236</v>
      </c>
      <c r="Z48" t="n">
        <v>1055</v>
      </c>
      <c r="AA48" t="n">
        <v>1073</v>
      </c>
      <c r="AB48" t="n">
        <v>5</v>
      </c>
      <c r="AC48" t="n">
        <v>5</v>
      </c>
      <c r="AD48" t="n">
        <v>38</v>
      </c>
      <c r="AE48" t="n">
        <v>39</v>
      </c>
      <c r="AF48" t="n">
        <v>16</v>
      </c>
      <c r="AG48" t="n">
        <v>17</v>
      </c>
      <c r="AH48" t="n">
        <v>9</v>
      </c>
      <c r="AI48" t="n">
        <v>9</v>
      </c>
      <c r="AJ48" t="n">
        <v>21</v>
      </c>
      <c r="AK48" t="n">
        <v>21</v>
      </c>
      <c r="AL48" t="n">
        <v>3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HYPERLINK("http://catalog.hathitrust.org/Record/000576414","HathiTrust Record")</f>
        <v/>
      </c>
      <c r="AS48">
        <f>HYPERLINK("https://creighton-primo.hosted.exlibrisgroup.com/primo-explore/search?tab=default_tab&amp;search_scope=EVERYTHING&amp;vid=01CRU&amp;lang=en_US&amp;offset=0&amp;query=any,contains,991000731669702656","Catalog Record")</f>
        <v/>
      </c>
      <c r="AT48">
        <f>HYPERLINK("http://www.worldcat.org/oclc/12724762","WorldCat Record")</f>
        <v/>
      </c>
      <c r="AU48" t="inlineStr">
        <is>
          <t>5553193:eng</t>
        </is>
      </c>
      <c r="AV48" t="inlineStr">
        <is>
          <t>12724762</t>
        </is>
      </c>
      <c r="AW48" t="inlineStr">
        <is>
          <t>991000731669702656</t>
        </is>
      </c>
      <c r="AX48" t="inlineStr">
        <is>
          <t>991000731669702656</t>
        </is>
      </c>
      <c r="AY48" t="inlineStr">
        <is>
          <t>2266899430002656</t>
        </is>
      </c>
      <c r="AZ48" t="inlineStr">
        <is>
          <t>BOOK</t>
        </is>
      </c>
      <c r="BB48" t="inlineStr">
        <is>
          <t>9780465046362</t>
        </is>
      </c>
      <c r="BC48" t="inlineStr">
        <is>
          <t>32285001057057</t>
        </is>
      </c>
      <c r="BD48" t="inlineStr">
        <is>
          <t>893790798</t>
        </is>
      </c>
    </row>
    <row r="49">
      <c r="A49" t="inlineStr">
        <is>
          <t>No</t>
        </is>
      </c>
      <c r="B49" t="inlineStr">
        <is>
          <t>P115 .H54 1991</t>
        </is>
      </c>
      <c r="C49" t="inlineStr">
        <is>
          <t>0                      P  0115000H  54          1991</t>
        </is>
      </c>
      <c r="D49" t="inlineStr">
        <is>
          <t>An introduction to bilingualism / Charlotte Hoffmann.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Hoffmann, Charlotte, 1947-</t>
        </is>
      </c>
      <c r="L49" t="inlineStr">
        <is>
          <t>London ; New York : Longman, 1991.</t>
        </is>
      </c>
      <c r="M49" t="inlineStr">
        <is>
          <t>1991</t>
        </is>
      </c>
      <c r="O49" t="inlineStr">
        <is>
          <t>eng</t>
        </is>
      </c>
      <c r="P49" t="inlineStr">
        <is>
          <t>enk</t>
        </is>
      </c>
      <c r="Q49" t="inlineStr">
        <is>
          <t>Longman linguistics library</t>
        </is>
      </c>
      <c r="R49" t="inlineStr">
        <is>
          <t xml:space="preserve">P  </t>
        </is>
      </c>
      <c r="S49" t="n">
        <v>5</v>
      </c>
      <c r="T49" t="n">
        <v>5</v>
      </c>
      <c r="U49" t="inlineStr">
        <is>
          <t>2007-11-26</t>
        </is>
      </c>
      <c r="V49" t="inlineStr">
        <is>
          <t>2007-11-26</t>
        </is>
      </c>
      <c r="W49" t="inlineStr">
        <is>
          <t>1992-11-20</t>
        </is>
      </c>
      <c r="X49" t="inlineStr">
        <is>
          <t>1992-11-20</t>
        </is>
      </c>
      <c r="Y49" t="n">
        <v>423</v>
      </c>
      <c r="Z49" t="n">
        <v>201</v>
      </c>
      <c r="AA49" t="n">
        <v>225</v>
      </c>
      <c r="AB49" t="n">
        <v>2</v>
      </c>
      <c r="AC49" t="n">
        <v>2</v>
      </c>
      <c r="AD49" t="n">
        <v>7</v>
      </c>
      <c r="AE49" t="n">
        <v>7</v>
      </c>
      <c r="AF49" t="n">
        <v>3</v>
      </c>
      <c r="AG49" t="n">
        <v>3</v>
      </c>
      <c r="AH49" t="n">
        <v>2</v>
      </c>
      <c r="AI49" t="n">
        <v>2</v>
      </c>
      <c r="AJ49" t="n">
        <v>5</v>
      </c>
      <c r="AK49" t="n">
        <v>5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HYPERLINK("http://catalog.hathitrust.org/Record/002500842","HathiTrust Record")</f>
        <v/>
      </c>
      <c r="AS49">
        <f>HYPERLINK("https://creighton-primo.hosted.exlibrisgroup.com/primo-explore/search?tab=default_tab&amp;search_scope=EVERYTHING&amp;vid=01CRU&amp;lang=en_US&amp;offset=0&amp;query=any,contains,991001742139702656","Catalog Record")</f>
        <v/>
      </c>
      <c r="AT49">
        <f>HYPERLINK("http://www.worldcat.org/oclc/22006050","WorldCat Record")</f>
        <v/>
      </c>
      <c r="AU49" t="inlineStr">
        <is>
          <t>144004614:eng</t>
        </is>
      </c>
      <c r="AV49" t="inlineStr">
        <is>
          <t>22006050</t>
        </is>
      </c>
      <c r="AW49" t="inlineStr">
        <is>
          <t>991001742139702656</t>
        </is>
      </c>
      <c r="AX49" t="inlineStr">
        <is>
          <t>991001742139702656</t>
        </is>
      </c>
      <c r="AY49" t="inlineStr">
        <is>
          <t>2265070030002656</t>
        </is>
      </c>
      <c r="AZ49" t="inlineStr">
        <is>
          <t>BOOK</t>
        </is>
      </c>
      <c r="BB49" t="inlineStr">
        <is>
          <t>9780582291430</t>
        </is>
      </c>
      <c r="BC49" t="inlineStr">
        <is>
          <t>32285001363745</t>
        </is>
      </c>
      <c r="BD49" t="inlineStr">
        <is>
          <t>893885505</t>
        </is>
      </c>
    </row>
    <row r="50">
      <c r="A50" t="inlineStr">
        <is>
          <t>No</t>
        </is>
      </c>
      <c r="B50" t="inlineStr">
        <is>
          <t>P115 .I58 1988</t>
        </is>
      </c>
      <c r="C50" t="inlineStr">
        <is>
          <t>0                      P  0115000I  58          1988</t>
        </is>
      </c>
      <c r="D50" t="inlineStr">
        <is>
          <t>International handbook of bilingualism and bilingual education / edited by Christina Bratt Paulston.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Greenwood Press, 1988.</t>
        </is>
      </c>
      <c r="M50" t="inlineStr">
        <is>
          <t>1988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P  </t>
        </is>
      </c>
      <c r="S50" t="n">
        <v>6</v>
      </c>
      <c r="T50" t="n">
        <v>6</v>
      </c>
      <c r="U50" t="inlineStr">
        <is>
          <t>2001-12-05</t>
        </is>
      </c>
      <c r="V50" t="inlineStr">
        <is>
          <t>2001-12-05</t>
        </is>
      </c>
      <c r="W50" t="inlineStr">
        <is>
          <t>1990-06-20</t>
        </is>
      </c>
      <c r="X50" t="inlineStr">
        <is>
          <t>1990-06-20</t>
        </is>
      </c>
      <c r="Y50" t="n">
        <v>481</v>
      </c>
      <c r="Z50" t="n">
        <v>364</v>
      </c>
      <c r="AA50" t="n">
        <v>366</v>
      </c>
      <c r="AB50" t="n">
        <v>3</v>
      </c>
      <c r="AC50" t="n">
        <v>3</v>
      </c>
      <c r="AD50" t="n">
        <v>16</v>
      </c>
      <c r="AE50" t="n">
        <v>16</v>
      </c>
      <c r="AF50" t="n">
        <v>3</v>
      </c>
      <c r="AG50" t="n">
        <v>3</v>
      </c>
      <c r="AH50" t="n">
        <v>4</v>
      </c>
      <c r="AI50" t="n">
        <v>4</v>
      </c>
      <c r="AJ50" t="n">
        <v>11</v>
      </c>
      <c r="AK50" t="n">
        <v>11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HYPERLINK("http://catalog.hathitrust.org/Record/000913583","HathiTrust Record")</f>
        <v/>
      </c>
      <c r="AS50">
        <f>HYPERLINK("https://creighton-primo.hosted.exlibrisgroup.com/primo-explore/search?tab=default_tab&amp;search_scope=EVERYTHING&amp;vid=01CRU&amp;lang=en_US&amp;offset=0&amp;query=any,contains,991001011769702656","Catalog Record")</f>
        <v/>
      </c>
      <c r="AT50">
        <f>HYPERLINK("http://www.worldcat.org/oclc/15284535","WorldCat Record")</f>
        <v/>
      </c>
      <c r="AU50" t="inlineStr">
        <is>
          <t>2607706:eng</t>
        </is>
      </c>
      <c r="AV50" t="inlineStr">
        <is>
          <t>15284535</t>
        </is>
      </c>
      <c r="AW50" t="inlineStr">
        <is>
          <t>991001011769702656</t>
        </is>
      </c>
      <c r="AX50" t="inlineStr">
        <is>
          <t>991001011769702656</t>
        </is>
      </c>
      <c r="AY50" t="inlineStr">
        <is>
          <t>2264868630002656</t>
        </is>
      </c>
      <c r="AZ50" t="inlineStr">
        <is>
          <t>BOOK</t>
        </is>
      </c>
      <c r="BB50" t="inlineStr">
        <is>
          <t>9780313244841</t>
        </is>
      </c>
      <c r="BC50" t="inlineStr">
        <is>
          <t>32285000178730</t>
        </is>
      </c>
      <c r="BD50" t="inlineStr">
        <is>
          <t>893237807</t>
        </is>
      </c>
    </row>
    <row r="51">
      <c r="A51" t="inlineStr">
        <is>
          <t>No</t>
        </is>
      </c>
      <c r="B51" t="inlineStr">
        <is>
          <t>P115 .L4</t>
        </is>
      </c>
      <c r="C51" t="inlineStr">
        <is>
          <t>0                      P  0115000L  4</t>
        </is>
      </c>
      <c r="D51" t="inlineStr">
        <is>
          <t>Bilingualism and bilingual education : a comparative study / E. Glyn Lewis ; foreword by Bernard Spolsky.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Lewis, E. Glyn.</t>
        </is>
      </c>
      <c r="L51" t="inlineStr">
        <is>
          <t>Albuquerque : University of New Mexico Press, c1980.</t>
        </is>
      </c>
      <c r="M51" t="inlineStr">
        <is>
          <t>1980</t>
        </is>
      </c>
      <c r="N51" t="inlineStr">
        <is>
          <t>1st ed.</t>
        </is>
      </c>
      <c r="O51" t="inlineStr">
        <is>
          <t>eng</t>
        </is>
      </c>
      <c r="P51" t="inlineStr">
        <is>
          <t>nmu</t>
        </is>
      </c>
      <c r="R51" t="inlineStr">
        <is>
          <t xml:space="preserve">P  </t>
        </is>
      </c>
      <c r="S51" t="n">
        <v>7</v>
      </c>
      <c r="T51" t="n">
        <v>7</v>
      </c>
      <c r="U51" t="inlineStr">
        <is>
          <t>1996-12-04</t>
        </is>
      </c>
      <c r="V51" t="inlineStr">
        <is>
          <t>1996-12-04</t>
        </is>
      </c>
      <c r="W51" t="inlineStr">
        <is>
          <t>1990-04-20</t>
        </is>
      </c>
      <c r="X51" t="inlineStr">
        <is>
          <t>1990-04-20</t>
        </is>
      </c>
      <c r="Y51" t="n">
        <v>673</v>
      </c>
      <c r="Z51" t="n">
        <v>595</v>
      </c>
      <c r="AA51" t="n">
        <v>611</v>
      </c>
      <c r="AB51" t="n">
        <v>5</v>
      </c>
      <c r="AC51" t="n">
        <v>5</v>
      </c>
      <c r="AD51" t="n">
        <v>22</v>
      </c>
      <c r="AE51" t="n">
        <v>22</v>
      </c>
      <c r="AF51" t="n">
        <v>5</v>
      </c>
      <c r="AG51" t="n">
        <v>5</v>
      </c>
      <c r="AH51" t="n">
        <v>7</v>
      </c>
      <c r="AI51" t="n">
        <v>7</v>
      </c>
      <c r="AJ51" t="n">
        <v>13</v>
      </c>
      <c r="AK51" t="n">
        <v>13</v>
      </c>
      <c r="AL51" t="n">
        <v>4</v>
      </c>
      <c r="AM51" t="n">
        <v>4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HYPERLINK("http://catalog.hathitrust.org/Record/000732426","HathiTrust Record")</f>
        <v/>
      </c>
      <c r="AS51">
        <f>HYPERLINK("https://creighton-primo.hosted.exlibrisgroup.com/primo-explore/search?tab=default_tab&amp;search_scope=EVERYTHING&amp;vid=01CRU&amp;lang=en_US&amp;offset=0&amp;query=any,contains,991004918879702656","Catalog Record")</f>
        <v/>
      </c>
      <c r="AT51">
        <f>HYPERLINK("http://www.worldcat.org/oclc/6040480","WorldCat Record")</f>
        <v/>
      </c>
      <c r="AU51" t="inlineStr">
        <is>
          <t>4494943752:eng</t>
        </is>
      </c>
      <c r="AV51" t="inlineStr">
        <is>
          <t>6040480</t>
        </is>
      </c>
      <c r="AW51" t="inlineStr">
        <is>
          <t>991004918879702656</t>
        </is>
      </c>
      <c r="AX51" t="inlineStr">
        <is>
          <t>991004918879702656</t>
        </is>
      </c>
      <c r="AY51" t="inlineStr">
        <is>
          <t>2259220420002656</t>
        </is>
      </c>
      <c r="AZ51" t="inlineStr">
        <is>
          <t>BOOK</t>
        </is>
      </c>
      <c r="BB51" t="inlineStr">
        <is>
          <t>9780826305329</t>
        </is>
      </c>
      <c r="BC51" t="inlineStr">
        <is>
          <t>32285000124346</t>
        </is>
      </c>
      <c r="BD51" t="inlineStr">
        <is>
          <t>893436901</t>
        </is>
      </c>
    </row>
    <row r="52">
      <c r="A52" t="inlineStr">
        <is>
          <t>No</t>
        </is>
      </c>
      <c r="B52" t="inlineStr">
        <is>
          <t>P115 .M494 2006</t>
        </is>
      </c>
      <c r="C52" t="inlineStr">
        <is>
          <t>0                      P  0115000M  494         2006</t>
        </is>
      </c>
      <c r="D52" t="inlineStr">
        <is>
          <t>Multiple voices : an introduction to bilingualism / Carol Myers-Scotton.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Myers-Scotton, Carol.</t>
        </is>
      </c>
      <c r="L52" t="inlineStr">
        <is>
          <t>Malden, MA : Blackwell Pub., 2006.</t>
        </is>
      </c>
      <c r="M52" t="inlineStr">
        <is>
          <t>2006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P  </t>
        </is>
      </c>
      <c r="S52" t="n">
        <v>1</v>
      </c>
      <c r="T52" t="n">
        <v>1</v>
      </c>
      <c r="U52" t="inlineStr">
        <is>
          <t>2010-09-23</t>
        </is>
      </c>
      <c r="V52" t="inlineStr">
        <is>
          <t>2010-09-23</t>
        </is>
      </c>
      <c r="W52" t="inlineStr">
        <is>
          <t>2010-09-23</t>
        </is>
      </c>
      <c r="X52" t="inlineStr">
        <is>
          <t>2010-09-23</t>
        </is>
      </c>
      <c r="Y52" t="n">
        <v>339</v>
      </c>
      <c r="Z52" t="n">
        <v>188</v>
      </c>
      <c r="AA52" t="n">
        <v>224</v>
      </c>
      <c r="AB52" t="n">
        <v>1</v>
      </c>
      <c r="AC52" t="n">
        <v>2</v>
      </c>
      <c r="AD52" t="n">
        <v>9</v>
      </c>
      <c r="AE52" t="n">
        <v>12</v>
      </c>
      <c r="AF52" t="n">
        <v>2</v>
      </c>
      <c r="AG52" t="n">
        <v>4</v>
      </c>
      <c r="AH52" t="n">
        <v>5</v>
      </c>
      <c r="AI52" t="n">
        <v>6</v>
      </c>
      <c r="AJ52" t="n">
        <v>7</v>
      </c>
      <c r="AK52" t="n">
        <v>8</v>
      </c>
      <c r="AL52" t="n">
        <v>0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HYPERLINK("http://catalog.hathitrust.org/Record/005040002","HathiTrust Record")</f>
        <v/>
      </c>
      <c r="AS52">
        <f>HYPERLINK("https://creighton-primo.hosted.exlibrisgroup.com/primo-explore/search?tab=default_tab&amp;search_scope=EVERYTHING&amp;vid=01CRU&amp;lang=en_US&amp;offset=0&amp;query=any,contains,991000095309702656","Catalog Record")</f>
        <v/>
      </c>
      <c r="AT52">
        <f>HYPERLINK("http://www.worldcat.org/oclc/57549686","WorldCat Record")</f>
        <v/>
      </c>
      <c r="AU52" t="inlineStr">
        <is>
          <t>836127635:eng</t>
        </is>
      </c>
      <c r="AV52" t="inlineStr">
        <is>
          <t>57549686</t>
        </is>
      </c>
      <c r="AW52" t="inlineStr">
        <is>
          <t>991000095309702656</t>
        </is>
      </c>
      <c r="AX52" t="inlineStr">
        <is>
          <t>991000095309702656</t>
        </is>
      </c>
      <c r="AY52" t="inlineStr">
        <is>
          <t>2271297000002656</t>
        </is>
      </c>
      <c r="AZ52" t="inlineStr">
        <is>
          <t>BOOK</t>
        </is>
      </c>
      <c r="BB52" t="inlineStr">
        <is>
          <t>9780631219361</t>
        </is>
      </c>
      <c r="BC52" t="inlineStr">
        <is>
          <t>32285005596431</t>
        </is>
      </c>
      <c r="BD52" t="inlineStr">
        <is>
          <t>893771376</t>
        </is>
      </c>
    </row>
    <row r="53">
      <c r="A53" t="inlineStr">
        <is>
          <t>No</t>
        </is>
      </c>
      <c r="B53" t="inlineStr">
        <is>
          <t>P115.2 .V35 1994</t>
        </is>
      </c>
      <c r="C53" t="inlineStr">
        <is>
          <t>0                      P  0115200V  35          1994</t>
        </is>
      </c>
      <c r="D53" t="inlineStr">
        <is>
          <t>Bilingualism and testing : a special case of bias / Guadalupe Valdés, Richard A. Figueroa.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Valdés, Guadalupe.</t>
        </is>
      </c>
      <c r="L53" t="inlineStr">
        <is>
          <t>Norwood, N.J. : Ablex, c1994.</t>
        </is>
      </c>
      <c r="M53" t="inlineStr">
        <is>
          <t>1994</t>
        </is>
      </c>
      <c r="O53" t="inlineStr">
        <is>
          <t>eng</t>
        </is>
      </c>
      <c r="P53" t="inlineStr">
        <is>
          <t>nju</t>
        </is>
      </c>
      <c r="Q53" t="inlineStr">
        <is>
          <t>Second language learning</t>
        </is>
      </c>
      <c r="R53" t="inlineStr">
        <is>
          <t xml:space="preserve">P  </t>
        </is>
      </c>
      <c r="S53" t="n">
        <v>5</v>
      </c>
      <c r="T53" t="n">
        <v>5</v>
      </c>
      <c r="U53" t="inlineStr">
        <is>
          <t>2005-09-23</t>
        </is>
      </c>
      <c r="V53" t="inlineStr">
        <is>
          <t>2005-09-23</t>
        </is>
      </c>
      <c r="W53" t="inlineStr">
        <is>
          <t>1997-06-03</t>
        </is>
      </c>
      <c r="X53" t="inlineStr">
        <is>
          <t>1997-06-03</t>
        </is>
      </c>
      <c r="Y53" t="n">
        <v>281</v>
      </c>
      <c r="Z53" t="n">
        <v>230</v>
      </c>
      <c r="AA53" t="n">
        <v>233</v>
      </c>
      <c r="AB53" t="n">
        <v>2</v>
      </c>
      <c r="AC53" t="n">
        <v>2</v>
      </c>
      <c r="AD53" t="n">
        <v>15</v>
      </c>
      <c r="AE53" t="n">
        <v>15</v>
      </c>
      <c r="AF53" t="n">
        <v>3</v>
      </c>
      <c r="AG53" t="n">
        <v>3</v>
      </c>
      <c r="AH53" t="n">
        <v>5</v>
      </c>
      <c r="AI53" t="n">
        <v>5</v>
      </c>
      <c r="AJ53" t="n">
        <v>10</v>
      </c>
      <c r="AK53" t="n">
        <v>10</v>
      </c>
      <c r="AL53" t="n">
        <v>1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HYPERLINK("http://catalog.hathitrust.org/Record/002934641","HathiTrust Record")</f>
        <v/>
      </c>
      <c r="AS53">
        <f>HYPERLINK("https://creighton-primo.hosted.exlibrisgroup.com/primo-explore/search?tab=default_tab&amp;search_scope=EVERYTHING&amp;vid=01CRU&amp;lang=en_US&amp;offset=0&amp;query=any,contains,991002313149702656","Catalog Record")</f>
        <v/>
      </c>
      <c r="AT53">
        <f>HYPERLINK("http://www.worldcat.org/oclc/30029739","WorldCat Record")</f>
        <v/>
      </c>
      <c r="AU53" t="inlineStr">
        <is>
          <t>2870489:eng</t>
        </is>
      </c>
      <c r="AV53" t="inlineStr">
        <is>
          <t>30029739</t>
        </is>
      </c>
      <c r="AW53" t="inlineStr">
        <is>
          <t>991002313149702656</t>
        </is>
      </c>
      <c r="AX53" t="inlineStr">
        <is>
          <t>991002313149702656</t>
        </is>
      </c>
      <c r="AY53" t="inlineStr">
        <is>
          <t>2259883420002656</t>
        </is>
      </c>
      <c r="AZ53" t="inlineStr">
        <is>
          <t>BOOK</t>
        </is>
      </c>
      <c r="BB53" t="inlineStr">
        <is>
          <t>9780893917746</t>
        </is>
      </c>
      <c r="BC53" t="inlineStr">
        <is>
          <t>32285002613882</t>
        </is>
      </c>
      <c r="BD53" t="inlineStr">
        <is>
          <t>893804457</t>
        </is>
      </c>
    </row>
    <row r="54">
      <c r="A54" t="inlineStr">
        <is>
          <t>No</t>
        </is>
      </c>
      <c r="B54" t="inlineStr">
        <is>
          <t>P115.5.O2 G3</t>
        </is>
      </c>
      <c r="C54" t="inlineStr">
        <is>
          <t>0                      P  0115500O  2                  G  3</t>
        </is>
      </c>
      <c r="D54" t="inlineStr">
        <is>
          <t>Language shift : social determinants of linguistic change in bilingual Austria / Susan Gal.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Gal, Susan.</t>
        </is>
      </c>
      <c r="L54" t="inlineStr">
        <is>
          <t>New York : Academic Press, c1979.</t>
        </is>
      </c>
      <c r="M54" t="inlineStr">
        <is>
          <t>1979</t>
        </is>
      </c>
      <c r="O54" t="inlineStr">
        <is>
          <t>eng</t>
        </is>
      </c>
      <c r="P54" t="inlineStr">
        <is>
          <t>nyu</t>
        </is>
      </c>
      <c r="Q54" t="inlineStr">
        <is>
          <t>Language, thought, and culture</t>
        </is>
      </c>
      <c r="R54" t="inlineStr">
        <is>
          <t xml:space="preserve">P  </t>
        </is>
      </c>
      <c r="S54" t="n">
        <v>1</v>
      </c>
      <c r="T54" t="n">
        <v>1</v>
      </c>
      <c r="U54" t="inlineStr">
        <is>
          <t>2005-05-31</t>
        </is>
      </c>
      <c r="V54" t="inlineStr">
        <is>
          <t>2005-05-31</t>
        </is>
      </c>
      <c r="W54" t="inlineStr">
        <is>
          <t>1993-04-01</t>
        </is>
      </c>
      <c r="X54" t="inlineStr">
        <is>
          <t>1993-04-01</t>
        </is>
      </c>
      <c r="Y54" t="n">
        <v>391</v>
      </c>
      <c r="Z54" t="n">
        <v>257</v>
      </c>
      <c r="AA54" t="n">
        <v>259</v>
      </c>
      <c r="AB54" t="n">
        <v>3</v>
      </c>
      <c r="AC54" t="n">
        <v>3</v>
      </c>
      <c r="AD54" t="n">
        <v>9</v>
      </c>
      <c r="AE54" t="n">
        <v>9</v>
      </c>
      <c r="AF54" t="n">
        <v>2</v>
      </c>
      <c r="AG54" t="n">
        <v>2</v>
      </c>
      <c r="AH54" t="n">
        <v>2</v>
      </c>
      <c r="AI54" t="n">
        <v>2</v>
      </c>
      <c r="AJ54" t="n">
        <v>6</v>
      </c>
      <c r="AK54" t="n">
        <v>6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HYPERLINK("http://catalog.hathitrust.org/Record/000255955","HathiTrust Record")</f>
        <v/>
      </c>
      <c r="AS54">
        <f>HYPERLINK("https://creighton-primo.hosted.exlibrisgroup.com/primo-explore/search?tab=default_tab&amp;search_scope=EVERYTHING&amp;vid=01CRU&amp;lang=en_US&amp;offset=0&amp;query=any,contains,991004652239702656","Catalog Record")</f>
        <v/>
      </c>
      <c r="AT54">
        <f>HYPERLINK("http://www.worldcat.org/oclc/4494321","WorldCat Record")</f>
        <v/>
      </c>
      <c r="AU54" t="inlineStr">
        <is>
          <t>339680044:eng</t>
        </is>
      </c>
      <c r="AV54" t="inlineStr">
        <is>
          <t>4494321</t>
        </is>
      </c>
      <c r="AW54" t="inlineStr">
        <is>
          <t>991004652239702656</t>
        </is>
      </c>
      <c r="AX54" t="inlineStr">
        <is>
          <t>991004652239702656</t>
        </is>
      </c>
      <c r="AY54" t="inlineStr">
        <is>
          <t>2265470130002656</t>
        </is>
      </c>
      <c r="AZ54" t="inlineStr">
        <is>
          <t>BOOK</t>
        </is>
      </c>
      <c r="BB54" t="inlineStr">
        <is>
          <t>9780122737503</t>
        </is>
      </c>
      <c r="BC54" t="inlineStr">
        <is>
          <t>32285001613131</t>
        </is>
      </c>
      <c r="BD54" t="inlineStr">
        <is>
          <t>893263364</t>
        </is>
      </c>
    </row>
    <row r="55">
      <c r="A55" t="inlineStr">
        <is>
          <t>No</t>
        </is>
      </c>
      <c r="B55" t="inlineStr">
        <is>
          <t>P115.5.S9 M37 1983, v...</t>
        </is>
      </c>
      <c r="C55" t="inlineStr">
        <is>
          <t>0                      P  0115500S  9                  M  37          1983                  v...</t>
        </is>
      </c>
      <c r="D55" t="inlineStr">
        <is>
          <t>Conflict and compromise in multilingual societies / Kenneth D. McRae.</t>
        </is>
      </c>
      <c r="E55" t="inlineStr">
        <is>
          <t>V.2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McRae, Kenneth D. (Kenneth Douglas)</t>
        </is>
      </c>
      <c r="L55" t="inlineStr">
        <is>
          <t>Waterloo, Ont., Canada : Wilfrid Laurier University Press, c1983-&lt;c1986 &gt;</t>
        </is>
      </c>
      <c r="M55" t="inlineStr">
        <is>
          <t>1983</t>
        </is>
      </c>
      <c r="O55" t="inlineStr">
        <is>
          <t>eng</t>
        </is>
      </c>
      <c r="P55" t="inlineStr">
        <is>
          <t>onc</t>
        </is>
      </c>
      <c r="R55" t="inlineStr">
        <is>
          <t xml:space="preserve">P  </t>
        </is>
      </c>
      <c r="S55" t="n">
        <v>2</v>
      </c>
      <c r="T55" t="n">
        <v>2</v>
      </c>
      <c r="U55" t="inlineStr">
        <is>
          <t>1998-03-31</t>
        </is>
      </c>
      <c r="V55" t="inlineStr">
        <is>
          <t>1998-03-31</t>
        </is>
      </c>
      <c r="W55" t="inlineStr">
        <is>
          <t>1993-04-01</t>
        </is>
      </c>
      <c r="X55" t="inlineStr">
        <is>
          <t>1993-04-01</t>
        </is>
      </c>
      <c r="Y55" t="n">
        <v>246</v>
      </c>
      <c r="Z55" t="n">
        <v>176</v>
      </c>
      <c r="AA55" t="n">
        <v>227</v>
      </c>
      <c r="AB55" t="n">
        <v>3</v>
      </c>
      <c r="AC55" t="n">
        <v>4</v>
      </c>
      <c r="AD55" t="n">
        <v>7</v>
      </c>
      <c r="AE55" t="n">
        <v>10</v>
      </c>
      <c r="AF55" t="n">
        <v>2</v>
      </c>
      <c r="AG55" t="n">
        <v>4</v>
      </c>
      <c r="AH55" t="n">
        <v>2</v>
      </c>
      <c r="AI55" t="n">
        <v>2</v>
      </c>
      <c r="AJ55" t="n">
        <v>3</v>
      </c>
      <c r="AK55" t="n">
        <v>3</v>
      </c>
      <c r="AL55" t="n">
        <v>2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HYPERLINK("http://catalog.hathitrust.org/Record/000654541","HathiTrust Record")</f>
        <v/>
      </c>
      <c r="AS55">
        <f>HYPERLINK("https://creighton-primo.hosted.exlibrisgroup.com/primo-explore/search?tab=default_tab&amp;search_scope=EVERYTHING&amp;vid=01CRU&amp;lang=en_US&amp;offset=0&amp;query=any,contains,991000641419702656","Catalog Record")</f>
        <v/>
      </c>
      <c r="AT55">
        <f>HYPERLINK("http://www.worldcat.org/oclc/12104875","WorldCat Record")</f>
        <v/>
      </c>
      <c r="AU55" t="inlineStr">
        <is>
          <t>20890248:eng</t>
        </is>
      </c>
      <c r="AV55" t="inlineStr">
        <is>
          <t>12104875</t>
        </is>
      </c>
      <c r="AW55" t="inlineStr">
        <is>
          <t>991000641419702656</t>
        </is>
      </c>
      <c r="AX55" t="inlineStr">
        <is>
          <t>991000641419702656</t>
        </is>
      </c>
      <c r="AY55" t="inlineStr">
        <is>
          <t>2259922630002656</t>
        </is>
      </c>
      <c r="AZ55" t="inlineStr">
        <is>
          <t>BOOK</t>
        </is>
      </c>
      <c r="BB55" t="inlineStr">
        <is>
          <t>9780889201330</t>
        </is>
      </c>
      <c r="BC55" t="inlineStr">
        <is>
          <t>32285001613149</t>
        </is>
      </c>
      <c r="BD55" t="inlineStr">
        <is>
          <t>893771823</t>
        </is>
      </c>
    </row>
    <row r="56">
      <c r="A56" t="inlineStr">
        <is>
          <t>No</t>
        </is>
      </c>
      <c r="B56" t="inlineStr">
        <is>
          <t>P115.5.U5 M3 1978</t>
        </is>
      </c>
      <c r="C56" t="inlineStr">
        <is>
          <t>0                      P  0115500U  5                  M  3           1978</t>
        </is>
      </c>
      <c r="D56" t="inlineStr">
        <is>
          <t>An inquiry into the effects of bilingualism on native and non-native Americans, viewed in sociophychologic and cultural terms / Franklin Richard Mandera.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Mandera, Franklin Richard.</t>
        </is>
      </c>
      <c r="L56" t="inlineStr">
        <is>
          <t>New York : Arno Press, 1978, c1972.</t>
        </is>
      </c>
      <c r="M56" t="inlineStr">
        <is>
          <t>1978</t>
        </is>
      </c>
      <c r="O56" t="inlineStr">
        <is>
          <t>eng</t>
        </is>
      </c>
      <c r="P56" t="inlineStr">
        <is>
          <t>nyu</t>
        </is>
      </c>
      <c r="Q56" t="inlineStr">
        <is>
          <t>Bilingual-bicultural education in the United States</t>
        </is>
      </c>
      <c r="R56" t="inlineStr">
        <is>
          <t xml:space="preserve">P  </t>
        </is>
      </c>
      <c r="S56" t="n">
        <v>3</v>
      </c>
      <c r="T56" t="n">
        <v>3</v>
      </c>
      <c r="U56" t="inlineStr">
        <is>
          <t>1993-10-03</t>
        </is>
      </c>
      <c r="V56" t="inlineStr">
        <is>
          <t>1993-10-03</t>
        </is>
      </c>
      <c r="W56" t="inlineStr">
        <is>
          <t>1992-04-09</t>
        </is>
      </c>
      <c r="X56" t="inlineStr">
        <is>
          <t>1992-04-09</t>
        </is>
      </c>
      <c r="Y56" t="n">
        <v>132</v>
      </c>
      <c r="Z56" t="n">
        <v>121</v>
      </c>
      <c r="AA56" t="n">
        <v>128</v>
      </c>
      <c r="AB56" t="n">
        <v>2</v>
      </c>
      <c r="AC56" t="n">
        <v>2</v>
      </c>
      <c r="AD56" t="n">
        <v>3</v>
      </c>
      <c r="AE56" t="n">
        <v>3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2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HYPERLINK("http://catalog.hathitrust.org/Record/007115039","HathiTrust Record")</f>
        <v/>
      </c>
      <c r="AS56">
        <f>HYPERLINK("https://creighton-primo.hosted.exlibrisgroup.com/primo-explore/search?tab=default_tab&amp;search_scope=EVERYTHING&amp;vid=01CRU&amp;lang=en_US&amp;offset=0&amp;query=any,contains,991004535269702656","Catalog Record")</f>
        <v/>
      </c>
      <c r="AT56">
        <f>HYPERLINK("http://www.worldcat.org/oclc/3869294","WorldCat Record")</f>
        <v/>
      </c>
      <c r="AU56" t="inlineStr">
        <is>
          <t>12847971:eng</t>
        </is>
      </c>
      <c r="AV56" t="inlineStr">
        <is>
          <t>3869294</t>
        </is>
      </c>
      <c r="AW56" t="inlineStr">
        <is>
          <t>991004535269702656</t>
        </is>
      </c>
      <c r="AX56" t="inlineStr">
        <is>
          <t>991004535269702656</t>
        </is>
      </c>
      <c r="AY56" t="inlineStr">
        <is>
          <t>2263022700002656</t>
        </is>
      </c>
      <c r="AZ56" t="inlineStr">
        <is>
          <t>BOOK</t>
        </is>
      </c>
      <c r="BB56" t="inlineStr">
        <is>
          <t>9780405110870</t>
        </is>
      </c>
      <c r="BC56" t="inlineStr">
        <is>
          <t>32285001057040</t>
        </is>
      </c>
      <c r="BD56" t="inlineStr">
        <is>
          <t>893869829</t>
        </is>
      </c>
    </row>
    <row r="57">
      <c r="A57" t="inlineStr">
        <is>
          <t>No</t>
        </is>
      </c>
      <c r="B57" t="inlineStr">
        <is>
          <t>P116 .A38 1996</t>
        </is>
      </c>
      <c r="C57" t="inlineStr">
        <is>
          <t>0                      P  0116000A  38          1996</t>
        </is>
      </c>
      <c r="D57" t="inlineStr">
        <is>
          <t>The seeds of speech : language origin and evolution / Jean Aitchison.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Aitchison, Jean, 1938-</t>
        </is>
      </c>
      <c r="L57" t="inlineStr">
        <is>
          <t>Cambridge [England] ; New York, NY, USA : Cambridge University Press, 1996.</t>
        </is>
      </c>
      <c r="M57" t="inlineStr">
        <is>
          <t>1996</t>
        </is>
      </c>
      <c r="O57" t="inlineStr">
        <is>
          <t>eng</t>
        </is>
      </c>
      <c r="P57" t="inlineStr">
        <is>
          <t>enk</t>
        </is>
      </c>
      <c r="Q57" t="inlineStr">
        <is>
          <t>Cambridge approaches to linguistics</t>
        </is>
      </c>
      <c r="R57" t="inlineStr">
        <is>
          <t xml:space="preserve">P  </t>
        </is>
      </c>
      <c r="S57" t="n">
        <v>2</v>
      </c>
      <c r="T57" t="n">
        <v>2</v>
      </c>
      <c r="U57" t="inlineStr">
        <is>
          <t>2004-06-29</t>
        </is>
      </c>
      <c r="V57" t="inlineStr">
        <is>
          <t>2004-06-29</t>
        </is>
      </c>
      <c r="W57" t="inlineStr">
        <is>
          <t>1997-05-29</t>
        </is>
      </c>
      <c r="X57" t="inlineStr">
        <is>
          <t>1997-05-29</t>
        </is>
      </c>
      <c r="Y57" t="n">
        <v>903</v>
      </c>
      <c r="Z57" t="n">
        <v>678</v>
      </c>
      <c r="AA57" t="n">
        <v>766</v>
      </c>
      <c r="AB57" t="n">
        <v>7</v>
      </c>
      <c r="AC57" t="n">
        <v>7</v>
      </c>
      <c r="AD57" t="n">
        <v>35</v>
      </c>
      <c r="AE57" t="n">
        <v>38</v>
      </c>
      <c r="AF57" t="n">
        <v>14</v>
      </c>
      <c r="AG57" t="n">
        <v>17</v>
      </c>
      <c r="AH57" t="n">
        <v>7</v>
      </c>
      <c r="AI57" t="n">
        <v>7</v>
      </c>
      <c r="AJ57" t="n">
        <v>14</v>
      </c>
      <c r="AK57" t="n">
        <v>15</v>
      </c>
      <c r="AL57" t="n">
        <v>6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HYPERLINK("https://creighton-primo.hosted.exlibrisgroup.com/primo-explore/search?tab=default_tab&amp;search_scope=EVERYTHING&amp;vid=01CRU&amp;lang=en_US&amp;offset=0&amp;query=any,contains,991002577489702656","Catalog Record")</f>
        <v/>
      </c>
      <c r="AT57">
        <f>HYPERLINK("http://www.worldcat.org/oclc/33666152","WorldCat Record")</f>
        <v/>
      </c>
      <c r="AU57" t="inlineStr">
        <is>
          <t>203312499:eng</t>
        </is>
      </c>
      <c r="AV57" t="inlineStr">
        <is>
          <t>33666152</t>
        </is>
      </c>
      <c r="AW57" t="inlineStr">
        <is>
          <t>991002577489702656</t>
        </is>
      </c>
      <c r="AX57" t="inlineStr">
        <is>
          <t>991002577489702656</t>
        </is>
      </c>
      <c r="AY57" t="inlineStr">
        <is>
          <t>2257723960002656</t>
        </is>
      </c>
      <c r="AZ57" t="inlineStr">
        <is>
          <t>BOOK</t>
        </is>
      </c>
      <c r="BB57" t="inlineStr">
        <is>
          <t>9780521462464</t>
        </is>
      </c>
      <c r="BC57" t="inlineStr">
        <is>
          <t>32285002612801</t>
        </is>
      </c>
      <c r="BD57" t="inlineStr">
        <is>
          <t>893691753</t>
        </is>
      </c>
    </row>
    <row r="58">
      <c r="A58" t="inlineStr">
        <is>
          <t>No</t>
        </is>
      </c>
      <c r="B58" t="inlineStr">
        <is>
          <t>P116 .B522 1990</t>
        </is>
      </c>
      <c r="C58" t="inlineStr">
        <is>
          <t>0                      P  0116000B  522         1990</t>
        </is>
      </c>
      <c r="D58" t="inlineStr">
        <is>
          <t>Language &amp; species / Derek Bickerton.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Bickerton, Derek.</t>
        </is>
      </c>
      <c r="L58" t="inlineStr">
        <is>
          <t>Chicago : University of Chicago Press, 1990.</t>
        </is>
      </c>
      <c r="M58" t="inlineStr">
        <is>
          <t>1990</t>
        </is>
      </c>
      <c r="O58" t="inlineStr">
        <is>
          <t>eng</t>
        </is>
      </c>
      <c r="P58" t="inlineStr">
        <is>
          <t>ilu</t>
        </is>
      </c>
      <c r="R58" t="inlineStr">
        <is>
          <t xml:space="preserve">P  </t>
        </is>
      </c>
      <c r="S58" t="n">
        <v>8</v>
      </c>
      <c r="T58" t="n">
        <v>8</v>
      </c>
      <c r="U58" t="inlineStr">
        <is>
          <t>2008-11-13</t>
        </is>
      </c>
      <c r="V58" t="inlineStr">
        <is>
          <t>2008-11-13</t>
        </is>
      </c>
      <c r="W58" t="inlineStr">
        <is>
          <t>1991-05-20</t>
        </is>
      </c>
      <c r="X58" t="inlineStr">
        <is>
          <t>1991-05-20</t>
        </is>
      </c>
      <c r="Y58" t="n">
        <v>842</v>
      </c>
      <c r="Z58" t="n">
        <v>670</v>
      </c>
      <c r="AA58" t="n">
        <v>733</v>
      </c>
      <c r="AB58" t="n">
        <v>4</v>
      </c>
      <c r="AC58" t="n">
        <v>4</v>
      </c>
      <c r="AD58" t="n">
        <v>30</v>
      </c>
      <c r="AE58" t="n">
        <v>34</v>
      </c>
      <c r="AF58" t="n">
        <v>12</v>
      </c>
      <c r="AG58" t="n">
        <v>15</v>
      </c>
      <c r="AH58" t="n">
        <v>9</v>
      </c>
      <c r="AI58" t="n">
        <v>9</v>
      </c>
      <c r="AJ58" t="n">
        <v>14</v>
      </c>
      <c r="AK58" t="n">
        <v>16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HYPERLINK("https://creighton-primo.hosted.exlibrisgroup.com/primo-explore/search?tab=default_tab&amp;search_scope=EVERYTHING&amp;vid=01CRU&amp;lang=en_US&amp;offset=0&amp;query=any,contains,991001689829702656","Catalog Record")</f>
        <v/>
      </c>
      <c r="AT58">
        <f>HYPERLINK("http://www.worldcat.org/oclc/21440880","WorldCat Record")</f>
        <v/>
      </c>
      <c r="AU58" t="inlineStr">
        <is>
          <t>23633752:eng</t>
        </is>
      </c>
      <c r="AV58" t="inlineStr">
        <is>
          <t>21440880</t>
        </is>
      </c>
      <c r="AW58" t="inlineStr">
        <is>
          <t>991001689829702656</t>
        </is>
      </c>
      <c r="AX58" t="inlineStr">
        <is>
          <t>991001689829702656</t>
        </is>
      </c>
      <c r="AY58" t="inlineStr">
        <is>
          <t>2271474310002656</t>
        </is>
      </c>
      <c r="AZ58" t="inlineStr">
        <is>
          <t>BOOK</t>
        </is>
      </c>
      <c r="BB58" t="inlineStr">
        <is>
          <t>9780226046105</t>
        </is>
      </c>
      <c r="BC58" t="inlineStr">
        <is>
          <t>32285000574284</t>
        </is>
      </c>
      <c r="BD58" t="inlineStr">
        <is>
          <t>893351966</t>
        </is>
      </c>
    </row>
    <row r="59">
      <c r="A59" t="inlineStr">
        <is>
          <t>No</t>
        </is>
      </c>
      <c r="B59" t="inlineStr">
        <is>
          <t>P116 .E54 1977</t>
        </is>
      </c>
      <c r="C59" t="inlineStr">
        <is>
          <t>0                      P  0116000E  54          1977</t>
        </is>
      </c>
      <c r="D59" t="inlineStr">
        <is>
          <t>Language : its origin and its relation to thought / by F. R. H. Englefield ; edited by G. A. Wells and D. R. Oppenheimer.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Englefield, F. R. H.</t>
        </is>
      </c>
      <c r="L59" t="inlineStr">
        <is>
          <t>New York : Scribner, c1977.</t>
        </is>
      </c>
      <c r="M59" t="inlineStr">
        <is>
          <t>1977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P  </t>
        </is>
      </c>
      <c r="S59" t="n">
        <v>4</v>
      </c>
      <c r="T59" t="n">
        <v>4</v>
      </c>
      <c r="U59" t="inlineStr">
        <is>
          <t>2008-11-13</t>
        </is>
      </c>
      <c r="V59" t="inlineStr">
        <is>
          <t>2008-11-13</t>
        </is>
      </c>
      <c r="W59" t="inlineStr">
        <is>
          <t>1993-04-01</t>
        </is>
      </c>
      <c r="X59" t="inlineStr">
        <is>
          <t>1993-04-01</t>
        </is>
      </c>
      <c r="Y59" t="n">
        <v>254</v>
      </c>
      <c r="Z59" t="n">
        <v>244</v>
      </c>
      <c r="AA59" t="n">
        <v>357</v>
      </c>
      <c r="AB59" t="n">
        <v>2</v>
      </c>
      <c r="AC59" t="n">
        <v>4</v>
      </c>
      <c r="AD59" t="n">
        <v>7</v>
      </c>
      <c r="AE59" t="n">
        <v>17</v>
      </c>
      <c r="AF59" t="n">
        <v>4</v>
      </c>
      <c r="AG59" t="n">
        <v>4</v>
      </c>
      <c r="AH59" t="n">
        <v>1</v>
      </c>
      <c r="AI59" t="n">
        <v>3</v>
      </c>
      <c r="AJ59" t="n">
        <v>4</v>
      </c>
      <c r="AK59" t="n">
        <v>11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HYPERLINK("https://creighton-primo.hosted.exlibrisgroup.com/primo-explore/search?tab=default_tab&amp;search_scope=EVERYTHING&amp;vid=01CRU&amp;lang=en_US&amp;offset=0&amp;query=any,contains,991004517729702656","Catalog Record")</f>
        <v/>
      </c>
      <c r="AT59">
        <f>HYPERLINK("http://www.worldcat.org/oclc/3795046","WorldCat Record")</f>
        <v/>
      </c>
      <c r="AU59" t="inlineStr">
        <is>
          <t>6678154:eng</t>
        </is>
      </c>
      <c r="AV59" t="inlineStr">
        <is>
          <t>3795046</t>
        </is>
      </c>
      <c r="AW59" t="inlineStr">
        <is>
          <t>991004517729702656</t>
        </is>
      </c>
      <c r="AX59" t="inlineStr">
        <is>
          <t>991004517729702656</t>
        </is>
      </c>
      <c r="AY59" t="inlineStr">
        <is>
          <t>2258900200002656</t>
        </is>
      </c>
      <c r="AZ59" t="inlineStr">
        <is>
          <t>BOOK</t>
        </is>
      </c>
      <c r="BB59" t="inlineStr">
        <is>
          <t>9780684155050</t>
        </is>
      </c>
      <c r="BC59" t="inlineStr">
        <is>
          <t>32285001613156</t>
        </is>
      </c>
      <c r="BD59" t="inlineStr">
        <is>
          <t>893876201</t>
        </is>
      </c>
    </row>
    <row r="60">
      <c r="A60" t="inlineStr">
        <is>
          <t>No</t>
        </is>
      </c>
      <c r="B60" t="inlineStr">
        <is>
          <t>P116 .G36</t>
        </is>
      </c>
      <c r="C60" t="inlineStr">
        <is>
          <t>0                      P  0116000G  36</t>
        </is>
      </c>
      <c r="D60" t="inlineStr">
        <is>
          <t>The origin of language : a formal theory of representation / Eric Gans.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Gans, Eric Lawrence, 1941-</t>
        </is>
      </c>
      <c r="L60" t="inlineStr">
        <is>
          <t>Berkeley : University of California Press, c1981.</t>
        </is>
      </c>
      <c r="M60" t="inlineStr">
        <is>
          <t>1981</t>
        </is>
      </c>
      <c r="O60" t="inlineStr">
        <is>
          <t>eng</t>
        </is>
      </c>
      <c r="P60" t="inlineStr">
        <is>
          <t>cau</t>
        </is>
      </c>
      <c r="R60" t="inlineStr">
        <is>
          <t xml:space="preserve">P  </t>
        </is>
      </c>
      <c r="S60" t="n">
        <v>8</v>
      </c>
      <c r="T60" t="n">
        <v>8</v>
      </c>
      <c r="U60" t="inlineStr">
        <is>
          <t>2008-11-13</t>
        </is>
      </c>
      <c r="V60" t="inlineStr">
        <is>
          <t>2008-11-13</t>
        </is>
      </c>
      <c r="W60" t="inlineStr">
        <is>
          <t>1993-03-09</t>
        </is>
      </c>
      <c r="X60" t="inlineStr">
        <is>
          <t>1993-03-09</t>
        </is>
      </c>
      <c r="Y60" t="n">
        <v>519</v>
      </c>
      <c r="Z60" t="n">
        <v>397</v>
      </c>
      <c r="AA60" t="n">
        <v>397</v>
      </c>
      <c r="AB60" t="n">
        <v>4</v>
      </c>
      <c r="AC60" t="n">
        <v>4</v>
      </c>
      <c r="AD60" t="n">
        <v>24</v>
      </c>
      <c r="AE60" t="n">
        <v>24</v>
      </c>
      <c r="AF60" t="n">
        <v>7</v>
      </c>
      <c r="AG60" t="n">
        <v>7</v>
      </c>
      <c r="AH60" t="n">
        <v>8</v>
      </c>
      <c r="AI60" t="n">
        <v>8</v>
      </c>
      <c r="AJ60" t="n">
        <v>13</v>
      </c>
      <c r="AK60" t="n">
        <v>13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HYPERLINK("https://creighton-primo.hosted.exlibrisgroup.com/primo-explore/search?tab=default_tab&amp;search_scope=EVERYTHING&amp;vid=01CRU&amp;lang=en_US&amp;offset=0&amp;query=any,contains,991005011739702656","Catalog Record")</f>
        <v/>
      </c>
      <c r="AT60">
        <f>HYPERLINK("http://www.worldcat.org/oclc/6603145","WorldCat Record")</f>
        <v/>
      </c>
      <c r="AU60" t="inlineStr">
        <is>
          <t>889777215:eng</t>
        </is>
      </c>
      <c r="AV60" t="inlineStr">
        <is>
          <t>6603145</t>
        </is>
      </c>
      <c r="AW60" t="inlineStr">
        <is>
          <t>991005011739702656</t>
        </is>
      </c>
      <c r="AX60" t="inlineStr">
        <is>
          <t>991005011739702656</t>
        </is>
      </c>
      <c r="AY60" t="inlineStr">
        <is>
          <t>2254841000002656</t>
        </is>
      </c>
      <c r="AZ60" t="inlineStr">
        <is>
          <t>BOOK</t>
        </is>
      </c>
      <c r="BB60" t="inlineStr">
        <is>
          <t>9780520042025</t>
        </is>
      </c>
      <c r="BC60" t="inlineStr">
        <is>
          <t>32285001571289</t>
        </is>
      </c>
      <c r="BD60" t="inlineStr">
        <is>
          <t>893600486</t>
        </is>
      </c>
    </row>
    <row r="61">
      <c r="A61" t="inlineStr">
        <is>
          <t>No</t>
        </is>
      </c>
      <c r="B61" t="inlineStr">
        <is>
          <t>P116 .O741 1996</t>
        </is>
      </c>
      <c r="C61" t="inlineStr">
        <is>
          <t>0                      P  0116000O  741         1996</t>
        </is>
      </c>
      <c r="D61" t="inlineStr">
        <is>
          <t>The origin of language / edited and introduced by Roy Harris.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Bristol, England : Thoemmes, 1996.</t>
        </is>
      </c>
      <c r="M61" t="inlineStr">
        <is>
          <t>1996</t>
        </is>
      </c>
      <c r="O61" t="inlineStr">
        <is>
          <t>eng</t>
        </is>
      </c>
      <c r="P61" t="inlineStr">
        <is>
          <t>enk</t>
        </is>
      </c>
      <c r="Q61" t="inlineStr">
        <is>
          <t>Key issues ; no. 7</t>
        </is>
      </c>
      <c r="R61" t="inlineStr">
        <is>
          <t xml:space="preserve">P  </t>
        </is>
      </c>
      <c r="S61" t="n">
        <v>9</v>
      </c>
      <c r="T61" t="n">
        <v>9</v>
      </c>
      <c r="U61" t="inlineStr">
        <is>
          <t>2008-11-13</t>
        </is>
      </c>
      <c r="V61" t="inlineStr">
        <is>
          <t>2008-11-13</t>
        </is>
      </c>
      <c r="W61" t="inlineStr">
        <is>
          <t>1998-03-26</t>
        </is>
      </c>
      <c r="X61" t="inlineStr">
        <is>
          <t>1998-03-26</t>
        </is>
      </c>
      <c r="Y61" t="n">
        <v>165</v>
      </c>
      <c r="Z61" t="n">
        <v>92</v>
      </c>
      <c r="AA61" t="n">
        <v>92</v>
      </c>
      <c r="AB61" t="n">
        <v>2</v>
      </c>
      <c r="AC61" t="n">
        <v>2</v>
      </c>
      <c r="AD61" t="n">
        <v>8</v>
      </c>
      <c r="AE61" t="n">
        <v>8</v>
      </c>
      <c r="AF61" t="n">
        <v>1</v>
      </c>
      <c r="AG61" t="n">
        <v>1</v>
      </c>
      <c r="AH61" t="n">
        <v>3</v>
      </c>
      <c r="AI61" t="n">
        <v>3</v>
      </c>
      <c r="AJ61" t="n">
        <v>6</v>
      </c>
      <c r="AK61" t="n">
        <v>6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HYPERLINK("https://creighton-primo.hosted.exlibrisgroup.com/primo-explore/search?tab=default_tab&amp;search_scope=EVERYTHING&amp;vid=01CRU&amp;lang=en_US&amp;offset=0&amp;query=any,contains,991005424119702656","Catalog Record")</f>
        <v/>
      </c>
      <c r="AT61">
        <f>HYPERLINK("http://www.worldcat.org/oclc/34932830","WorldCat Record")</f>
        <v/>
      </c>
      <c r="AU61" t="inlineStr">
        <is>
          <t>5612488553:eng</t>
        </is>
      </c>
      <c r="AV61" t="inlineStr">
        <is>
          <t>34932830</t>
        </is>
      </c>
      <c r="AW61" t="inlineStr">
        <is>
          <t>991005424119702656</t>
        </is>
      </c>
      <c r="AX61" t="inlineStr">
        <is>
          <t>991005424119702656</t>
        </is>
      </c>
      <c r="AY61" t="inlineStr">
        <is>
          <t>2270410250002656</t>
        </is>
      </c>
      <c r="AZ61" t="inlineStr">
        <is>
          <t>BOOK</t>
        </is>
      </c>
      <c r="BB61" t="inlineStr">
        <is>
          <t>9781855064379</t>
        </is>
      </c>
      <c r="BC61" t="inlineStr">
        <is>
          <t>32285003381026</t>
        </is>
      </c>
      <c r="BD61" t="inlineStr">
        <is>
          <t>893722998</t>
        </is>
      </c>
    </row>
    <row r="62">
      <c r="A62" t="inlineStr">
        <is>
          <t>No</t>
        </is>
      </c>
      <c r="B62" t="inlineStr">
        <is>
          <t>P116 .R67 1981</t>
        </is>
      </c>
      <c r="C62" t="inlineStr">
        <is>
          <t>0                      P  0116000R  67          1981</t>
        </is>
      </c>
      <c r="D62" t="inlineStr">
        <is>
          <t>The origin of speech / Eugen Rosenstock-Huessy ; introduction by Harold M. Stahmer.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Rosenstock-Huessy, Eugen, 1888-1973.</t>
        </is>
      </c>
      <c r="L62" t="inlineStr">
        <is>
          <t>Norwich, Vt. : Argo Books, c1981.</t>
        </is>
      </c>
      <c r="M62" t="inlineStr">
        <is>
          <t>1981</t>
        </is>
      </c>
      <c r="N62" t="inlineStr">
        <is>
          <t>1st ed.</t>
        </is>
      </c>
      <c r="O62" t="inlineStr">
        <is>
          <t>eng</t>
        </is>
      </c>
      <c r="P62" t="inlineStr">
        <is>
          <t>vtu</t>
        </is>
      </c>
      <c r="R62" t="inlineStr">
        <is>
          <t xml:space="preserve">P  </t>
        </is>
      </c>
      <c r="S62" t="n">
        <v>4</v>
      </c>
      <c r="T62" t="n">
        <v>4</v>
      </c>
      <c r="U62" t="inlineStr">
        <is>
          <t>2008-11-13</t>
        </is>
      </c>
      <c r="V62" t="inlineStr">
        <is>
          <t>2008-11-13</t>
        </is>
      </c>
      <c r="W62" t="inlineStr">
        <is>
          <t>1993-04-01</t>
        </is>
      </c>
      <c r="X62" t="inlineStr">
        <is>
          <t>1993-04-01</t>
        </is>
      </c>
      <c r="Y62" t="n">
        <v>86</v>
      </c>
      <c r="Z62" t="n">
        <v>78</v>
      </c>
      <c r="AA62" t="n">
        <v>79</v>
      </c>
      <c r="AB62" t="n">
        <v>1</v>
      </c>
      <c r="AC62" t="n">
        <v>1</v>
      </c>
      <c r="AD62" t="n">
        <v>6</v>
      </c>
      <c r="AE62" t="n">
        <v>6</v>
      </c>
      <c r="AF62" t="n">
        <v>4</v>
      </c>
      <c r="AG62" t="n">
        <v>4</v>
      </c>
      <c r="AH62" t="n">
        <v>1</v>
      </c>
      <c r="AI62" t="n">
        <v>1</v>
      </c>
      <c r="AJ62" t="n">
        <v>3</v>
      </c>
      <c r="AK62" t="n">
        <v>3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HYPERLINK("https://creighton-primo.hosted.exlibrisgroup.com/primo-explore/search?tab=default_tab&amp;search_scope=EVERYTHING&amp;vid=01CRU&amp;lang=en_US&amp;offset=0&amp;query=any,contains,991005194379702656","Catalog Record")</f>
        <v/>
      </c>
      <c r="AT62">
        <f>HYPERLINK("http://www.worldcat.org/oclc/8033720","WorldCat Record")</f>
        <v/>
      </c>
      <c r="AU62" t="inlineStr">
        <is>
          <t>3861261160:eng</t>
        </is>
      </c>
      <c r="AV62" t="inlineStr">
        <is>
          <t>8033720</t>
        </is>
      </c>
      <c r="AW62" t="inlineStr">
        <is>
          <t>991005194379702656</t>
        </is>
      </c>
      <c r="AX62" t="inlineStr">
        <is>
          <t>991005194379702656</t>
        </is>
      </c>
      <c r="AY62" t="inlineStr">
        <is>
          <t>2269602810002656</t>
        </is>
      </c>
      <c r="AZ62" t="inlineStr">
        <is>
          <t>BOOK</t>
        </is>
      </c>
      <c r="BB62" t="inlineStr">
        <is>
          <t>9780912148137</t>
        </is>
      </c>
      <c r="BC62" t="inlineStr">
        <is>
          <t>32285001613164</t>
        </is>
      </c>
      <c r="BD62" t="inlineStr">
        <is>
          <t>893236451</t>
        </is>
      </c>
    </row>
    <row r="63">
      <c r="A63" t="inlineStr">
        <is>
          <t>No</t>
        </is>
      </c>
      <c r="B63" t="inlineStr">
        <is>
          <t>P117 .C5 1980</t>
        </is>
      </c>
      <c r="C63" t="inlineStr">
        <is>
          <t>0                      P  0117000C  5           1980</t>
        </is>
      </c>
      <c r="D63" t="inlineStr">
        <is>
          <t>Handtalk : an ABC of finger spelling &amp; sign language / Remy Charlip, Mary Beth, George Ancona.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Charlip, Remy.</t>
        </is>
      </c>
      <c r="L63" t="inlineStr">
        <is>
          <t>New York : Four Winds Press, [1980] c1974.</t>
        </is>
      </c>
      <c r="M63" t="inlineStr">
        <is>
          <t>1980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P  </t>
        </is>
      </c>
      <c r="S63" t="n">
        <v>9</v>
      </c>
      <c r="T63" t="n">
        <v>9</v>
      </c>
      <c r="U63" t="inlineStr">
        <is>
          <t>2002-10-06</t>
        </is>
      </c>
      <c r="V63" t="inlineStr">
        <is>
          <t>2002-10-06</t>
        </is>
      </c>
      <c r="W63" t="inlineStr">
        <is>
          <t>1995-11-03</t>
        </is>
      </c>
      <c r="X63" t="inlineStr">
        <is>
          <t>1995-11-03</t>
        </is>
      </c>
      <c r="Y63" t="n">
        <v>509</v>
      </c>
      <c r="Z63" t="n">
        <v>496</v>
      </c>
      <c r="AA63" t="n">
        <v>1560</v>
      </c>
      <c r="AB63" t="n">
        <v>5</v>
      </c>
      <c r="AC63" t="n">
        <v>21</v>
      </c>
      <c r="AD63" t="n">
        <v>1</v>
      </c>
      <c r="AE63" t="n">
        <v>13</v>
      </c>
      <c r="AF63" t="n">
        <v>0</v>
      </c>
      <c r="AG63" t="n">
        <v>3</v>
      </c>
      <c r="AH63" t="n">
        <v>0</v>
      </c>
      <c r="AI63" t="n">
        <v>3</v>
      </c>
      <c r="AJ63" t="n">
        <v>0</v>
      </c>
      <c r="AK63" t="n">
        <v>3</v>
      </c>
      <c r="AL63" t="n">
        <v>1</v>
      </c>
      <c r="AM63" t="n">
        <v>7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HYPERLINK("https://creighton-primo.hosted.exlibrisgroup.com/primo-explore/search?tab=default_tab&amp;search_scope=EVERYTHING&amp;vid=01CRU&amp;lang=en_US&amp;offset=0&amp;query=any,contains,991004390159702656","Catalog Record")</f>
        <v/>
      </c>
      <c r="AT63">
        <f>HYPERLINK("http://www.worldcat.org/oclc/6420929","WorldCat Record")</f>
        <v/>
      </c>
      <c r="AU63" t="inlineStr">
        <is>
          <t>1679396:eng</t>
        </is>
      </c>
      <c r="AV63" t="inlineStr">
        <is>
          <t>6420929</t>
        </is>
      </c>
      <c r="AW63" t="inlineStr">
        <is>
          <t>991004390159702656</t>
        </is>
      </c>
      <c r="AX63" t="inlineStr">
        <is>
          <t>991004390159702656</t>
        </is>
      </c>
      <c r="AY63" t="inlineStr">
        <is>
          <t>2266986620002656</t>
        </is>
      </c>
      <c r="AZ63" t="inlineStr">
        <is>
          <t>BOOK</t>
        </is>
      </c>
      <c r="BB63" t="inlineStr">
        <is>
          <t>9780590077668</t>
        </is>
      </c>
      <c r="BC63" t="inlineStr">
        <is>
          <t>32285002099942</t>
        </is>
      </c>
      <c r="BD63" t="inlineStr">
        <is>
          <t>893311310</t>
        </is>
      </c>
    </row>
    <row r="64">
      <c r="A64" t="inlineStr">
        <is>
          <t>No</t>
        </is>
      </c>
      <c r="B64" t="inlineStr">
        <is>
          <t>P117.5.D65 P46 2000</t>
        </is>
      </c>
      <c r="C64" t="inlineStr">
        <is>
          <t>0                      P  0117500D  65                 P  46          2000</t>
        </is>
      </c>
      <c r="D64" t="inlineStr">
        <is>
          <t>Diccionario de gestos dominicanos / Faustino Pérez.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Pérez, Faustino, 1945-</t>
        </is>
      </c>
      <c r="L64" t="inlineStr">
        <is>
          <t>Santo Domingo, Republica Dominicana : [F. Pérez], 2000.</t>
        </is>
      </c>
      <c r="M64" t="inlineStr">
        <is>
          <t>2000</t>
        </is>
      </c>
      <c r="N64" t="inlineStr">
        <is>
          <t>1a ed.</t>
        </is>
      </c>
      <c r="O64" t="inlineStr">
        <is>
          <t>spa</t>
        </is>
      </c>
      <c r="P64" t="inlineStr">
        <is>
          <t xml:space="preserve">dr </t>
        </is>
      </c>
      <c r="R64" t="inlineStr">
        <is>
          <t xml:space="preserve">P  </t>
        </is>
      </c>
      <c r="S64" t="n">
        <v>1</v>
      </c>
      <c r="T64" t="n">
        <v>1</v>
      </c>
      <c r="U64" t="inlineStr">
        <is>
          <t>2001-09-18</t>
        </is>
      </c>
      <c r="V64" t="inlineStr">
        <is>
          <t>2001-09-18</t>
        </is>
      </c>
      <c r="W64" t="inlineStr">
        <is>
          <t>2001-09-17</t>
        </is>
      </c>
      <c r="X64" t="inlineStr">
        <is>
          <t>2001-09-17</t>
        </is>
      </c>
      <c r="Y64" t="n">
        <v>34</v>
      </c>
      <c r="Z64" t="n">
        <v>28</v>
      </c>
      <c r="AA64" t="n">
        <v>54</v>
      </c>
      <c r="AB64" t="n">
        <v>1</v>
      </c>
      <c r="AC64" t="n">
        <v>1</v>
      </c>
      <c r="AD64" t="n">
        <v>1</v>
      </c>
      <c r="AE64" t="n">
        <v>2</v>
      </c>
      <c r="AF64" t="n">
        <v>0</v>
      </c>
      <c r="AG64" t="n">
        <v>1</v>
      </c>
      <c r="AH64" t="n">
        <v>1</v>
      </c>
      <c r="AI64" t="n">
        <v>1</v>
      </c>
      <c r="AJ64" t="n">
        <v>0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HYPERLINK("http://catalog.hathitrust.org/Record/101003916","HathiTrust Record")</f>
        <v/>
      </c>
      <c r="AS64">
        <f>HYPERLINK("https://creighton-primo.hosted.exlibrisgroup.com/primo-explore/search?tab=default_tab&amp;search_scope=EVERYTHING&amp;vid=01CRU&amp;lang=en_US&amp;offset=0&amp;query=any,contains,991003629449702656","Catalog Record")</f>
        <v/>
      </c>
      <c r="AT64">
        <f>HYPERLINK("http://www.worldcat.org/oclc/47112324","WorldCat Record")</f>
        <v/>
      </c>
      <c r="AU64" t="inlineStr">
        <is>
          <t>36093071:spa</t>
        </is>
      </c>
      <c r="AV64" t="inlineStr">
        <is>
          <t>47112324</t>
        </is>
      </c>
      <c r="AW64" t="inlineStr">
        <is>
          <t>991003629449702656</t>
        </is>
      </c>
      <c r="AX64" t="inlineStr">
        <is>
          <t>991003629449702656</t>
        </is>
      </c>
      <c r="AY64" t="inlineStr">
        <is>
          <t>2270484700002656</t>
        </is>
      </c>
      <c r="AZ64" t="inlineStr">
        <is>
          <t>BOOK</t>
        </is>
      </c>
      <c r="BB64" t="inlineStr">
        <is>
          <t>9789993401322</t>
        </is>
      </c>
      <c r="BC64" t="inlineStr">
        <is>
          <t>32285004391842</t>
        </is>
      </c>
      <c r="BD64" t="inlineStr">
        <is>
          <t>893246557</t>
        </is>
      </c>
    </row>
    <row r="65">
      <c r="A65" t="inlineStr">
        <is>
          <t>No</t>
        </is>
      </c>
      <c r="B65" t="inlineStr">
        <is>
          <t>P117.5.I8 D53 2003</t>
        </is>
      </c>
      <c r="C65" t="inlineStr">
        <is>
          <t>0                      P  0117500I  8                  D  53          2003</t>
        </is>
      </c>
      <c r="D65" t="inlineStr">
        <is>
          <t>Senza parole : 100 gesti degli italiani / Pierangela Diadori.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Diadori, Pierangela.</t>
        </is>
      </c>
      <c r="L65" t="inlineStr">
        <is>
          <t>Roma : Bonacci, [2003]</t>
        </is>
      </c>
      <c r="M65" t="inlineStr">
        <is>
          <t>2003</t>
        </is>
      </c>
      <c r="N65" t="inlineStr">
        <is>
          <t>4a ed. aggiornata.</t>
        </is>
      </c>
      <c r="O65" t="inlineStr">
        <is>
          <t>ita</t>
        </is>
      </c>
      <c r="P65" t="inlineStr">
        <is>
          <t xml:space="preserve">it </t>
        </is>
      </c>
      <c r="Q65" t="inlineStr">
        <is>
          <t>L'italiano per stranieri</t>
        </is>
      </c>
      <c r="R65" t="inlineStr">
        <is>
          <t xml:space="preserve">P  </t>
        </is>
      </c>
      <c r="S65" t="n">
        <v>2</v>
      </c>
      <c r="T65" t="n">
        <v>2</v>
      </c>
      <c r="U65" t="inlineStr">
        <is>
          <t>2006-01-30</t>
        </is>
      </c>
      <c r="V65" t="inlineStr">
        <is>
          <t>2006-01-30</t>
        </is>
      </c>
      <c r="W65" t="inlineStr">
        <is>
          <t>2005-11-30</t>
        </is>
      </c>
      <c r="X65" t="inlineStr">
        <is>
          <t>2005-11-30</t>
        </is>
      </c>
      <c r="Y65" t="n">
        <v>35</v>
      </c>
      <c r="Z65" t="n">
        <v>21</v>
      </c>
      <c r="AA65" t="n">
        <v>40</v>
      </c>
      <c r="AB65" t="n">
        <v>1</v>
      </c>
      <c r="AC65" t="n">
        <v>1</v>
      </c>
      <c r="AD65" t="n">
        <v>0</v>
      </c>
      <c r="AE65" t="n">
        <v>3</v>
      </c>
      <c r="AF65" t="n">
        <v>0</v>
      </c>
      <c r="AG65" t="n">
        <v>1</v>
      </c>
      <c r="AH65" t="n">
        <v>0</v>
      </c>
      <c r="AI65" t="n">
        <v>1</v>
      </c>
      <c r="AJ65" t="n">
        <v>0</v>
      </c>
      <c r="AK65" t="n">
        <v>2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HYPERLINK("http://catalog.hathitrust.org/Record/007015283","HathiTrust Record")</f>
        <v/>
      </c>
      <c r="AS65">
        <f>HYPERLINK("https://creighton-primo.hosted.exlibrisgroup.com/primo-explore/search?tab=default_tab&amp;search_scope=EVERYTHING&amp;vid=01CRU&amp;lang=en_US&amp;offset=0&amp;query=any,contains,991004699709702656","Catalog Record")</f>
        <v/>
      </c>
      <c r="AT65">
        <f>HYPERLINK("http://www.worldcat.org/oclc/46382252","WorldCat Record")</f>
        <v/>
      </c>
      <c r="AU65" t="inlineStr">
        <is>
          <t>890595433:ita</t>
        </is>
      </c>
      <c r="AV65" t="inlineStr">
        <is>
          <t>46382252</t>
        </is>
      </c>
      <c r="AW65" t="inlineStr">
        <is>
          <t>991004699709702656</t>
        </is>
      </c>
      <c r="AX65" t="inlineStr">
        <is>
          <t>991004699709702656</t>
        </is>
      </c>
      <c r="AY65" t="inlineStr">
        <is>
          <t>2269086100002656</t>
        </is>
      </c>
      <c r="AZ65" t="inlineStr">
        <is>
          <t>BOOK</t>
        </is>
      </c>
      <c r="BB65" t="inlineStr">
        <is>
          <t>9788875732264</t>
        </is>
      </c>
      <c r="BC65" t="inlineStr">
        <is>
          <t>32285005149918</t>
        </is>
      </c>
      <c r="BD65" t="inlineStr">
        <is>
          <t>893500869</t>
        </is>
      </c>
    </row>
    <row r="66">
      <c r="A66" t="inlineStr">
        <is>
          <t>No</t>
        </is>
      </c>
      <c r="B66" t="inlineStr">
        <is>
          <t>P118 .A17</t>
        </is>
      </c>
      <c r="C66" t="inlineStr">
        <is>
          <t>0                      P  0118000A  17</t>
        </is>
      </c>
      <c r="D66" t="inlineStr">
        <is>
          <t>Action, gesture, and symbol : the emergence of language / edited by Andrew Lock ; foreword by Jerome Bruner.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London ; New York : Academic Press, 1978.</t>
        </is>
      </c>
      <c r="M66" t="inlineStr">
        <is>
          <t>1978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P  </t>
        </is>
      </c>
      <c r="S66" t="n">
        <v>14</v>
      </c>
      <c r="T66" t="n">
        <v>14</v>
      </c>
      <c r="U66" t="inlineStr">
        <is>
          <t>1998-03-16</t>
        </is>
      </c>
      <c r="V66" t="inlineStr">
        <is>
          <t>1998-03-16</t>
        </is>
      </c>
      <c r="W66" t="inlineStr">
        <is>
          <t>1990-06-15</t>
        </is>
      </c>
      <c r="X66" t="inlineStr">
        <is>
          <t>1990-06-15</t>
        </is>
      </c>
      <c r="Y66" t="n">
        <v>475</v>
      </c>
      <c r="Z66" t="n">
        <v>292</v>
      </c>
      <c r="AA66" t="n">
        <v>294</v>
      </c>
      <c r="AB66" t="n">
        <v>3</v>
      </c>
      <c r="AC66" t="n">
        <v>3</v>
      </c>
      <c r="AD66" t="n">
        <v>13</v>
      </c>
      <c r="AE66" t="n">
        <v>13</v>
      </c>
      <c r="AF66" t="n">
        <v>2</v>
      </c>
      <c r="AG66" t="n">
        <v>2</v>
      </c>
      <c r="AH66" t="n">
        <v>6</v>
      </c>
      <c r="AI66" t="n">
        <v>6</v>
      </c>
      <c r="AJ66" t="n">
        <v>7</v>
      </c>
      <c r="AK66" t="n">
        <v>7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HYPERLINK("http://catalog.hathitrust.org/Record/000221679","HathiTrust Record")</f>
        <v/>
      </c>
      <c r="AS66">
        <f>HYPERLINK("https://creighton-primo.hosted.exlibrisgroup.com/primo-explore/search?tab=default_tab&amp;search_scope=EVERYTHING&amp;vid=01CRU&amp;lang=en_US&amp;offset=0&amp;query=any,contains,991004696489702656","Catalog Record")</f>
        <v/>
      </c>
      <c r="AT66">
        <f>HYPERLINK("http://www.worldcat.org/oclc/4642035","WorldCat Record")</f>
        <v/>
      </c>
      <c r="AU66" t="inlineStr">
        <is>
          <t>803256533:eng</t>
        </is>
      </c>
      <c r="AV66" t="inlineStr">
        <is>
          <t>4642035</t>
        </is>
      </c>
      <c r="AW66" t="inlineStr">
        <is>
          <t>991004696489702656</t>
        </is>
      </c>
      <c r="AX66" t="inlineStr">
        <is>
          <t>991004696489702656</t>
        </is>
      </c>
      <c r="AY66" t="inlineStr">
        <is>
          <t>2257917460002656</t>
        </is>
      </c>
      <c r="AZ66" t="inlineStr">
        <is>
          <t>BOOK</t>
        </is>
      </c>
      <c r="BB66" t="inlineStr">
        <is>
          <t>9780124540507</t>
        </is>
      </c>
      <c r="BC66" t="inlineStr">
        <is>
          <t>32285000197540</t>
        </is>
      </c>
      <c r="BD66" t="inlineStr">
        <is>
          <t>893782548</t>
        </is>
      </c>
    </row>
    <row r="67">
      <c r="A67" t="inlineStr">
        <is>
          <t>No</t>
        </is>
      </c>
      <c r="B67" t="inlineStr">
        <is>
          <t>P118 .A27</t>
        </is>
      </c>
      <c r="C67" t="inlineStr">
        <is>
          <t>0                      P  0118000A  27</t>
        </is>
      </c>
      <c r="D67" t="inlineStr">
        <is>
          <t>Child language : an interdisciplinary guide to theory and research / by Adele A. Abrahamsen.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Abrahamsen, Adele A.</t>
        </is>
      </c>
      <c r="L67" t="inlineStr">
        <is>
          <t>Baltimore : University Park Press, c1977.</t>
        </is>
      </c>
      <c r="M67" t="inlineStr">
        <is>
          <t>1977</t>
        </is>
      </c>
      <c r="O67" t="inlineStr">
        <is>
          <t>eng</t>
        </is>
      </c>
      <c r="P67" t="inlineStr">
        <is>
          <t>mdu</t>
        </is>
      </c>
      <c r="R67" t="inlineStr">
        <is>
          <t xml:space="preserve">P  </t>
        </is>
      </c>
      <c r="S67" t="n">
        <v>1</v>
      </c>
      <c r="T67" t="n">
        <v>1</v>
      </c>
      <c r="U67" t="inlineStr">
        <is>
          <t>1993-02-26</t>
        </is>
      </c>
      <c r="V67" t="inlineStr">
        <is>
          <t>1993-02-26</t>
        </is>
      </c>
      <c r="W67" t="inlineStr">
        <is>
          <t>1992-02-26</t>
        </is>
      </c>
      <c r="X67" t="inlineStr">
        <is>
          <t>1992-02-26</t>
        </is>
      </c>
      <c r="Y67" t="n">
        <v>475</v>
      </c>
      <c r="Z67" t="n">
        <v>323</v>
      </c>
      <c r="AA67" t="n">
        <v>330</v>
      </c>
      <c r="AB67" t="n">
        <v>4</v>
      </c>
      <c r="AC67" t="n">
        <v>4</v>
      </c>
      <c r="AD67" t="n">
        <v>12</v>
      </c>
      <c r="AE67" t="n">
        <v>12</v>
      </c>
      <c r="AF67" t="n">
        <v>3</v>
      </c>
      <c r="AG67" t="n">
        <v>3</v>
      </c>
      <c r="AH67" t="n">
        <v>3</v>
      </c>
      <c r="AI67" t="n">
        <v>3</v>
      </c>
      <c r="AJ67" t="n">
        <v>5</v>
      </c>
      <c r="AK67" t="n">
        <v>5</v>
      </c>
      <c r="AL67" t="n">
        <v>3</v>
      </c>
      <c r="AM67" t="n">
        <v>3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HYPERLINK("http://catalog.hathitrust.org/Record/000735256","HathiTrust Record")</f>
        <v/>
      </c>
      <c r="AS67">
        <f>HYPERLINK("https://creighton-primo.hosted.exlibrisgroup.com/primo-explore/search?tab=default_tab&amp;search_scope=EVERYTHING&amp;vid=01CRU&amp;lang=en_US&amp;offset=0&amp;query=any,contains,991004277499702656","Catalog Record")</f>
        <v/>
      </c>
      <c r="AT67">
        <f>HYPERLINK("http://www.worldcat.org/oclc/2896264","WorldCat Record")</f>
        <v/>
      </c>
      <c r="AU67" t="inlineStr">
        <is>
          <t>798044266:eng</t>
        </is>
      </c>
      <c r="AV67" t="inlineStr">
        <is>
          <t>2896264</t>
        </is>
      </c>
      <c r="AW67" t="inlineStr">
        <is>
          <t>991004277499702656</t>
        </is>
      </c>
      <c r="AX67" t="inlineStr">
        <is>
          <t>991004277499702656</t>
        </is>
      </c>
      <c r="AY67" t="inlineStr">
        <is>
          <t>2256349630002656</t>
        </is>
      </c>
      <c r="AZ67" t="inlineStr">
        <is>
          <t>BOOK</t>
        </is>
      </c>
      <c r="BB67" t="inlineStr">
        <is>
          <t>9780839111283</t>
        </is>
      </c>
      <c r="BC67" t="inlineStr">
        <is>
          <t>32285000949023</t>
        </is>
      </c>
      <c r="BD67" t="inlineStr">
        <is>
          <t>893423607</t>
        </is>
      </c>
    </row>
    <row r="68">
      <c r="A68" t="inlineStr">
        <is>
          <t>No</t>
        </is>
      </c>
      <c r="B68" t="inlineStr">
        <is>
          <t>P118 .A5 1984</t>
        </is>
      </c>
      <c r="C68" t="inlineStr">
        <is>
          <t>0                      P  0118000A  5           1984</t>
        </is>
      </c>
      <c r="D68" t="inlineStr">
        <is>
          <t>Language development from birth to three / Moshe Anisfeld.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Anisfeld, Moshe.</t>
        </is>
      </c>
      <c r="L68" t="inlineStr">
        <is>
          <t>Hillsdale, N.J. ; London : Lawrence Erlbaum, 1984.</t>
        </is>
      </c>
      <c r="M68" t="inlineStr">
        <is>
          <t>1984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P  </t>
        </is>
      </c>
      <c r="S68" t="n">
        <v>7</v>
      </c>
      <c r="T68" t="n">
        <v>7</v>
      </c>
      <c r="U68" t="inlineStr">
        <is>
          <t>1995-04-13</t>
        </is>
      </c>
      <c r="V68" t="inlineStr">
        <is>
          <t>1995-04-13</t>
        </is>
      </c>
      <c r="W68" t="inlineStr">
        <is>
          <t>1992-02-21</t>
        </is>
      </c>
      <c r="X68" t="inlineStr">
        <is>
          <t>1992-02-21</t>
        </is>
      </c>
      <c r="Y68" t="n">
        <v>677</v>
      </c>
      <c r="Z68" t="n">
        <v>582</v>
      </c>
      <c r="AA68" t="n">
        <v>674</v>
      </c>
      <c r="AB68" t="n">
        <v>5</v>
      </c>
      <c r="AC68" t="n">
        <v>6</v>
      </c>
      <c r="AD68" t="n">
        <v>30</v>
      </c>
      <c r="AE68" t="n">
        <v>31</v>
      </c>
      <c r="AF68" t="n">
        <v>9</v>
      </c>
      <c r="AG68" t="n">
        <v>9</v>
      </c>
      <c r="AH68" t="n">
        <v>7</v>
      </c>
      <c r="AI68" t="n">
        <v>7</v>
      </c>
      <c r="AJ68" t="n">
        <v>15</v>
      </c>
      <c r="AK68" t="n">
        <v>15</v>
      </c>
      <c r="AL68" t="n">
        <v>4</v>
      </c>
      <c r="AM68" t="n">
        <v>5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HYPERLINK("http://catalog.hathitrust.org/Record/000780595","HathiTrust Record")</f>
        <v/>
      </c>
      <c r="AS68">
        <f>HYPERLINK("https://creighton-primo.hosted.exlibrisgroup.com/primo-explore/search?tab=default_tab&amp;search_scope=EVERYTHING&amp;vid=01CRU&amp;lang=en_US&amp;offset=0&amp;query=any,contains,991000352599702656","Catalog Record")</f>
        <v/>
      </c>
      <c r="AT68">
        <f>HYPERLINK("http://www.worldcat.org/oclc/12548767","WorldCat Record")</f>
        <v/>
      </c>
      <c r="AU68" t="inlineStr">
        <is>
          <t>4878674:eng</t>
        </is>
      </c>
      <c r="AV68" t="inlineStr">
        <is>
          <t>12548767</t>
        </is>
      </c>
      <c r="AW68" t="inlineStr">
        <is>
          <t>991000352599702656</t>
        </is>
      </c>
      <c r="AX68" t="inlineStr">
        <is>
          <t>991000352599702656</t>
        </is>
      </c>
      <c r="AY68" t="inlineStr">
        <is>
          <t>2271204810002656</t>
        </is>
      </c>
      <c r="AZ68" t="inlineStr">
        <is>
          <t>BOOK</t>
        </is>
      </c>
      <c r="BB68" t="inlineStr">
        <is>
          <t>9780898592849</t>
        </is>
      </c>
      <c r="BC68" t="inlineStr">
        <is>
          <t>32285000973130</t>
        </is>
      </c>
      <c r="BD68" t="inlineStr">
        <is>
          <t>893425606</t>
        </is>
      </c>
    </row>
    <row r="69">
      <c r="A69" t="inlineStr">
        <is>
          <t>No</t>
        </is>
      </c>
      <c r="B69" t="inlineStr">
        <is>
          <t>P118 .B46 1988</t>
        </is>
      </c>
      <c r="C69" t="inlineStr">
        <is>
          <t>0                      P  0118000B  46          1988</t>
        </is>
      </c>
      <c r="D69" t="inlineStr">
        <is>
          <t>Analyzing children's language : methods and theories / Tina Bennett-Kastor.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Bennett-Kastor, Tina.</t>
        </is>
      </c>
      <c r="L69" t="inlineStr">
        <is>
          <t>Oxford, OX, UK ; New York, NY, USA : B. Blackwell, 1988.</t>
        </is>
      </c>
      <c r="M69" t="inlineStr">
        <is>
          <t>1988</t>
        </is>
      </c>
      <c r="O69" t="inlineStr">
        <is>
          <t>eng</t>
        </is>
      </c>
      <c r="P69" t="inlineStr">
        <is>
          <t>enk</t>
        </is>
      </c>
      <c r="Q69" t="inlineStr">
        <is>
          <t>Applied language studies</t>
        </is>
      </c>
      <c r="R69" t="inlineStr">
        <is>
          <t xml:space="preserve">P  </t>
        </is>
      </c>
      <c r="S69" t="n">
        <v>5</v>
      </c>
      <c r="T69" t="n">
        <v>5</v>
      </c>
      <c r="U69" t="inlineStr">
        <is>
          <t>2002-11-24</t>
        </is>
      </c>
      <c r="V69" t="inlineStr">
        <is>
          <t>2002-11-24</t>
        </is>
      </c>
      <c r="W69" t="inlineStr">
        <is>
          <t>1990-07-17</t>
        </is>
      </c>
      <c r="X69" t="inlineStr">
        <is>
          <t>1990-07-17</t>
        </is>
      </c>
      <c r="Y69" t="n">
        <v>445</v>
      </c>
      <c r="Z69" t="n">
        <v>262</v>
      </c>
      <c r="AA69" t="n">
        <v>263</v>
      </c>
      <c r="AB69" t="n">
        <v>3</v>
      </c>
      <c r="AC69" t="n">
        <v>3</v>
      </c>
      <c r="AD69" t="n">
        <v>10</v>
      </c>
      <c r="AE69" t="n">
        <v>10</v>
      </c>
      <c r="AF69" t="n">
        <v>0</v>
      </c>
      <c r="AG69" t="n">
        <v>0</v>
      </c>
      <c r="AH69" t="n">
        <v>4</v>
      </c>
      <c r="AI69" t="n">
        <v>4</v>
      </c>
      <c r="AJ69" t="n">
        <v>6</v>
      </c>
      <c r="AK69" t="n">
        <v>6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HYPERLINK("https://creighton-primo.hosted.exlibrisgroup.com/primo-explore/search?tab=default_tab&amp;search_scope=EVERYTHING&amp;vid=01CRU&amp;lang=en_US&amp;offset=0&amp;query=any,contains,991001256149702656","Catalog Record")</f>
        <v/>
      </c>
      <c r="AT69">
        <f>HYPERLINK("http://www.worldcat.org/oclc/17731726","WorldCat Record")</f>
        <v/>
      </c>
      <c r="AU69" t="inlineStr">
        <is>
          <t>287975373:eng</t>
        </is>
      </c>
      <c r="AV69" t="inlineStr">
        <is>
          <t>17731726</t>
        </is>
      </c>
      <c r="AW69" t="inlineStr">
        <is>
          <t>991001256149702656</t>
        </is>
      </c>
      <c r="AX69" t="inlineStr">
        <is>
          <t>991001256149702656</t>
        </is>
      </c>
      <c r="AY69" t="inlineStr">
        <is>
          <t>2271942030002656</t>
        </is>
      </c>
      <c r="AZ69" t="inlineStr">
        <is>
          <t>BOOK</t>
        </is>
      </c>
      <c r="BB69" t="inlineStr">
        <is>
          <t>9780631163756</t>
        </is>
      </c>
      <c r="BC69" t="inlineStr">
        <is>
          <t>32285000208917</t>
        </is>
      </c>
      <c r="BD69" t="inlineStr">
        <is>
          <t>893614932</t>
        </is>
      </c>
    </row>
    <row r="70">
      <c r="A70" t="inlineStr">
        <is>
          <t>No</t>
        </is>
      </c>
      <c r="B70" t="inlineStr">
        <is>
          <t>P118 .B58</t>
        </is>
      </c>
      <c r="C70" t="inlineStr">
        <is>
          <t>0                      P  0118000B  58</t>
        </is>
      </c>
      <c r="D70" t="inlineStr">
        <is>
          <t>The acquisition of distinctive features / by Stephen E. Blache.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Blache, Stephen E.</t>
        </is>
      </c>
      <c r="L70" t="inlineStr">
        <is>
          <t>Baltimore, Md. : University Park Press, c1978.</t>
        </is>
      </c>
      <c r="M70" t="inlineStr">
        <is>
          <t>1978</t>
        </is>
      </c>
      <c r="O70" t="inlineStr">
        <is>
          <t>eng</t>
        </is>
      </c>
      <c r="P70" t="inlineStr">
        <is>
          <t>mdu</t>
        </is>
      </c>
      <c r="R70" t="inlineStr">
        <is>
          <t xml:space="preserve">P  </t>
        </is>
      </c>
      <c r="S70" t="n">
        <v>1</v>
      </c>
      <c r="T70" t="n">
        <v>1</v>
      </c>
      <c r="U70" t="inlineStr">
        <is>
          <t>1993-03-22</t>
        </is>
      </c>
      <c r="V70" t="inlineStr">
        <is>
          <t>1993-03-22</t>
        </is>
      </c>
      <c r="W70" t="inlineStr">
        <is>
          <t>1992-04-30</t>
        </is>
      </c>
      <c r="X70" t="inlineStr">
        <is>
          <t>1992-04-30</t>
        </is>
      </c>
      <c r="Y70" t="n">
        <v>379</v>
      </c>
      <c r="Z70" t="n">
        <v>302</v>
      </c>
      <c r="AA70" t="n">
        <v>304</v>
      </c>
      <c r="AB70" t="n">
        <v>3</v>
      </c>
      <c r="AC70" t="n">
        <v>3</v>
      </c>
      <c r="AD70" t="n">
        <v>16</v>
      </c>
      <c r="AE70" t="n">
        <v>16</v>
      </c>
      <c r="AF70" t="n">
        <v>6</v>
      </c>
      <c r="AG70" t="n">
        <v>6</v>
      </c>
      <c r="AH70" t="n">
        <v>4</v>
      </c>
      <c r="AI70" t="n">
        <v>4</v>
      </c>
      <c r="AJ70" t="n">
        <v>7</v>
      </c>
      <c r="AK70" t="n">
        <v>7</v>
      </c>
      <c r="AL70" t="n">
        <v>2</v>
      </c>
      <c r="AM70" t="n">
        <v>2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HYPERLINK("http://catalog.hathitrust.org/Record/000092424","HathiTrust Record")</f>
        <v/>
      </c>
      <c r="AS70">
        <f>HYPERLINK("https://creighton-primo.hosted.exlibrisgroup.com/primo-explore/search?tab=default_tab&amp;search_scope=EVERYTHING&amp;vid=01CRU&amp;lang=en_US&amp;offset=0&amp;query=any,contains,991004483169702656","Catalog Record")</f>
        <v/>
      </c>
      <c r="AT70">
        <f>HYPERLINK("http://www.worldcat.org/oclc/3630952","WorldCat Record")</f>
        <v/>
      </c>
      <c r="AU70" t="inlineStr">
        <is>
          <t>11758778:eng</t>
        </is>
      </c>
      <c r="AV70" t="inlineStr">
        <is>
          <t>3630952</t>
        </is>
      </c>
      <c r="AW70" t="inlineStr">
        <is>
          <t>991004483169702656</t>
        </is>
      </c>
      <c r="AX70" t="inlineStr">
        <is>
          <t>991004483169702656</t>
        </is>
      </c>
      <c r="AY70" t="inlineStr">
        <is>
          <t>2258591640002656</t>
        </is>
      </c>
      <c r="AZ70" t="inlineStr">
        <is>
          <t>BOOK</t>
        </is>
      </c>
      <c r="BB70" t="inlineStr">
        <is>
          <t>9780839112082</t>
        </is>
      </c>
      <c r="BC70" t="inlineStr">
        <is>
          <t>32285001120012</t>
        </is>
      </c>
      <c r="BD70" t="inlineStr">
        <is>
          <t>893869757</t>
        </is>
      </c>
    </row>
    <row r="71">
      <c r="A71" t="inlineStr">
        <is>
          <t>No</t>
        </is>
      </c>
      <c r="B71" t="inlineStr">
        <is>
          <t>P118 .B65413 1999</t>
        </is>
      </c>
      <c r="C71" t="inlineStr">
        <is>
          <t>0                      P  0118000B  65413       1999</t>
        </is>
      </c>
      <c r="D71" t="inlineStr">
        <is>
          <t>How language comes to children : from birth to two years / Bénédicte de Boysson-Bardies ; translated by M.B. DeBevoise.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Boysson-Bardies, Bénédicte de.</t>
        </is>
      </c>
      <c r="L71" t="inlineStr">
        <is>
          <t>Cambridge, Mass. : MIT Press, c1999.</t>
        </is>
      </c>
      <c r="M71" t="inlineStr">
        <is>
          <t>1999</t>
        </is>
      </c>
      <c r="O71" t="inlineStr">
        <is>
          <t>eng</t>
        </is>
      </c>
      <c r="P71" t="inlineStr">
        <is>
          <t>mau</t>
        </is>
      </c>
      <c r="R71" t="inlineStr">
        <is>
          <t xml:space="preserve">P  </t>
        </is>
      </c>
      <c r="S71" t="n">
        <v>5</v>
      </c>
      <c r="T71" t="n">
        <v>5</v>
      </c>
      <c r="U71" t="inlineStr">
        <is>
          <t>2010-03-13</t>
        </is>
      </c>
      <c r="V71" t="inlineStr">
        <is>
          <t>2010-03-13</t>
        </is>
      </c>
      <c r="W71" t="inlineStr">
        <is>
          <t>2002-09-11</t>
        </is>
      </c>
      <c r="X71" t="inlineStr">
        <is>
          <t>2002-09-11</t>
        </is>
      </c>
      <c r="Y71" t="n">
        <v>782</v>
      </c>
      <c r="Z71" t="n">
        <v>610</v>
      </c>
      <c r="AA71" t="n">
        <v>658</v>
      </c>
      <c r="AB71" t="n">
        <v>6</v>
      </c>
      <c r="AC71" t="n">
        <v>6</v>
      </c>
      <c r="AD71" t="n">
        <v>28</v>
      </c>
      <c r="AE71" t="n">
        <v>29</v>
      </c>
      <c r="AF71" t="n">
        <v>9</v>
      </c>
      <c r="AG71" t="n">
        <v>9</v>
      </c>
      <c r="AH71" t="n">
        <v>8</v>
      </c>
      <c r="AI71" t="n">
        <v>9</v>
      </c>
      <c r="AJ71" t="n">
        <v>15</v>
      </c>
      <c r="AK71" t="n">
        <v>15</v>
      </c>
      <c r="AL71" t="n">
        <v>5</v>
      </c>
      <c r="AM71" t="n">
        <v>5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HYPERLINK("https://creighton-primo.hosted.exlibrisgroup.com/primo-explore/search?tab=default_tab&amp;search_scope=EVERYTHING&amp;vid=01CRU&amp;lang=en_US&amp;offset=0&amp;query=any,contains,991003876689702656","Catalog Record")</f>
        <v/>
      </c>
      <c r="AT71">
        <f>HYPERLINK("http://www.worldcat.org/oclc/38853989","WorldCat Record")</f>
        <v/>
      </c>
      <c r="AU71" t="inlineStr">
        <is>
          <t>2495853:eng</t>
        </is>
      </c>
      <c r="AV71" t="inlineStr">
        <is>
          <t>38853989</t>
        </is>
      </c>
      <c r="AW71" t="inlineStr">
        <is>
          <t>991003876689702656</t>
        </is>
      </c>
      <c r="AX71" t="inlineStr">
        <is>
          <t>991003876689702656</t>
        </is>
      </c>
      <c r="AY71" t="inlineStr">
        <is>
          <t>2272581030002656</t>
        </is>
      </c>
      <c r="AZ71" t="inlineStr">
        <is>
          <t>BOOK</t>
        </is>
      </c>
      <c r="BB71" t="inlineStr">
        <is>
          <t>9780262024532</t>
        </is>
      </c>
      <c r="BC71" t="inlineStr">
        <is>
          <t>32285004647110</t>
        </is>
      </c>
      <c r="BD71" t="inlineStr">
        <is>
          <t>893246844</t>
        </is>
      </c>
    </row>
    <row r="72">
      <c r="A72" t="inlineStr">
        <is>
          <t>No</t>
        </is>
      </c>
      <c r="B72" t="inlineStr">
        <is>
          <t>P118 .B72 1983</t>
        </is>
      </c>
      <c r="C72" t="inlineStr">
        <is>
          <t>0                      P  0118000B  72          1983</t>
        </is>
      </c>
      <c r="D72" t="inlineStr">
        <is>
          <t>Child's talk : learning to use language / Jerome Bruner ; with the assistance of Rita Watson.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Bruner, Jerome S. (Jerome Seymour)</t>
        </is>
      </c>
      <c r="L72" t="inlineStr">
        <is>
          <t>New York : W.W. Norton, c1983.</t>
        </is>
      </c>
      <c r="M72" t="inlineStr">
        <is>
          <t>1983</t>
        </is>
      </c>
      <c r="N72" t="inlineStr">
        <is>
          <t>1st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  </t>
        </is>
      </c>
      <c r="S72" t="n">
        <v>2</v>
      </c>
      <c r="T72" t="n">
        <v>2</v>
      </c>
      <c r="U72" t="inlineStr">
        <is>
          <t>1996-02-11</t>
        </is>
      </c>
      <c r="V72" t="inlineStr">
        <is>
          <t>1996-02-11</t>
        </is>
      </c>
      <c r="W72" t="inlineStr">
        <is>
          <t>1992-04-30</t>
        </is>
      </c>
      <c r="X72" t="inlineStr">
        <is>
          <t>1992-04-30</t>
        </is>
      </c>
      <c r="Y72" t="n">
        <v>858</v>
      </c>
      <c r="Z72" t="n">
        <v>730</v>
      </c>
      <c r="AA72" t="n">
        <v>769</v>
      </c>
      <c r="AB72" t="n">
        <v>4</v>
      </c>
      <c r="AC72" t="n">
        <v>4</v>
      </c>
      <c r="AD72" t="n">
        <v>32</v>
      </c>
      <c r="AE72" t="n">
        <v>33</v>
      </c>
      <c r="AF72" t="n">
        <v>13</v>
      </c>
      <c r="AG72" t="n">
        <v>13</v>
      </c>
      <c r="AH72" t="n">
        <v>7</v>
      </c>
      <c r="AI72" t="n">
        <v>7</v>
      </c>
      <c r="AJ72" t="n">
        <v>16</v>
      </c>
      <c r="AK72" t="n">
        <v>17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HYPERLINK("https://creighton-primo.hosted.exlibrisgroup.com/primo-explore/search?tab=default_tab&amp;search_scope=EVERYTHING&amp;vid=01CRU&amp;lang=en_US&amp;offset=0&amp;query=any,contains,991000149569702656","Catalog Record")</f>
        <v/>
      </c>
      <c r="AT72">
        <f>HYPERLINK("http://www.worldcat.org/oclc/9197489","WorldCat Record")</f>
        <v/>
      </c>
      <c r="AU72" t="inlineStr">
        <is>
          <t>900640:eng</t>
        </is>
      </c>
      <c r="AV72" t="inlineStr">
        <is>
          <t>9197489</t>
        </is>
      </c>
      <c r="AW72" t="inlineStr">
        <is>
          <t>991000149569702656</t>
        </is>
      </c>
      <c r="AX72" t="inlineStr">
        <is>
          <t>991000149569702656</t>
        </is>
      </c>
      <c r="AY72" t="inlineStr">
        <is>
          <t>2266012520002656</t>
        </is>
      </c>
      <c r="AZ72" t="inlineStr">
        <is>
          <t>BOOK</t>
        </is>
      </c>
      <c r="BB72" t="inlineStr">
        <is>
          <t>9780393953459</t>
        </is>
      </c>
      <c r="BC72" t="inlineStr">
        <is>
          <t>32285001105005</t>
        </is>
      </c>
      <c r="BD72" t="inlineStr">
        <is>
          <t>893249133</t>
        </is>
      </c>
    </row>
    <row r="73">
      <c r="A73" t="inlineStr">
        <is>
          <t>No</t>
        </is>
      </c>
      <c r="B73" t="inlineStr">
        <is>
          <t>P118 .C37 1985</t>
        </is>
      </c>
      <c r="C73" t="inlineStr">
        <is>
          <t>0                      P  0118000C  37          1985</t>
        </is>
      </c>
      <c r="D73" t="inlineStr">
        <is>
          <t>Mechanisms of language aquisition [sic] / edited by Brian MacWhinney ; [the 20th Annual Carnegie Symposium on Cognition].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Carnegie Symposium on Cognition (20th : 1985 : Carnegie-Mellon University)</t>
        </is>
      </c>
      <c r="L73" t="inlineStr">
        <is>
          <t>Hillsdale, N.J. : L. Erlbaum Associates, 1987.</t>
        </is>
      </c>
      <c r="M73" t="inlineStr">
        <is>
          <t>1987</t>
        </is>
      </c>
      <c r="O73" t="inlineStr">
        <is>
          <t>eng</t>
        </is>
      </c>
      <c r="P73" t="inlineStr">
        <is>
          <t>nju</t>
        </is>
      </c>
      <c r="R73" t="inlineStr">
        <is>
          <t xml:space="preserve">P  </t>
        </is>
      </c>
      <c r="S73" t="n">
        <v>6</v>
      </c>
      <c r="T73" t="n">
        <v>6</v>
      </c>
      <c r="U73" t="inlineStr">
        <is>
          <t>1993-04-28</t>
        </is>
      </c>
      <c r="V73" t="inlineStr">
        <is>
          <t>1993-04-28</t>
        </is>
      </c>
      <c r="W73" t="inlineStr">
        <is>
          <t>1990-07-26</t>
        </is>
      </c>
      <c r="X73" t="inlineStr">
        <is>
          <t>1990-07-26</t>
        </is>
      </c>
      <c r="Y73" t="n">
        <v>471</v>
      </c>
      <c r="Z73" t="n">
        <v>340</v>
      </c>
      <c r="AA73" t="n">
        <v>359</v>
      </c>
      <c r="AB73" t="n">
        <v>4</v>
      </c>
      <c r="AC73" t="n">
        <v>4</v>
      </c>
      <c r="AD73" t="n">
        <v>15</v>
      </c>
      <c r="AE73" t="n">
        <v>15</v>
      </c>
      <c r="AF73" t="n">
        <v>4</v>
      </c>
      <c r="AG73" t="n">
        <v>4</v>
      </c>
      <c r="AH73" t="n">
        <v>6</v>
      </c>
      <c r="AI73" t="n">
        <v>6</v>
      </c>
      <c r="AJ73" t="n">
        <v>7</v>
      </c>
      <c r="AK73" t="n">
        <v>7</v>
      </c>
      <c r="AL73" t="n">
        <v>3</v>
      </c>
      <c r="AM73" t="n">
        <v>3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HYPERLINK("https://creighton-primo.hosted.exlibrisgroup.com/primo-explore/search?tab=default_tab&amp;search_scope=EVERYTHING&amp;vid=01CRU&amp;lang=en_US&amp;offset=0&amp;query=any,contains,991001000569702656","Catalog Record")</f>
        <v/>
      </c>
      <c r="AT73">
        <f>HYPERLINK("http://www.worldcat.org/oclc/15197860","WorldCat Record")</f>
        <v/>
      </c>
      <c r="AU73" t="inlineStr">
        <is>
          <t>10253036958:eng</t>
        </is>
      </c>
      <c r="AV73" t="inlineStr">
        <is>
          <t>15197860</t>
        </is>
      </c>
      <c r="AW73" t="inlineStr">
        <is>
          <t>991001000569702656</t>
        </is>
      </c>
      <c r="AX73" t="inlineStr">
        <is>
          <t>991001000569702656</t>
        </is>
      </c>
      <c r="AY73" t="inlineStr">
        <is>
          <t>2260339510002656</t>
        </is>
      </c>
      <c r="AZ73" t="inlineStr">
        <is>
          <t>BOOK</t>
        </is>
      </c>
      <c r="BB73" t="inlineStr">
        <is>
          <t>9780898599732</t>
        </is>
      </c>
      <c r="BC73" t="inlineStr">
        <is>
          <t>32285000240605</t>
        </is>
      </c>
      <c r="BD73" t="inlineStr">
        <is>
          <t>893608452</t>
        </is>
      </c>
    </row>
    <row r="74">
      <c r="A74" t="inlineStr">
        <is>
          <t>No</t>
        </is>
      </c>
      <c r="B74" t="inlineStr">
        <is>
          <t>P118 .C483</t>
        </is>
      </c>
      <c r="C74" t="inlineStr">
        <is>
          <t>0                      P  0118000C  483</t>
        </is>
      </c>
      <c r="D74" t="inlineStr">
        <is>
          <t>The Child's construction of language / edited by Werner Deutsch.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London ; New York : Academic Press, 1981.</t>
        </is>
      </c>
      <c r="M74" t="inlineStr">
        <is>
          <t>1981</t>
        </is>
      </c>
      <c r="O74" t="inlineStr">
        <is>
          <t>eng</t>
        </is>
      </c>
      <c r="P74" t="inlineStr">
        <is>
          <t>enk</t>
        </is>
      </c>
      <c r="Q74" t="inlineStr">
        <is>
          <t>Behavioural development</t>
        </is>
      </c>
      <c r="R74" t="inlineStr">
        <is>
          <t xml:space="preserve">P  </t>
        </is>
      </c>
      <c r="S74" t="n">
        <v>5</v>
      </c>
      <c r="T74" t="n">
        <v>5</v>
      </c>
      <c r="U74" t="inlineStr">
        <is>
          <t>1997-03-23</t>
        </is>
      </c>
      <c r="V74" t="inlineStr">
        <is>
          <t>1997-03-23</t>
        </is>
      </c>
      <c r="W74" t="inlineStr">
        <is>
          <t>1992-02-11</t>
        </is>
      </c>
      <c r="X74" t="inlineStr">
        <is>
          <t>1992-02-11</t>
        </is>
      </c>
      <c r="Y74" t="n">
        <v>474</v>
      </c>
      <c r="Z74" t="n">
        <v>304</v>
      </c>
      <c r="AA74" t="n">
        <v>306</v>
      </c>
      <c r="AB74" t="n">
        <v>3</v>
      </c>
      <c r="AC74" t="n">
        <v>3</v>
      </c>
      <c r="AD74" t="n">
        <v>11</v>
      </c>
      <c r="AE74" t="n">
        <v>11</v>
      </c>
      <c r="AF74" t="n">
        <v>1</v>
      </c>
      <c r="AG74" t="n">
        <v>1</v>
      </c>
      <c r="AH74" t="n">
        <v>4</v>
      </c>
      <c r="AI74" t="n">
        <v>4</v>
      </c>
      <c r="AJ74" t="n">
        <v>6</v>
      </c>
      <c r="AK74" t="n">
        <v>6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HYPERLINK("http://catalog.hathitrust.org/Record/000105754","HathiTrust Record")</f>
        <v/>
      </c>
      <c r="AS74">
        <f>HYPERLINK("https://creighton-primo.hosted.exlibrisgroup.com/primo-explore/search?tab=default_tab&amp;search_scope=EVERYTHING&amp;vid=01CRU&amp;lang=en_US&amp;offset=0&amp;query=any,contains,991005241279702656","Catalog Record")</f>
        <v/>
      </c>
      <c r="AT74">
        <f>HYPERLINK("http://www.worldcat.org/oclc/8420553","WorldCat Record")</f>
        <v/>
      </c>
      <c r="AU74" t="inlineStr">
        <is>
          <t>111693996:eng</t>
        </is>
      </c>
      <c r="AV74" t="inlineStr">
        <is>
          <t>8420553</t>
        </is>
      </c>
      <c r="AW74" t="inlineStr">
        <is>
          <t>991005241279702656</t>
        </is>
      </c>
      <c r="AX74" t="inlineStr">
        <is>
          <t>991005241279702656</t>
        </is>
      </c>
      <c r="AY74" t="inlineStr">
        <is>
          <t>2256118100002656</t>
        </is>
      </c>
      <c r="AZ74" t="inlineStr">
        <is>
          <t>BOOK</t>
        </is>
      </c>
      <c r="BB74" t="inlineStr">
        <is>
          <t>9780122135804</t>
        </is>
      </c>
      <c r="BC74" t="inlineStr">
        <is>
          <t>32285000970235</t>
        </is>
      </c>
      <c r="BD74" t="inlineStr">
        <is>
          <t>893783270</t>
        </is>
      </c>
    </row>
    <row r="75">
      <c r="A75" t="inlineStr">
        <is>
          <t>No</t>
        </is>
      </c>
      <c r="B75" t="inlineStr">
        <is>
          <t>P118 .C7 1979b</t>
        </is>
      </c>
      <c r="C75" t="inlineStr">
        <is>
          <t>0                      P  0118000C  7           1979b</t>
        </is>
      </c>
      <c r="D75" t="inlineStr">
        <is>
          <t>Language in infancy and childhood : a linguistic introduction to language acquisition / Alan Cruttenden.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Cruttenden, Alan, 1936-</t>
        </is>
      </c>
      <c r="L75" t="inlineStr">
        <is>
          <t>New York : St. Martin's Press, 1979.</t>
        </is>
      </c>
      <c r="M75" t="inlineStr">
        <is>
          <t>1979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P  </t>
        </is>
      </c>
      <c r="S75" t="n">
        <v>7</v>
      </c>
      <c r="T75" t="n">
        <v>7</v>
      </c>
      <c r="U75" t="inlineStr">
        <is>
          <t>1996-02-11</t>
        </is>
      </c>
      <c r="V75" t="inlineStr">
        <is>
          <t>1996-02-11</t>
        </is>
      </c>
      <c r="W75" t="inlineStr">
        <is>
          <t>1993-04-01</t>
        </is>
      </c>
      <c r="X75" t="inlineStr">
        <is>
          <t>1993-04-01</t>
        </is>
      </c>
      <c r="Y75" t="n">
        <v>246</v>
      </c>
      <c r="Z75" t="n">
        <v>216</v>
      </c>
      <c r="AA75" t="n">
        <v>255</v>
      </c>
      <c r="AB75" t="n">
        <v>1</v>
      </c>
      <c r="AC75" t="n">
        <v>1</v>
      </c>
      <c r="AD75" t="n">
        <v>5</v>
      </c>
      <c r="AE75" t="n">
        <v>5</v>
      </c>
      <c r="AF75" t="n">
        <v>1</v>
      </c>
      <c r="AG75" t="n">
        <v>1</v>
      </c>
      <c r="AH75" t="n">
        <v>2</v>
      </c>
      <c r="AI75" t="n">
        <v>2</v>
      </c>
      <c r="AJ75" t="n">
        <v>4</v>
      </c>
      <c r="AK75" t="n">
        <v>4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HYPERLINK("https://creighton-primo.hosted.exlibrisgroup.com/primo-explore/search?tab=default_tab&amp;search_scope=EVERYTHING&amp;vid=01CRU&amp;lang=en_US&amp;offset=0&amp;query=any,contains,991004666989702656","Catalog Record")</f>
        <v/>
      </c>
      <c r="AT75">
        <f>HYPERLINK("http://www.worldcat.org/oclc/4504528","WorldCat Record")</f>
        <v/>
      </c>
      <c r="AU75" t="inlineStr">
        <is>
          <t>442968:eng</t>
        </is>
      </c>
      <c r="AV75" t="inlineStr">
        <is>
          <t>4504528</t>
        </is>
      </c>
      <c r="AW75" t="inlineStr">
        <is>
          <t>991004666989702656</t>
        </is>
      </c>
      <c r="AX75" t="inlineStr">
        <is>
          <t>991004666989702656</t>
        </is>
      </c>
      <c r="AY75" t="inlineStr">
        <is>
          <t>2264829450002656</t>
        </is>
      </c>
      <c r="AZ75" t="inlineStr">
        <is>
          <t>BOOK</t>
        </is>
      </c>
      <c r="BB75" t="inlineStr">
        <is>
          <t>9780312466060</t>
        </is>
      </c>
      <c r="BC75" t="inlineStr">
        <is>
          <t>32285001613180</t>
        </is>
      </c>
      <c r="BD75" t="inlineStr">
        <is>
          <t>893325617</t>
        </is>
      </c>
    </row>
    <row r="76">
      <c r="A76" t="inlineStr">
        <is>
          <t>No</t>
        </is>
      </c>
      <c r="B76" t="inlineStr">
        <is>
          <t>P118 .D3 1976</t>
        </is>
      </c>
      <c r="C76" t="inlineStr">
        <is>
          <t>0                      P  0118000D  3           1976</t>
        </is>
      </c>
      <c r="D76" t="inlineStr">
        <is>
          <t>Language development : structure and function / Philip S. Dale.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Dale, Philip S.</t>
        </is>
      </c>
      <c r="L76" t="inlineStr">
        <is>
          <t>New York : Holt Rinehart and Winston, c1976.</t>
        </is>
      </c>
      <c r="M76" t="inlineStr">
        <is>
          <t>1976</t>
        </is>
      </c>
      <c r="N76" t="inlineStr">
        <is>
          <t>2d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P  </t>
        </is>
      </c>
      <c r="S76" t="n">
        <v>7</v>
      </c>
      <c r="T76" t="n">
        <v>7</v>
      </c>
      <c r="U76" t="inlineStr">
        <is>
          <t>1998-04-14</t>
        </is>
      </c>
      <c r="V76" t="inlineStr">
        <is>
          <t>1998-04-14</t>
        </is>
      </c>
      <c r="W76" t="inlineStr">
        <is>
          <t>1992-03-25</t>
        </is>
      </c>
      <c r="X76" t="inlineStr">
        <is>
          <t>1992-03-25</t>
        </is>
      </c>
      <c r="Y76" t="n">
        <v>727</v>
      </c>
      <c r="Z76" t="n">
        <v>497</v>
      </c>
      <c r="AA76" t="n">
        <v>719</v>
      </c>
      <c r="AB76" t="n">
        <v>4</v>
      </c>
      <c r="AC76" t="n">
        <v>5</v>
      </c>
      <c r="AD76" t="n">
        <v>27</v>
      </c>
      <c r="AE76" t="n">
        <v>40</v>
      </c>
      <c r="AF76" t="n">
        <v>10</v>
      </c>
      <c r="AG76" t="n">
        <v>17</v>
      </c>
      <c r="AH76" t="n">
        <v>7</v>
      </c>
      <c r="AI76" t="n">
        <v>10</v>
      </c>
      <c r="AJ76" t="n">
        <v>14</v>
      </c>
      <c r="AK76" t="n">
        <v>19</v>
      </c>
      <c r="AL76" t="n">
        <v>3</v>
      </c>
      <c r="AM76" t="n">
        <v>4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HYPERLINK("http://catalog.hathitrust.org/Record/000716329","HathiTrust Record")</f>
        <v/>
      </c>
      <c r="AS76">
        <f>HYPERLINK("https://creighton-primo.hosted.exlibrisgroup.com/primo-explore/search?tab=default_tab&amp;search_scope=EVERYTHING&amp;vid=01CRU&amp;lang=en_US&amp;offset=0&amp;query=any,contains,991003959889702656","Catalog Record")</f>
        <v/>
      </c>
      <c r="AT76">
        <f>HYPERLINK("http://www.worldcat.org/oclc/1974231","WorldCat Record")</f>
        <v/>
      </c>
      <c r="AU76" t="inlineStr">
        <is>
          <t>1409112:eng</t>
        </is>
      </c>
      <c r="AV76" t="inlineStr">
        <is>
          <t>1974231</t>
        </is>
      </c>
      <c r="AW76" t="inlineStr">
        <is>
          <t>991003959889702656</t>
        </is>
      </c>
      <c r="AX76" t="inlineStr">
        <is>
          <t>991003959889702656</t>
        </is>
      </c>
      <c r="AY76" t="inlineStr">
        <is>
          <t>2265586880002656</t>
        </is>
      </c>
      <c r="AZ76" t="inlineStr">
        <is>
          <t>BOOK</t>
        </is>
      </c>
      <c r="BB76" t="inlineStr">
        <is>
          <t>9780030897054</t>
        </is>
      </c>
      <c r="BC76" t="inlineStr">
        <is>
          <t>32285001023109</t>
        </is>
      </c>
      <c r="BD76" t="inlineStr">
        <is>
          <t>893693366</t>
        </is>
      </c>
    </row>
    <row r="77">
      <c r="A77" t="inlineStr">
        <is>
          <t>No</t>
        </is>
      </c>
      <c r="B77" t="inlineStr">
        <is>
          <t>P118 .D4</t>
        </is>
      </c>
      <c r="C77" t="inlineStr">
        <is>
          <t>0                      P  0118000D  4</t>
        </is>
      </c>
      <c r="D77" t="inlineStr">
        <is>
          <t>Language acquisition / Jill G. de Villiers, Peter A. de Villiers. --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De Villiers, Jill G., 1948-</t>
        </is>
      </c>
      <c r="L77" t="inlineStr">
        <is>
          <t>Cambridge, Mass. : Harvard University Press, 1978.</t>
        </is>
      </c>
      <c r="M77" t="inlineStr">
        <is>
          <t>1978</t>
        </is>
      </c>
      <c r="O77" t="inlineStr">
        <is>
          <t>eng</t>
        </is>
      </c>
      <c r="P77" t="inlineStr">
        <is>
          <t>mau</t>
        </is>
      </c>
      <c r="R77" t="inlineStr">
        <is>
          <t xml:space="preserve">P  </t>
        </is>
      </c>
      <c r="S77" t="n">
        <v>7</v>
      </c>
      <c r="T77" t="n">
        <v>7</v>
      </c>
      <c r="U77" t="inlineStr">
        <is>
          <t>2010-03-13</t>
        </is>
      </c>
      <c r="V77" t="inlineStr">
        <is>
          <t>2010-03-13</t>
        </is>
      </c>
      <c r="W77" t="inlineStr">
        <is>
          <t>1990-08-13</t>
        </is>
      </c>
      <c r="X77" t="inlineStr">
        <is>
          <t>1990-08-13</t>
        </is>
      </c>
      <c r="Y77" t="n">
        <v>915</v>
      </c>
      <c r="Z77" t="n">
        <v>683</v>
      </c>
      <c r="AA77" t="n">
        <v>686</v>
      </c>
      <c r="AB77" t="n">
        <v>6</v>
      </c>
      <c r="AC77" t="n">
        <v>6</v>
      </c>
      <c r="AD77" t="n">
        <v>28</v>
      </c>
      <c r="AE77" t="n">
        <v>28</v>
      </c>
      <c r="AF77" t="n">
        <v>9</v>
      </c>
      <c r="AG77" t="n">
        <v>9</v>
      </c>
      <c r="AH77" t="n">
        <v>9</v>
      </c>
      <c r="AI77" t="n">
        <v>9</v>
      </c>
      <c r="AJ77" t="n">
        <v>14</v>
      </c>
      <c r="AK77" t="n">
        <v>14</v>
      </c>
      <c r="AL77" t="n">
        <v>4</v>
      </c>
      <c r="AM77" t="n">
        <v>4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HYPERLINK("http://catalog.hathitrust.org/Record/000293585","HathiTrust Record")</f>
        <v/>
      </c>
      <c r="AS77">
        <f>HYPERLINK("https://creighton-primo.hosted.exlibrisgroup.com/primo-explore/search?tab=default_tab&amp;search_scope=EVERYTHING&amp;vid=01CRU&amp;lang=en_US&amp;offset=0&amp;query=any,contains,991004362969702656","Catalog Record")</f>
        <v/>
      </c>
      <c r="AT77">
        <f>HYPERLINK("http://www.worldcat.org/oclc/3168351","WorldCat Record")</f>
        <v/>
      </c>
      <c r="AU77" t="inlineStr">
        <is>
          <t>521593:eng</t>
        </is>
      </c>
      <c r="AV77" t="inlineStr">
        <is>
          <t>3168351</t>
        </is>
      </c>
      <c r="AW77" t="inlineStr">
        <is>
          <t>991004362969702656</t>
        </is>
      </c>
      <c r="AX77" t="inlineStr">
        <is>
          <t>991004362969702656</t>
        </is>
      </c>
      <c r="AY77" t="inlineStr">
        <is>
          <t>2262224700002656</t>
        </is>
      </c>
      <c r="AZ77" t="inlineStr">
        <is>
          <t>BOOK</t>
        </is>
      </c>
      <c r="BB77" t="inlineStr">
        <is>
          <t>9780674509313</t>
        </is>
      </c>
      <c r="BC77" t="inlineStr">
        <is>
          <t>32285000273259</t>
        </is>
      </c>
      <c r="BD77" t="inlineStr">
        <is>
          <t>893605924</t>
        </is>
      </c>
    </row>
    <row r="78">
      <c r="A78" t="inlineStr">
        <is>
          <t>No</t>
        </is>
      </c>
      <c r="B78" t="inlineStr">
        <is>
          <t>P118 .D43</t>
        </is>
      </c>
      <c r="C78" t="inlineStr">
        <is>
          <t>0                      P  0118000D  43</t>
        </is>
      </c>
      <c r="D78" t="inlineStr">
        <is>
          <t>Early language / Peter A. de Villiers, Jill G. de Villiers.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De Villiers, Peter A., 1946-</t>
        </is>
      </c>
      <c r="L78" t="inlineStr">
        <is>
          <t>Cambridge : Harvard University Press, 1979.</t>
        </is>
      </c>
      <c r="M78" t="inlineStr">
        <is>
          <t>1979</t>
        </is>
      </c>
      <c r="O78" t="inlineStr">
        <is>
          <t>eng</t>
        </is>
      </c>
      <c r="P78" t="inlineStr">
        <is>
          <t>mau</t>
        </is>
      </c>
      <c r="Q78" t="inlineStr">
        <is>
          <t>The developing child series</t>
        </is>
      </c>
      <c r="R78" t="inlineStr">
        <is>
          <t xml:space="preserve">P  </t>
        </is>
      </c>
      <c r="S78" t="n">
        <v>11</v>
      </c>
      <c r="T78" t="n">
        <v>11</v>
      </c>
      <c r="U78" t="inlineStr">
        <is>
          <t>1996-10-01</t>
        </is>
      </c>
      <c r="V78" t="inlineStr">
        <is>
          <t>1996-10-01</t>
        </is>
      </c>
      <c r="W78" t="inlineStr">
        <is>
          <t>1990-08-13</t>
        </is>
      </c>
      <c r="X78" t="inlineStr">
        <is>
          <t>1990-08-13</t>
        </is>
      </c>
      <c r="Y78" t="n">
        <v>986</v>
      </c>
      <c r="Z78" t="n">
        <v>894</v>
      </c>
      <c r="AA78" t="n">
        <v>906</v>
      </c>
      <c r="AB78" t="n">
        <v>8</v>
      </c>
      <c r="AC78" t="n">
        <v>8</v>
      </c>
      <c r="AD78" t="n">
        <v>22</v>
      </c>
      <c r="AE78" t="n">
        <v>22</v>
      </c>
      <c r="AF78" t="n">
        <v>5</v>
      </c>
      <c r="AG78" t="n">
        <v>5</v>
      </c>
      <c r="AH78" t="n">
        <v>5</v>
      </c>
      <c r="AI78" t="n">
        <v>5</v>
      </c>
      <c r="AJ78" t="n">
        <v>11</v>
      </c>
      <c r="AK78" t="n">
        <v>11</v>
      </c>
      <c r="AL78" t="n">
        <v>5</v>
      </c>
      <c r="AM78" t="n">
        <v>5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HYPERLINK("http://catalog.hathitrust.org/Record/000256178","HathiTrust Record")</f>
        <v/>
      </c>
      <c r="AS78">
        <f>HYPERLINK("https://creighton-primo.hosted.exlibrisgroup.com/primo-explore/search?tab=default_tab&amp;search_scope=EVERYTHING&amp;vid=01CRU&amp;lang=en_US&amp;offset=0&amp;query=any,contains,991004655789702656","Catalog Record")</f>
        <v/>
      </c>
      <c r="AT78">
        <f>HYPERLINK("http://www.worldcat.org/oclc/4495267","WorldCat Record")</f>
        <v/>
      </c>
      <c r="AU78" t="inlineStr">
        <is>
          <t>521153:eng</t>
        </is>
      </c>
      <c r="AV78" t="inlineStr">
        <is>
          <t>4495267</t>
        </is>
      </c>
      <c r="AW78" t="inlineStr">
        <is>
          <t>991004655789702656</t>
        </is>
      </c>
      <c r="AX78" t="inlineStr">
        <is>
          <t>991004655789702656</t>
        </is>
      </c>
      <c r="AY78" t="inlineStr">
        <is>
          <t>2268003860002656</t>
        </is>
      </c>
      <c r="AZ78" t="inlineStr">
        <is>
          <t>BOOK</t>
        </is>
      </c>
      <c r="BB78" t="inlineStr">
        <is>
          <t>9780674221406</t>
        </is>
      </c>
      <c r="BC78" t="inlineStr">
        <is>
          <t>32285000273267</t>
        </is>
      </c>
      <c r="BD78" t="inlineStr">
        <is>
          <t>893882714</t>
        </is>
      </c>
    </row>
    <row r="79">
      <c r="A79" t="inlineStr">
        <is>
          <t>No</t>
        </is>
      </c>
      <c r="B79" t="inlineStr">
        <is>
          <t>P118 .D48 1985</t>
        </is>
      </c>
      <c r="C79" t="inlineStr">
        <is>
          <t>0                      P  0118000D  48          1985</t>
        </is>
      </c>
      <c r="D79" t="inlineStr">
        <is>
          <t>The development of language / edited by Jean Berko Gleason.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Columbus : C.E. Merrill, 1985.</t>
        </is>
      </c>
      <c r="M79" t="inlineStr">
        <is>
          <t>1985</t>
        </is>
      </c>
      <c r="O79" t="inlineStr">
        <is>
          <t>eng</t>
        </is>
      </c>
      <c r="P79" t="inlineStr">
        <is>
          <t>ohu</t>
        </is>
      </c>
      <c r="R79" t="inlineStr">
        <is>
          <t xml:space="preserve">P  </t>
        </is>
      </c>
      <c r="S79" t="n">
        <v>19</v>
      </c>
      <c r="T79" t="n">
        <v>19</v>
      </c>
      <c r="U79" t="inlineStr">
        <is>
          <t>1997-04-23</t>
        </is>
      </c>
      <c r="V79" t="inlineStr">
        <is>
          <t>1997-04-23</t>
        </is>
      </c>
      <c r="W79" t="inlineStr">
        <is>
          <t>1990-08-13</t>
        </is>
      </c>
      <c r="X79" t="inlineStr">
        <is>
          <t>1990-08-13</t>
        </is>
      </c>
      <c r="Y79" t="n">
        <v>226</v>
      </c>
      <c r="Z79" t="n">
        <v>165</v>
      </c>
      <c r="AA79" t="n">
        <v>627</v>
      </c>
      <c r="AB79" t="n">
        <v>1</v>
      </c>
      <c r="AC79" t="n">
        <v>6</v>
      </c>
      <c r="AD79" t="n">
        <v>6</v>
      </c>
      <c r="AE79" t="n">
        <v>26</v>
      </c>
      <c r="AF79" t="n">
        <v>1</v>
      </c>
      <c r="AG79" t="n">
        <v>12</v>
      </c>
      <c r="AH79" t="n">
        <v>1</v>
      </c>
      <c r="AI79" t="n">
        <v>4</v>
      </c>
      <c r="AJ79" t="n">
        <v>4</v>
      </c>
      <c r="AK79" t="n">
        <v>11</v>
      </c>
      <c r="AL79" t="n">
        <v>0</v>
      </c>
      <c r="AM79" t="n">
        <v>5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HYPERLINK("https://creighton-primo.hosted.exlibrisgroup.com/primo-explore/search?tab=default_tab&amp;search_scope=EVERYTHING&amp;vid=01CRU&amp;lang=en_US&amp;offset=0&amp;query=any,contains,991000625189702656","Catalog Record")</f>
        <v/>
      </c>
      <c r="AT79">
        <f>HYPERLINK("http://www.worldcat.org/oclc/12012120","WorldCat Record")</f>
        <v/>
      </c>
      <c r="AU79" t="inlineStr">
        <is>
          <t>4918036251:eng</t>
        </is>
      </c>
      <c r="AV79" t="inlineStr">
        <is>
          <t>12012120</t>
        </is>
      </c>
      <c r="AW79" t="inlineStr">
        <is>
          <t>991000625189702656</t>
        </is>
      </c>
      <c r="AX79" t="inlineStr">
        <is>
          <t>991000625189702656</t>
        </is>
      </c>
      <c r="AY79" t="inlineStr">
        <is>
          <t>2269962110002656</t>
        </is>
      </c>
      <c r="AZ79" t="inlineStr">
        <is>
          <t>BOOK</t>
        </is>
      </c>
      <c r="BB79" t="inlineStr">
        <is>
          <t>9780675202220</t>
        </is>
      </c>
      <c r="BC79" t="inlineStr">
        <is>
          <t>32285000273275</t>
        </is>
      </c>
      <c r="BD79" t="inlineStr">
        <is>
          <t>893508956</t>
        </is>
      </c>
    </row>
    <row r="80">
      <c r="A80" t="inlineStr">
        <is>
          <t>No</t>
        </is>
      </c>
      <c r="B80" t="inlineStr">
        <is>
          <t>P118 .E18</t>
        </is>
      </c>
      <c r="C80" t="inlineStr">
        <is>
          <t>0                      P  0118000E  18</t>
        </is>
      </c>
      <c r="D80" t="inlineStr">
        <is>
          <t>Early language : acquisition and intervention / edited by Richard L. Schiefelbusch and Diane D. Bricker ; technical editors, Marilyn Fischer, Robert Hoyt.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Baltimore : University Park Press, c1981.</t>
        </is>
      </c>
      <c r="M80" t="inlineStr">
        <is>
          <t>1981</t>
        </is>
      </c>
      <c r="O80" t="inlineStr">
        <is>
          <t>eng</t>
        </is>
      </c>
      <c r="P80" t="inlineStr">
        <is>
          <t>mdu</t>
        </is>
      </c>
      <c r="Q80" t="inlineStr">
        <is>
          <t>Language intervention series ; v. 6</t>
        </is>
      </c>
      <c r="R80" t="inlineStr">
        <is>
          <t xml:space="preserve">P  </t>
        </is>
      </c>
      <c r="S80" t="n">
        <v>5</v>
      </c>
      <c r="T80" t="n">
        <v>5</v>
      </c>
      <c r="U80" t="inlineStr">
        <is>
          <t>1995-03-22</t>
        </is>
      </c>
      <c r="V80" t="inlineStr">
        <is>
          <t>1995-03-22</t>
        </is>
      </c>
      <c r="W80" t="inlineStr">
        <is>
          <t>1992-04-26</t>
        </is>
      </c>
      <c r="X80" t="inlineStr">
        <is>
          <t>1992-04-26</t>
        </is>
      </c>
      <c r="Y80" t="n">
        <v>422</v>
      </c>
      <c r="Z80" t="n">
        <v>342</v>
      </c>
      <c r="AA80" t="n">
        <v>344</v>
      </c>
      <c r="AB80" t="n">
        <v>2</v>
      </c>
      <c r="AC80" t="n">
        <v>2</v>
      </c>
      <c r="AD80" t="n">
        <v>13</v>
      </c>
      <c r="AE80" t="n">
        <v>13</v>
      </c>
      <c r="AF80" t="n">
        <v>4</v>
      </c>
      <c r="AG80" t="n">
        <v>4</v>
      </c>
      <c r="AH80" t="n">
        <v>4</v>
      </c>
      <c r="AI80" t="n">
        <v>4</v>
      </c>
      <c r="AJ80" t="n">
        <v>9</v>
      </c>
      <c r="AK80" t="n">
        <v>9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HYPERLINK("http://catalog.hathitrust.org/Record/000186327","HathiTrust Record")</f>
        <v/>
      </c>
      <c r="AS80">
        <f>HYPERLINK("https://creighton-primo.hosted.exlibrisgroup.com/primo-explore/search?tab=default_tab&amp;search_scope=EVERYTHING&amp;vid=01CRU&amp;lang=en_US&amp;offset=0&amp;query=any,contains,991005102819702656","Catalog Record")</f>
        <v/>
      </c>
      <c r="AT80">
        <f>HYPERLINK("http://www.worldcat.org/oclc/7306841","WorldCat Record")</f>
        <v/>
      </c>
      <c r="AU80" t="inlineStr">
        <is>
          <t>890704347:eng</t>
        </is>
      </c>
      <c r="AV80" t="inlineStr">
        <is>
          <t>7306841</t>
        </is>
      </c>
      <c r="AW80" t="inlineStr">
        <is>
          <t>991005102819702656</t>
        </is>
      </c>
      <c r="AX80" t="inlineStr">
        <is>
          <t>991005102819702656</t>
        </is>
      </c>
      <c r="AY80" t="inlineStr">
        <is>
          <t>2257933960002656</t>
        </is>
      </c>
      <c r="AZ80" t="inlineStr">
        <is>
          <t>BOOK</t>
        </is>
      </c>
      <c r="BB80" t="inlineStr">
        <is>
          <t>9780839116189</t>
        </is>
      </c>
      <c r="BC80" t="inlineStr">
        <is>
          <t>32285001087542</t>
        </is>
      </c>
      <c r="BD80" t="inlineStr">
        <is>
          <t>893263603</t>
        </is>
      </c>
    </row>
    <row r="81">
      <c r="A81" t="inlineStr">
        <is>
          <t>No</t>
        </is>
      </c>
      <c r="B81" t="inlineStr">
        <is>
          <t>P118 .G28 1984</t>
        </is>
      </c>
      <c r="C81" t="inlineStr">
        <is>
          <t>0                      P  0118000G  28          1984</t>
        </is>
      </c>
      <c r="D81" t="inlineStr">
        <is>
          <t>Children's talk / Catherine Garvey.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Garvey, Catherine, 1930-</t>
        </is>
      </c>
      <c r="L81" t="inlineStr">
        <is>
          <t>Cambridge, Mass. : Harvard University Press, 1984.</t>
        </is>
      </c>
      <c r="M81" t="inlineStr">
        <is>
          <t>1984</t>
        </is>
      </c>
      <c r="O81" t="inlineStr">
        <is>
          <t>eng</t>
        </is>
      </c>
      <c r="P81" t="inlineStr">
        <is>
          <t>mau</t>
        </is>
      </c>
      <c r="Q81" t="inlineStr">
        <is>
          <t>The Developing child</t>
        </is>
      </c>
      <c r="R81" t="inlineStr">
        <is>
          <t xml:space="preserve">P  </t>
        </is>
      </c>
      <c r="S81" t="n">
        <v>6</v>
      </c>
      <c r="T81" t="n">
        <v>6</v>
      </c>
      <c r="U81" t="inlineStr">
        <is>
          <t>1998-04-19</t>
        </is>
      </c>
      <c r="V81" t="inlineStr">
        <is>
          <t>1998-04-19</t>
        </is>
      </c>
      <c r="W81" t="inlineStr">
        <is>
          <t>1990-06-15</t>
        </is>
      </c>
      <c r="X81" t="inlineStr">
        <is>
          <t>1990-06-15</t>
        </is>
      </c>
      <c r="Y81" t="n">
        <v>960</v>
      </c>
      <c r="Z81" t="n">
        <v>835</v>
      </c>
      <c r="AA81" t="n">
        <v>841</v>
      </c>
      <c r="AB81" t="n">
        <v>9</v>
      </c>
      <c r="AC81" t="n">
        <v>9</v>
      </c>
      <c r="AD81" t="n">
        <v>33</v>
      </c>
      <c r="AE81" t="n">
        <v>33</v>
      </c>
      <c r="AF81" t="n">
        <v>12</v>
      </c>
      <c r="AG81" t="n">
        <v>12</v>
      </c>
      <c r="AH81" t="n">
        <v>9</v>
      </c>
      <c r="AI81" t="n">
        <v>9</v>
      </c>
      <c r="AJ81" t="n">
        <v>12</v>
      </c>
      <c r="AK81" t="n">
        <v>12</v>
      </c>
      <c r="AL81" t="n">
        <v>7</v>
      </c>
      <c r="AM81" t="n">
        <v>7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HYPERLINK("http://catalog.hathitrust.org/Record/000282729","HathiTrust Record")</f>
        <v/>
      </c>
      <c r="AS81">
        <f>HYPERLINK("https://creighton-primo.hosted.exlibrisgroup.com/primo-explore/search?tab=default_tab&amp;search_scope=EVERYTHING&amp;vid=01CRU&amp;lang=en_US&amp;offset=0&amp;query=any,contains,991000311059702656","Catalog Record")</f>
        <v/>
      </c>
      <c r="AT81">
        <f>HYPERLINK("http://www.worldcat.org/oclc/10099064","WorldCat Record")</f>
        <v/>
      </c>
      <c r="AU81" t="inlineStr">
        <is>
          <t>2678684:eng</t>
        </is>
      </c>
      <c r="AV81" t="inlineStr">
        <is>
          <t>10099064</t>
        </is>
      </c>
      <c r="AW81" t="inlineStr">
        <is>
          <t>991000311059702656</t>
        </is>
      </c>
      <c r="AX81" t="inlineStr">
        <is>
          <t>991000311059702656</t>
        </is>
      </c>
      <c r="AY81" t="inlineStr">
        <is>
          <t>2265795160002656</t>
        </is>
      </c>
      <c r="AZ81" t="inlineStr">
        <is>
          <t>BOOK</t>
        </is>
      </c>
      <c r="BB81" t="inlineStr">
        <is>
          <t>9780674116351</t>
        </is>
      </c>
      <c r="BC81" t="inlineStr">
        <is>
          <t>32285000197557</t>
        </is>
      </c>
      <c r="BD81" t="inlineStr">
        <is>
          <t>893261426</t>
        </is>
      </c>
    </row>
    <row r="82">
      <c r="A82" t="inlineStr">
        <is>
          <t>No</t>
        </is>
      </c>
      <c r="B82" t="inlineStr">
        <is>
          <t>P118 .G38 1984</t>
        </is>
      </c>
      <c r="C82" t="inlineStr">
        <is>
          <t>0                      P  0118000G  38          1984</t>
        </is>
      </c>
      <c r="D82" t="inlineStr">
        <is>
          <t>Language assessment in the early years / Celia Genishi, Anne Haas Dyson.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Genishi, Celia, 1944-</t>
        </is>
      </c>
      <c r="L82" t="inlineStr">
        <is>
          <t>Norwood, NJ : Ablex Pub. Co., 1984.</t>
        </is>
      </c>
      <c r="M82" t="inlineStr">
        <is>
          <t>1984</t>
        </is>
      </c>
      <c r="O82" t="inlineStr">
        <is>
          <t>eng</t>
        </is>
      </c>
      <c r="P82" t="inlineStr">
        <is>
          <t>nju</t>
        </is>
      </c>
      <c r="Q82" t="inlineStr">
        <is>
          <t>Language and learning for human service professions</t>
        </is>
      </c>
      <c r="R82" t="inlineStr">
        <is>
          <t xml:space="preserve">P  </t>
        </is>
      </c>
      <c r="S82" t="n">
        <v>6</v>
      </c>
      <c r="T82" t="n">
        <v>6</v>
      </c>
      <c r="U82" t="inlineStr">
        <is>
          <t>1996-11-05</t>
        </is>
      </c>
      <c r="V82" t="inlineStr">
        <is>
          <t>1996-11-05</t>
        </is>
      </c>
      <c r="W82" t="inlineStr">
        <is>
          <t>1992-04-26</t>
        </is>
      </c>
      <c r="X82" t="inlineStr">
        <is>
          <t>1992-04-26</t>
        </is>
      </c>
      <c r="Y82" t="n">
        <v>456</v>
      </c>
      <c r="Z82" t="n">
        <v>356</v>
      </c>
      <c r="AA82" t="n">
        <v>358</v>
      </c>
      <c r="AB82" t="n">
        <v>4</v>
      </c>
      <c r="AC82" t="n">
        <v>4</v>
      </c>
      <c r="AD82" t="n">
        <v>15</v>
      </c>
      <c r="AE82" t="n">
        <v>15</v>
      </c>
      <c r="AF82" t="n">
        <v>6</v>
      </c>
      <c r="AG82" t="n">
        <v>6</v>
      </c>
      <c r="AH82" t="n">
        <v>3</v>
      </c>
      <c r="AI82" t="n">
        <v>3</v>
      </c>
      <c r="AJ82" t="n">
        <v>6</v>
      </c>
      <c r="AK82" t="n">
        <v>6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HYPERLINK("http://catalog.hathitrust.org/Record/000330849","HathiTrust Record")</f>
        <v/>
      </c>
      <c r="AS82">
        <f>HYPERLINK("https://creighton-primo.hosted.exlibrisgroup.com/primo-explore/search?tab=default_tab&amp;search_scope=EVERYTHING&amp;vid=01CRU&amp;lang=en_US&amp;offset=0&amp;query=any,contains,991000388759702656","Catalog Record")</f>
        <v/>
      </c>
      <c r="AT82">
        <f>HYPERLINK("http://www.worldcat.org/oclc/10532974","WorldCat Record")</f>
        <v/>
      </c>
      <c r="AU82" t="inlineStr">
        <is>
          <t>3393262:eng</t>
        </is>
      </c>
      <c r="AV82" t="inlineStr">
        <is>
          <t>10532974</t>
        </is>
      </c>
      <c r="AW82" t="inlineStr">
        <is>
          <t>991000388759702656</t>
        </is>
      </c>
      <c r="AX82" t="inlineStr">
        <is>
          <t>991000388759702656</t>
        </is>
      </c>
      <c r="AY82" t="inlineStr">
        <is>
          <t>2267254460002656</t>
        </is>
      </c>
      <c r="AZ82" t="inlineStr">
        <is>
          <t>BOOK</t>
        </is>
      </c>
      <c r="BB82" t="inlineStr">
        <is>
          <t>9780893911768</t>
        </is>
      </c>
      <c r="BC82" t="inlineStr">
        <is>
          <t>32285001087534</t>
        </is>
      </c>
      <c r="BD82" t="inlineStr">
        <is>
          <t>893425649</t>
        </is>
      </c>
    </row>
    <row r="83">
      <c r="A83" t="inlineStr">
        <is>
          <t>No</t>
        </is>
      </c>
      <c r="B83" t="inlineStr">
        <is>
          <t>P118 .G59 1991</t>
        </is>
      </c>
      <c r="C83" t="inlineStr">
        <is>
          <t>0                      P  0118000G  59          1991</t>
        </is>
      </c>
      <c r="D83" t="inlineStr">
        <is>
          <t>Language acquisition : a linguistic introduction / Helen Goodluck.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Goodluck, Helen.</t>
        </is>
      </c>
      <c r="L83" t="inlineStr">
        <is>
          <t>Oxford, UK ; Cambridge, USA : Blackwell, 1991.</t>
        </is>
      </c>
      <c r="M83" t="inlineStr">
        <is>
          <t>1991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P  </t>
        </is>
      </c>
      <c r="S83" t="n">
        <v>13</v>
      </c>
      <c r="T83" t="n">
        <v>13</v>
      </c>
      <c r="U83" t="inlineStr">
        <is>
          <t>1996-03-21</t>
        </is>
      </c>
      <c r="V83" t="inlineStr">
        <is>
          <t>1996-03-21</t>
        </is>
      </c>
      <c r="W83" t="inlineStr">
        <is>
          <t>1992-09-30</t>
        </is>
      </c>
      <c r="X83" t="inlineStr">
        <is>
          <t>1992-09-30</t>
        </is>
      </c>
      <c r="Y83" t="n">
        <v>465</v>
      </c>
      <c r="Z83" t="n">
        <v>246</v>
      </c>
      <c r="AA83" t="n">
        <v>259</v>
      </c>
      <c r="AB83" t="n">
        <v>2</v>
      </c>
      <c r="AC83" t="n">
        <v>2</v>
      </c>
      <c r="AD83" t="n">
        <v>10</v>
      </c>
      <c r="AE83" t="n">
        <v>10</v>
      </c>
      <c r="AF83" t="n">
        <v>2</v>
      </c>
      <c r="AG83" t="n">
        <v>2</v>
      </c>
      <c r="AH83" t="n">
        <v>3</v>
      </c>
      <c r="AI83" t="n">
        <v>3</v>
      </c>
      <c r="AJ83" t="n">
        <v>5</v>
      </c>
      <c r="AK83" t="n">
        <v>5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HYPERLINK("https://creighton-primo.hosted.exlibrisgroup.com/primo-explore/search?tab=default_tab&amp;search_scope=EVERYTHING&amp;vid=01CRU&amp;lang=en_US&amp;offset=0&amp;query=any,contains,991001814269702656","Catalog Record")</f>
        <v/>
      </c>
      <c r="AT83">
        <f>HYPERLINK("http://www.worldcat.org/oclc/22767550","WorldCat Record")</f>
        <v/>
      </c>
      <c r="AU83" t="inlineStr">
        <is>
          <t>913800:eng</t>
        </is>
      </c>
      <c r="AV83" t="inlineStr">
        <is>
          <t>22767550</t>
        </is>
      </c>
      <c r="AW83" t="inlineStr">
        <is>
          <t>991001814269702656</t>
        </is>
      </c>
      <c r="AX83" t="inlineStr">
        <is>
          <t>991001814269702656</t>
        </is>
      </c>
      <c r="AY83" t="inlineStr">
        <is>
          <t>2261504700002656</t>
        </is>
      </c>
      <c r="AZ83" t="inlineStr">
        <is>
          <t>BOOK</t>
        </is>
      </c>
      <c r="BB83" t="inlineStr">
        <is>
          <t>9780631173861</t>
        </is>
      </c>
      <c r="BC83" t="inlineStr">
        <is>
          <t>32285001315190</t>
        </is>
      </c>
      <c r="BD83" t="inlineStr">
        <is>
          <t>893226148</t>
        </is>
      </c>
    </row>
    <row r="84">
      <c r="A84" t="inlineStr">
        <is>
          <t>No</t>
        </is>
      </c>
      <c r="B84" t="inlineStr">
        <is>
          <t>P118 .H36 1992</t>
        </is>
      </c>
      <c r="C84" t="inlineStr">
        <is>
          <t>0                      P  0118000H  36          1992</t>
        </is>
      </c>
      <c r="D84" t="inlineStr">
        <is>
          <t>Language experience and early language development : from input to uptake / Margaret Harris.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Harris, Margaret, 1951-</t>
        </is>
      </c>
      <c r="L84" t="inlineStr">
        <is>
          <t>Hove (UK) ; Hillsdale, USA : Lawrence Erlbaum Associates, c1992.</t>
        </is>
      </c>
      <c r="M84" t="inlineStr">
        <is>
          <t>1992</t>
        </is>
      </c>
      <c r="O84" t="inlineStr">
        <is>
          <t>eng</t>
        </is>
      </c>
      <c r="P84" t="inlineStr">
        <is>
          <t>enk</t>
        </is>
      </c>
      <c r="Q84" t="inlineStr">
        <is>
          <t>Essays in developmental psychology, 0959-3977</t>
        </is>
      </c>
      <c r="R84" t="inlineStr">
        <is>
          <t xml:space="preserve">P  </t>
        </is>
      </c>
      <c r="S84" t="n">
        <v>8</v>
      </c>
      <c r="T84" t="n">
        <v>8</v>
      </c>
      <c r="U84" t="inlineStr">
        <is>
          <t>1997-04-23</t>
        </is>
      </c>
      <c r="V84" t="inlineStr">
        <is>
          <t>1997-04-23</t>
        </is>
      </c>
      <c r="W84" t="inlineStr">
        <is>
          <t>1996-09-06</t>
        </is>
      </c>
      <c r="X84" t="inlineStr">
        <is>
          <t>1996-09-06</t>
        </is>
      </c>
      <c r="Y84" t="n">
        <v>355</v>
      </c>
      <c r="Z84" t="n">
        <v>201</v>
      </c>
      <c r="AA84" t="n">
        <v>219</v>
      </c>
      <c r="AB84" t="n">
        <v>3</v>
      </c>
      <c r="AC84" t="n">
        <v>3</v>
      </c>
      <c r="AD84" t="n">
        <v>9</v>
      </c>
      <c r="AE84" t="n">
        <v>9</v>
      </c>
      <c r="AF84" t="n">
        <v>2</v>
      </c>
      <c r="AG84" t="n">
        <v>2</v>
      </c>
      <c r="AH84" t="n">
        <v>4</v>
      </c>
      <c r="AI84" t="n">
        <v>4</v>
      </c>
      <c r="AJ84" t="n">
        <v>4</v>
      </c>
      <c r="AK84" t="n">
        <v>4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HYPERLINK("https://creighton-primo.hosted.exlibrisgroup.com/primo-explore/search?tab=default_tab&amp;search_scope=EVERYTHING&amp;vid=01CRU&amp;lang=en_US&amp;offset=0&amp;query=any,contains,991002380199702656","Catalog Record")</f>
        <v/>
      </c>
      <c r="AT84">
        <f>HYPERLINK("http://www.worldcat.org/oclc/30918587","WorldCat Record")</f>
        <v/>
      </c>
      <c r="AU84" t="inlineStr">
        <is>
          <t>364332874:eng</t>
        </is>
      </c>
      <c r="AV84" t="inlineStr">
        <is>
          <t>30918587</t>
        </is>
      </c>
      <c r="AW84" t="inlineStr">
        <is>
          <t>991002380199702656</t>
        </is>
      </c>
      <c r="AX84" t="inlineStr">
        <is>
          <t>991002380199702656</t>
        </is>
      </c>
      <c r="AY84" t="inlineStr">
        <is>
          <t>2266258710002656</t>
        </is>
      </c>
      <c r="AZ84" t="inlineStr">
        <is>
          <t>BOOK</t>
        </is>
      </c>
      <c r="BB84" t="inlineStr">
        <is>
          <t>9780863772313</t>
        </is>
      </c>
      <c r="BC84" t="inlineStr">
        <is>
          <t>32285002315157</t>
        </is>
      </c>
      <c r="BD84" t="inlineStr">
        <is>
          <t>893347435</t>
        </is>
      </c>
    </row>
    <row r="85">
      <c r="A85" t="inlineStr">
        <is>
          <t>No</t>
        </is>
      </c>
      <c r="B85" t="inlineStr">
        <is>
          <t>P118 .H37 1981</t>
        </is>
      </c>
      <c r="C85" t="inlineStr">
        <is>
          <t>0                      P  0118000H  37          1981</t>
        </is>
      </c>
      <c r="D85" t="inlineStr">
        <is>
          <t>Encouraging language development / Phyllis Hastings and Bessie Hayes.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Hastings, Phyllis, 1913-</t>
        </is>
      </c>
      <c r="L85" t="inlineStr">
        <is>
          <t>London : Croom Helm, c1981.</t>
        </is>
      </c>
      <c r="M85" t="inlineStr">
        <is>
          <t>1981</t>
        </is>
      </c>
      <c r="O85" t="inlineStr">
        <is>
          <t>eng</t>
        </is>
      </c>
      <c r="P85" t="inlineStr">
        <is>
          <t>enk</t>
        </is>
      </c>
      <c r="Q85" t="inlineStr">
        <is>
          <t>Croom Helm special education series</t>
        </is>
      </c>
      <c r="R85" t="inlineStr">
        <is>
          <t xml:space="preserve">P  </t>
        </is>
      </c>
      <c r="S85" t="n">
        <v>5</v>
      </c>
      <c r="T85" t="n">
        <v>5</v>
      </c>
      <c r="U85" t="inlineStr">
        <is>
          <t>1997-02-13</t>
        </is>
      </c>
      <c r="V85" t="inlineStr">
        <is>
          <t>1997-02-13</t>
        </is>
      </c>
      <c r="W85" t="inlineStr">
        <is>
          <t>1992-02-25</t>
        </is>
      </c>
      <c r="X85" t="inlineStr">
        <is>
          <t>1992-02-25</t>
        </is>
      </c>
      <c r="Y85" t="n">
        <v>243</v>
      </c>
      <c r="Z85" t="n">
        <v>141</v>
      </c>
      <c r="AA85" t="n">
        <v>142</v>
      </c>
      <c r="AB85" t="n">
        <v>2</v>
      </c>
      <c r="AC85" t="n">
        <v>2</v>
      </c>
      <c r="AD85" t="n">
        <v>5</v>
      </c>
      <c r="AE85" t="n">
        <v>5</v>
      </c>
      <c r="AF85" t="n">
        <v>2</v>
      </c>
      <c r="AG85" t="n">
        <v>2</v>
      </c>
      <c r="AH85" t="n">
        <v>1</v>
      </c>
      <c r="AI85" t="n">
        <v>1</v>
      </c>
      <c r="AJ85" t="n">
        <v>2</v>
      </c>
      <c r="AK85" t="n">
        <v>2</v>
      </c>
      <c r="AL85" t="n">
        <v>1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HYPERLINK("http://catalog.hathitrust.org/Record/002196125","HathiTrust Record")</f>
        <v/>
      </c>
      <c r="AS85">
        <f>HYPERLINK("https://creighton-primo.hosted.exlibrisgroup.com/primo-explore/search?tab=default_tab&amp;search_scope=EVERYTHING&amp;vid=01CRU&amp;lang=en_US&amp;offset=0&amp;query=any,contains,991000100409702656","Catalog Record")</f>
        <v/>
      </c>
      <c r="AT85">
        <f>HYPERLINK("http://www.worldcat.org/oclc/8952423","WorldCat Record")</f>
        <v/>
      </c>
      <c r="AU85" t="inlineStr">
        <is>
          <t>444994:eng</t>
        </is>
      </c>
      <c r="AV85" t="inlineStr">
        <is>
          <t>8952423</t>
        </is>
      </c>
      <c r="AW85" t="inlineStr">
        <is>
          <t>991000100409702656</t>
        </is>
      </c>
      <c r="AX85" t="inlineStr">
        <is>
          <t>991000100409702656</t>
        </is>
      </c>
      <c r="AY85" t="inlineStr">
        <is>
          <t>2271836960002656</t>
        </is>
      </c>
      <c r="AZ85" t="inlineStr">
        <is>
          <t>BOOK</t>
        </is>
      </c>
      <c r="BB85" t="inlineStr">
        <is>
          <t>9780709902867</t>
        </is>
      </c>
      <c r="BC85" t="inlineStr">
        <is>
          <t>32285000982677</t>
        </is>
      </c>
      <c r="BD85" t="inlineStr">
        <is>
          <t>893607618</t>
        </is>
      </c>
    </row>
    <row r="86">
      <c r="A86" t="inlineStr">
        <is>
          <t>No</t>
        </is>
      </c>
      <c r="B86" t="inlineStr">
        <is>
          <t>P118 .H64 1997</t>
        </is>
      </c>
      <c r="C86" t="inlineStr">
        <is>
          <t>0                      P  0118000H  64          1997</t>
        </is>
      </c>
      <c r="D86" t="inlineStr">
        <is>
          <t>Language development / Erika Hoff-Ginsberg.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Hoff, Erika, 1951-</t>
        </is>
      </c>
      <c r="L86" t="inlineStr">
        <is>
          <t>Pacific Grove, CA : Brooks/Cole Pub., c1997.</t>
        </is>
      </c>
      <c r="M86" t="inlineStr">
        <is>
          <t>1997</t>
        </is>
      </c>
      <c r="O86" t="inlineStr">
        <is>
          <t>eng</t>
        </is>
      </c>
      <c r="P86" t="inlineStr">
        <is>
          <t>cau</t>
        </is>
      </c>
      <c r="R86" t="inlineStr">
        <is>
          <t xml:space="preserve">P  </t>
        </is>
      </c>
      <c r="S86" t="n">
        <v>12</v>
      </c>
      <c r="T86" t="n">
        <v>12</v>
      </c>
      <c r="U86" t="inlineStr">
        <is>
          <t>2000-04-20</t>
        </is>
      </c>
      <c r="V86" t="inlineStr">
        <is>
          <t>2000-04-20</t>
        </is>
      </c>
      <c r="W86" t="inlineStr">
        <is>
          <t>1996-10-30</t>
        </is>
      </c>
      <c r="X86" t="inlineStr">
        <is>
          <t>1996-10-30</t>
        </is>
      </c>
      <c r="Y86" t="n">
        <v>164</v>
      </c>
      <c r="Z86" t="n">
        <v>95</v>
      </c>
      <c r="AA86" t="n">
        <v>229</v>
      </c>
      <c r="AB86" t="n">
        <v>1</v>
      </c>
      <c r="AC86" t="n">
        <v>2</v>
      </c>
      <c r="AD86" t="n">
        <v>3</v>
      </c>
      <c r="AE86" t="n">
        <v>6</v>
      </c>
      <c r="AF86" t="n">
        <v>1</v>
      </c>
      <c r="AG86" t="n">
        <v>2</v>
      </c>
      <c r="AH86" t="n">
        <v>2</v>
      </c>
      <c r="AI86" t="n">
        <v>2</v>
      </c>
      <c r="AJ86" t="n">
        <v>2</v>
      </c>
      <c r="AK86" t="n">
        <v>3</v>
      </c>
      <c r="AL86" t="n">
        <v>0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HYPERLINK("http://catalog.hathitrust.org/Record/003104240","HathiTrust Record")</f>
        <v/>
      </c>
      <c r="AS86">
        <f>HYPERLINK("https://creighton-primo.hosted.exlibrisgroup.com/primo-explore/search?tab=default_tab&amp;search_scope=EVERYTHING&amp;vid=01CRU&amp;lang=en_US&amp;offset=0&amp;query=any,contains,991002666039702656","Catalog Record")</f>
        <v/>
      </c>
      <c r="AT86">
        <f>HYPERLINK("http://www.worldcat.org/oclc/34876007","WorldCat Record")</f>
        <v/>
      </c>
      <c r="AU86" t="inlineStr">
        <is>
          <t>3565478:eng</t>
        </is>
      </c>
      <c r="AV86" t="inlineStr">
        <is>
          <t>34876007</t>
        </is>
      </c>
      <c r="AW86" t="inlineStr">
        <is>
          <t>991002666039702656</t>
        </is>
      </c>
      <c r="AX86" t="inlineStr">
        <is>
          <t>991002666039702656</t>
        </is>
      </c>
      <c r="AY86" t="inlineStr">
        <is>
          <t>2267279470002656</t>
        </is>
      </c>
      <c r="AZ86" t="inlineStr">
        <is>
          <t>BOOK</t>
        </is>
      </c>
      <c r="BB86" t="inlineStr">
        <is>
          <t>9780534202927</t>
        </is>
      </c>
      <c r="BC86" t="inlineStr">
        <is>
          <t>32285002379831</t>
        </is>
      </c>
      <c r="BD86" t="inlineStr">
        <is>
          <t>893798850</t>
        </is>
      </c>
    </row>
    <row r="87">
      <c r="A87" t="inlineStr">
        <is>
          <t>No</t>
        </is>
      </c>
      <c r="B87" t="inlineStr">
        <is>
          <t>P118 .H66</t>
        </is>
      </c>
      <c r="C87" t="inlineStr">
        <is>
          <t>0                      P  0118000H  66</t>
        </is>
      </c>
      <c r="D87" t="inlineStr">
        <is>
          <t>Acquiring language in a conversational context / Christine Howe.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Howe, Christine.</t>
        </is>
      </c>
      <c r="L87" t="inlineStr">
        <is>
          <t>London ; New York : Academic Press, 1981.</t>
        </is>
      </c>
      <c r="M87" t="inlineStr">
        <is>
          <t>1981</t>
        </is>
      </c>
      <c r="O87" t="inlineStr">
        <is>
          <t>eng</t>
        </is>
      </c>
      <c r="P87" t="inlineStr">
        <is>
          <t>enk</t>
        </is>
      </c>
      <c r="Q87" t="inlineStr">
        <is>
          <t>Behavioural development</t>
        </is>
      </c>
      <c r="R87" t="inlineStr">
        <is>
          <t xml:space="preserve">P  </t>
        </is>
      </c>
      <c r="S87" t="n">
        <v>3</v>
      </c>
      <c r="T87" t="n">
        <v>3</v>
      </c>
      <c r="U87" t="inlineStr">
        <is>
          <t>1993-04-20</t>
        </is>
      </c>
      <c r="V87" t="inlineStr">
        <is>
          <t>1993-04-20</t>
        </is>
      </c>
      <c r="W87" t="inlineStr">
        <is>
          <t>1993-04-01</t>
        </is>
      </c>
      <c r="X87" t="inlineStr">
        <is>
          <t>1993-04-01</t>
        </is>
      </c>
      <c r="Y87" t="n">
        <v>364</v>
      </c>
      <c r="Z87" t="n">
        <v>224</v>
      </c>
      <c r="AA87" t="n">
        <v>254</v>
      </c>
      <c r="AB87" t="n">
        <v>2</v>
      </c>
      <c r="AC87" t="n">
        <v>2</v>
      </c>
      <c r="AD87" t="n">
        <v>7</v>
      </c>
      <c r="AE87" t="n">
        <v>7</v>
      </c>
      <c r="AF87" t="n">
        <v>1</v>
      </c>
      <c r="AG87" t="n">
        <v>1</v>
      </c>
      <c r="AH87" t="n">
        <v>2</v>
      </c>
      <c r="AI87" t="n">
        <v>2</v>
      </c>
      <c r="AJ87" t="n">
        <v>6</v>
      </c>
      <c r="AK87" t="n">
        <v>6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HYPERLINK("http://catalog.hathitrust.org/Record/000763182","HathiTrust Record")</f>
        <v/>
      </c>
      <c r="AS87">
        <f>HYPERLINK("https://creighton-primo.hosted.exlibrisgroup.com/primo-explore/search?tab=default_tab&amp;search_scope=EVERYTHING&amp;vid=01CRU&amp;lang=en_US&amp;offset=0&amp;query=any,contains,991005220599702656","Catalog Record")</f>
        <v/>
      </c>
      <c r="AT87">
        <f>HYPERLINK("http://www.worldcat.org/oclc/8221950","WorldCat Record")</f>
        <v/>
      </c>
      <c r="AU87" t="inlineStr">
        <is>
          <t>570502:eng</t>
        </is>
      </c>
      <c r="AV87" t="inlineStr">
        <is>
          <t>8221950</t>
        </is>
      </c>
      <c r="AW87" t="inlineStr">
        <is>
          <t>991005220599702656</t>
        </is>
      </c>
      <c r="AX87" t="inlineStr">
        <is>
          <t>991005220599702656</t>
        </is>
      </c>
      <c r="AY87" t="inlineStr">
        <is>
          <t>2266671210002656</t>
        </is>
      </c>
      <c r="AZ87" t="inlineStr">
        <is>
          <t>BOOK</t>
        </is>
      </c>
      <c r="BB87" t="inlineStr">
        <is>
          <t>9780123569202</t>
        </is>
      </c>
      <c r="BC87" t="inlineStr">
        <is>
          <t>32285001613198</t>
        </is>
      </c>
      <c r="BD87" t="inlineStr">
        <is>
          <t>893260753</t>
        </is>
      </c>
    </row>
    <row r="88">
      <c r="A88" t="inlineStr">
        <is>
          <t>No</t>
        </is>
      </c>
      <c r="B88" t="inlineStr">
        <is>
          <t>P118 .L26</t>
        </is>
      </c>
      <c r="C88" t="inlineStr">
        <is>
          <t>0                      P  0118000L  26</t>
        </is>
      </c>
      <c r="D88" t="inlineStr">
        <is>
          <t>Language development / edited by Victor Lee.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New York : Wiley, c1979.</t>
        </is>
      </c>
      <c r="M88" t="inlineStr">
        <is>
          <t>1979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P  </t>
        </is>
      </c>
      <c r="S88" t="n">
        <v>2</v>
      </c>
      <c r="T88" t="n">
        <v>2</v>
      </c>
      <c r="U88" t="inlineStr">
        <is>
          <t>1993-04-28</t>
        </is>
      </c>
      <c r="V88" t="inlineStr">
        <is>
          <t>1993-04-28</t>
        </is>
      </c>
      <c r="W88" t="inlineStr">
        <is>
          <t>1992-03-03</t>
        </is>
      </c>
      <c r="X88" t="inlineStr">
        <is>
          <t>1992-03-03</t>
        </is>
      </c>
      <c r="Y88" t="n">
        <v>226</v>
      </c>
      <c r="Z88" t="n">
        <v>206</v>
      </c>
      <c r="AA88" t="n">
        <v>208</v>
      </c>
      <c r="AB88" t="n">
        <v>3</v>
      </c>
      <c r="AC88" t="n">
        <v>3</v>
      </c>
      <c r="AD88" t="n">
        <v>7</v>
      </c>
      <c r="AE88" t="n">
        <v>7</v>
      </c>
      <c r="AF88" t="n">
        <v>0</v>
      </c>
      <c r="AG88" t="n">
        <v>0</v>
      </c>
      <c r="AH88" t="n">
        <v>1</v>
      </c>
      <c r="AI88" t="n">
        <v>1</v>
      </c>
      <c r="AJ88" t="n">
        <v>4</v>
      </c>
      <c r="AK88" t="n">
        <v>4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HYPERLINK("http://catalog.hathitrust.org/Record/000137144","HathiTrust Record")</f>
        <v/>
      </c>
      <c r="AS88">
        <f>HYPERLINK("https://creighton-primo.hosted.exlibrisgroup.com/primo-explore/search?tab=default_tab&amp;search_scope=EVERYTHING&amp;vid=01CRU&amp;lang=en_US&amp;offset=0&amp;query=any,contains,991004539809702656","Catalog Record")</f>
        <v/>
      </c>
      <c r="AT88">
        <f>HYPERLINK("http://www.worldcat.org/oclc/3892564","WorldCat Record")</f>
        <v/>
      </c>
      <c r="AU88" t="inlineStr">
        <is>
          <t>54222017:eng</t>
        </is>
      </c>
      <c r="AV88" t="inlineStr">
        <is>
          <t>3892564</t>
        </is>
      </c>
      <c r="AW88" t="inlineStr">
        <is>
          <t>991004539809702656</t>
        </is>
      </c>
      <c r="AX88" t="inlineStr">
        <is>
          <t>991004539809702656</t>
        </is>
      </c>
      <c r="AY88" t="inlineStr">
        <is>
          <t>2269662170002656</t>
        </is>
      </c>
      <c r="AZ88" t="inlineStr">
        <is>
          <t>BOOK</t>
        </is>
      </c>
      <c r="BB88" t="inlineStr">
        <is>
          <t>9780470264324</t>
        </is>
      </c>
      <c r="BC88" t="inlineStr">
        <is>
          <t>32285000990878</t>
        </is>
      </c>
      <c r="BD88" t="inlineStr">
        <is>
          <t>893263314</t>
        </is>
      </c>
    </row>
    <row r="89">
      <c r="A89" t="inlineStr">
        <is>
          <t>No</t>
        </is>
      </c>
      <c r="B89" t="inlineStr">
        <is>
          <t>P118 .L375 1988</t>
        </is>
      </c>
      <c r="C89" t="inlineStr">
        <is>
          <t>0                      P  0118000L  375         1988</t>
        </is>
      </c>
      <c r="D89" t="inlineStr">
        <is>
          <t>Language perspectives : acquisition, retardation, and intervention / edited by Richard L. Schiefelbusch and Lyle L. Lloyd.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Yes</t>
        </is>
      </c>
      <c r="J89" t="inlineStr">
        <is>
          <t>0</t>
        </is>
      </c>
      <c r="L89" t="inlineStr">
        <is>
          <t>Austin, Tex. : PRO-ED, c1988.</t>
        </is>
      </c>
      <c r="M89" t="inlineStr">
        <is>
          <t>1988</t>
        </is>
      </c>
      <c r="N89" t="inlineStr">
        <is>
          <t>2nd ed.</t>
        </is>
      </c>
      <c r="O89" t="inlineStr">
        <is>
          <t>eng</t>
        </is>
      </c>
      <c r="P89" t="inlineStr">
        <is>
          <t>txu</t>
        </is>
      </c>
      <c r="R89" t="inlineStr">
        <is>
          <t xml:space="preserve">P  </t>
        </is>
      </c>
      <c r="S89" t="n">
        <v>3</v>
      </c>
      <c r="T89" t="n">
        <v>3</v>
      </c>
      <c r="U89" t="inlineStr">
        <is>
          <t>1993-03-19</t>
        </is>
      </c>
      <c r="V89" t="inlineStr">
        <is>
          <t>1993-03-19</t>
        </is>
      </c>
      <c r="W89" t="inlineStr">
        <is>
          <t>1990-09-24</t>
        </is>
      </c>
      <c r="X89" t="inlineStr">
        <is>
          <t>1990-09-24</t>
        </is>
      </c>
      <c r="Y89" t="n">
        <v>247</v>
      </c>
      <c r="Z89" t="n">
        <v>204</v>
      </c>
      <c r="AA89" t="n">
        <v>623</v>
      </c>
      <c r="AB89" t="n">
        <v>3</v>
      </c>
      <c r="AC89" t="n">
        <v>6</v>
      </c>
      <c r="AD89" t="n">
        <v>7</v>
      </c>
      <c r="AE89" t="n">
        <v>30</v>
      </c>
      <c r="AF89" t="n">
        <v>2</v>
      </c>
      <c r="AG89" t="n">
        <v>11</v>
      </c>
      <c r="AH89" t="n">
        <v>1</v>
      </c>
      <c r="AI89" t="n">
        <v>7</v>
      </c>
      <c r="AJ89" t="n">
        <v>3</v>
      </c>
      <c r="AK89" t="n">
        <v>15</v>
      </c>
      <c r="AL89" t="n">
        <v>2</v>
      </c>
      <c r="AM89" t="n">
        <v>5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HYPERLINK("http://catalog.hathitrust.org/Record/000907231","HathiTrust Record")</f>
        <v/>
      </c>
      <c r="AS89">
        <f>HYPERLINK("https://creighton-primo.hosted.exlibrisgroup.com/primo-explore/search?tab=default_tab&amp;search_scope=EVERYTHING&amp;vid=01CRU&amp;lang=en_US&amp;offset=0&amp;query=any,contains,991001003349702656","Catalog Record")</f>
        <v/>
      </c>
      <c r="AT89">
        <f>HYPERLINK("http://www.worldcat.org/oclc/15221728","WorldCat Record")</f>
        <v/>
      </c>
      <c r="AU89" t="inlineStr">
        <is>
          <t>352976688:eng</t>
        </is>
      </c>
      <c r="AV89" t="inlineStr">
        <is>
          <t>15221728</t>
        </is>
      </c>
      <c r="AW89" t="inlineStr">
        <is>
          <t>991001003349702656</t>
        </is>
      </c>
      <c r="AX89" t="inlineStr">
        <is>
          <t>991001003349702656</t>
        </is>
      </c>
      <c r="AY89" t="inlineStr">
        <is>
          <t>2262911190002656</t>
        </is>
      </c>
      <c r="AZ89" t="inlineStr">
        <is>
          <t>BOOK</t>
        </is>
      </c>
      <c r="BB89" t="inlineStr">
        <is>
          <t>9780890791486</t>
        </is>
      </c>
      <c r="BC89" t="inlineStr">
        <is>
          <t>32285000277813</t>
        </is>
      </c>
      <c r="BD89" t="inlineStr">
        <is>
          <t>893891220</t>
        </is>
      </c>
    </row>
    <row r="90">
      <c r="A90" t="inlineStr">
        <is>
          <t>No</t>
        </is>
      </c>
      <c r="B90" t="inlineStr">
        <is>
          <t>P118 .L385 1986</t>
        </is>
      </c>
      <c r="C90" t="inlineStr">
        <is>
          <t>0                      P  0118000L  385         1986</t>
        </is>
      </c>
      <c r="D90" t="inlineStr">
        <is>
          <t>Language socialization across cultures / edited by Bambi B. Schieffelin and Elinor Ochs.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Cambridge [Cambridgeshire] ; New York : Cambridge University Press, 1986.</t>
        </is>
      </c>
      <c r="M90" t="inlineStr">
        <is>
          <t>1986</t>
        </is>
      </c>
      <c r="O90" t="inlineStr">
        <is>
          <t>eng</t>
        </is>
      </c>
      <c r="P90" t="inlineStr">
        <is>
          <t>enk</t>
        </is>
      </c>
      <c r="Q90" t="inlineStr">
        <is>
          <t>Studies in the social and cultural foundations of language ; no. 3</t>
        </is>
      </c>
      <c r="R90" t="inlineStr">
        <is>
          <t xml:space="preserve">P  </t>
        </is>
      </c>
      <c r="S90" t="n">
        <v>1</v>
      </c>
      <c r="T90" t="n">
        <v>1</v>
      </c>
      <c r="U90" t="inlineStr">
        <is>
          <t>2008-04-03</t>
        </is>
      </c>
      <c r="V90" t="inlineStr">
        <is>
          <t>2008-04-03</t>
        </is>
      </c>
      <c r="W90" t="inlineStr">
        <is>
          <t>2008-04-03</t>
        </is>
      </c>
      <c r="X90" t="inlineStr">
        <is>
          <t>2008-04-03</t>
        </is>
      </c>
      <c r="Y90" t="n">
        <v>600</v>
      </c>
      <c r="Z90" t="n">
        <v>391</v>
      </c>
      <c r="AA90" t="n">
        <v>406</v>
      </c>
      <c r="AB90" t="n">
        <v>3</v>
      </c>
      <c r="AC90" t="n">
        <v>3</v>
      </c>
      <c r="AD90" t="n">
        <v>16</v>
      </c>
      <c r="AE90" t="n">
        <v>16</v>
      </c>
      <c r="AF90" t="n">
        <v>4</v>
      </c>
      <c r="AG90" t="n">
        <v>4</v>
      </c>
      <c r="AH90" t="n">
        <v>5</v>
      </c>
      <c r="AI90" t="n">
        <v>5</v>
      </c>
      <c r="AJ90" t="n">
        <v>9</v>
      </c>
      <c r="AK90" t="n">
        <v>9</v>
      </c>
      <c r="AL90" t="n">
        <v>2</v>
      </c>
      <c r="AM90" t="n">
        <v>2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HYPERLINK("https://creighton-primo.hosted.exlibrisgroup.com/primo-explore/search?tab=default_tab&amp;search_scope=EVERYTHING&amp;vid=01CRU&amp;lang=en_US&amp;offset=0&amp;query=any,contains,991005194159702656","Catalog Record")</f>
        <v/>
      </c>
      <c r="AT90">
        <f>HYPERLINK("http://www.worldcat.org/oclc/13823512","WorldCat Record")</f>
        <v/>
      </c>
      <c r="AU90" t="inlineStr">
        <is>
          <t>351932309:eng</t>
        </is>
      </c>
      <c r="AV90" t="inlineStr">
        <is>
          <t>13823512</t>
        </is>
      </c>
      <c r="AW90" t="inlineStr">
        <is>
          <t>991005194159702656</t>
        </is>
      </c>
      <c r="AX90" t="inlineStr">
        <is>
          <t>991005194159702656</t>
        </is>
      </c>
      <c r="AY90" t="inlineStr">
        <is>
          <t>2265515650002656</t>
        </is>
      </c>
      <c r="AZ90" t="inlineStr">
        <is>
          <t>BOOK</t>
        </is>
      </c>
      <c r="BB90" t="inlineStr">
        <is>
          <t>9780521326216</t>
        </is>
      </c>
      <c r="BC90" t="inlineStr">
        <is>
          <t>32285005401103</t>
        </is>
      </c>
      <c r="BD90" t="inlineStr">
        <is>
          <t>893353754</t>
        </is>
      </c>
    </row>
    <row r="91">
      <c r="A91" t="inlineStr">
        <is>
          <t>No</t>
        </is>
      </c>
      <c r="B91" t="inlineStr">
        <is>
          <t>P118 .M39 1984, v...</t>
        </is>
      </c>
      <c r="C91" t="inlineStr">
        <is>
          <t>0                      P  0118000M  39          1984                                        v...</t>
        </is>
      </c>
      <c r="D91" t="inlineStr">
        <is>
          <t>Second-language acquisition in childhood / Barry McLaughlin.</t>
        </is>
      </c>
      <c r="E91" t="inlineStr">
        <is>
          <t>V.1</t>
        </is>
      </c>
      <c r="F91" t="inlineStr">
        <is>
          <t>Yes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McLaughlin, Barry.</t>
        </is>
      </c>
      <c r="L91" t="inlineStr">
        <is>
          <t>Hillsdale, N.J. : L. Erlbaum Associates, 1984-</t>
        </is>
      </c>
      <c r="M91" t="inlineStr">
        <is>
          <t>1984</t>
        </is>
      </c>
      <c r="N91" t="inlineStr">
        <is>
          <t>2nd ed.</t>
        </is>
      </c>
      <c r="O91" t="inlineStr">
        <is>
          <t>eng</t>
        </is>
      </c>
      <c r="P91" t="inlineStr">
        <is>
          <t>nju</t>
        </is>
      </c>
      <c r="Q91" t="inlineStr">
        <is>
          <t>Child psychology</t>
        </is>
      </c>
      <c r="R91" t="inlineStr">
        <is>
          <t xml:space="preserve">P  </t>
        </is>
      </c>
      <c r="S91" t="n">
        <v>10</v>
      </c>
      <c r="T91" t="n">
        <v>15</v>
      </c>
      <c r="U91" t="inlineStr">
        <is>
          <t>2001-02-20</t>
        </is>
      </c>
      <c r="V91" t="inlineStr">
        <is>
          <t>2001-02-20</t>
        </is>
      </c>
      <c r="W91" t="inlineStr">
        <is>
          <t>1992-03-09</t>
        </is>
      </c>
      <c r="X91" t="inlineStr">
        <is>
          <t>1992-03-09</t>
        </is>
      </c>
      <c r="Y91" t="n">
        <v>484</v>
      </c>
      <c r="Z91" t="n">
        <v>372</v>
      </c>
      <c r="AA91" t="n">
        <v>377</v>
      </c>
      <c r="AB91" t="n">
        <v>4</v>
      </c>
      <c r="AC91" t="n">
        <v>4</v>
      </c>
      <c r="AD91" t="n">
        <v>17</v>
      </c>
      <c r="AE91" t="n">
        <v>17</v>
      </c>
      <c r="AF91" t="n">
        <v>4</v>
      </c>
      <c r="AG91" t="n">
        <v>4</v>
      </c>
      <c r="AH91" t="n">
        <v>5</v>
      </c>
      <c r="AI91" t="n">
        <v>5</v>
      </c>
      <c r="AJ91" t="n">
        <v>10</v>
      </c>
      <c r="AK91" t="n">
        <v>10</v>
      </c>
      <c r="AL91" t="n">
        <v>3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HYPERLINK("http://catalog.hathitrust.org/Record/000559177","HathiTrust Record")</f>
        <v/>
      </c>
      <c r="AS91">
        <f>HYPERLINK("https://creighton-primo.hosted.exlibrisgroup.com/primo-explore/search?tab=default_tab&amp;search_scope=EVERYTHING&amp;vid=01CRU&amp;lang=en_US&amp;offset=0&amp;query=any,contains,991000320149702656","Catalog Record")</f>
        <v/>
      </c>
      <c r="AT91">
        <f>HYPERLINK("http://www.worldcat.org/oclc/10146282","WorldCat Record")</f>
        <v/>
      </c>
      <c r="AU91" t="inlineStr">
        <is>
          <t>3768378163:eng</t>
        </is>
      </c>
      <c r="AV91" t="inlineStr">
        <is>
          <t>10146282</t>
        </is>
      </c>
      <c r="AW91" t="inlineStr">
        <is>
          <t>991000320149702656</t>
        </is>
      </c>
      <c r="AX91" t="inlineStr">
        <is>
          <t>991000320149702656</t>
        </is>
      </c>
      <c r="AY91" t="inlineStr">
        <is>
          <t>2255820230002656</t>
        </is>
      </c>
      <c r="AZ91" t="inlineStr">
        <is>
          <t>BOOK</t>
        </is>
      </c>
      <c r="BB91" t="inlineStr">
        <is>
          <t>9780898593785</t>
        </is>
      </c>
      <c r="BC91" t="inlineStr">
        <is>
          <t>32285000994110</t>
        </is>
      </c>
      <c r="BD91" t="inlineStr">
        <is>
          <t>893534113</t>
        </is>
      </c>
    </row>
    <row r="92">
      <c r="A92" t="inlineStr">
        <is>
          <t>No</t>
        </is>
      </c>
      <c r="B92" t="inlineStr">
        <is>
          <t>P118 .M39 1984, v...</t>
        </is>
      </c>
      <c r="C92" t="inlineStr">
        <is>
          <t>0                      P  0118000M  39          1984                                        v...</t>
        </is>
      </c>
      <c r="D92" t="inlineStr">
        <is>
          <t>Second-language acquisition in childhood / Barry McLaughlin.</t>
        </is>
      </c>
      <c r="E92" t="inlineStr">
        <is>
          <t>V.2</t>
        </is>
      </c>
      <c r="F92" t="inlineStr">
        <is>
          <t>Yes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McLaughlin, Barry.</t>
        </is>
      </c>
      <c r="L92" t="inlineStr">
        <is>
          <t>Hillsdale, N.J. : L. Erlbaum Associates, 1984-</t>
        </is>
      </c>
      <c r="M92" t="inlineStr">
        <is>
          <t>1984</t>
        </is>
      </c>
      <c r="N92" t="inlineStr">
        <is>
          <t>2nd ed.</t>
        </is>
      </c>
      <c r="O92" t="inlineStr">
        <is>
          <t>eng</t>
        </is>
      </c>
      <c r="P92" t="inlineStr">
        <is>
          <t>nju</t>
        </is>
      </c>
      <c r="Q92" t="inlineStr">
        <is>
          <t>Child psychology</t>
        </is>
      </c>
      <c r="R92" t="inlineStr">
        <is>
          <t xml:space="preserve">P  </t>
        </is>
      </c>
      <c r="S92" t="n">
        <v>5</v>
      </c>
      <c r="T92" t="n">
        <v>15</v>
      </c>
      <c r="U92" t="inlineStr">
        <is>
          <t>2001-02-20</t>
        </is>
      </c>
      <c r="V92" t="inlineStr">
        <is>
          <t>2001-02-20</t>
        </is>
      </c>
      <c r="W92" t="inlineStr">
        <is>
          <t>1992-02-07</t>
        </is>
      </c>
      <c r="X92" t="inlineStr">
        <is>
          <t>1992-03-09</t>
        </is>
      </c>
      <c r="Y92" t="n">
        <v>484</v>
      </c>
      <c r="Z92" t="n">
        <v>372</v>
      </c>
      <c r="AA92" t="n">
        <v>377</v>
      </c>
      <c r="AB92" t="n">
        <v>4</v>
      </c>
      <c r="AC92" t="n">
        <v>4</v>
      </c>
      <c r="AD92" t="n">
        <v>17</v>
      </c>
      <c r="AE92" t="n">
        <v>17</v>
      </c>
      <c r="AF92" t="n">
        <v>4</v>
      </c>
      <c r="AG92" t="n">
        <v>4</v>
      </c>
      <c r="AH92" t="n">
        <v>5</v>
      </c>
      <c r="AI92" t="n">
        <v>5</v>
      </c>
      <c r="AJ92" t="n">
        <v>10</v>
      </c>
      <c r="AK92" t="n">
        <v>10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HYPERLINK("http://catalog.hathitrust.org/Record/000559177","HathiTrust Record")</f>
        <v/>
      </c>
      <c r="AS92">
        <f>HYPERLINK("https://creighton-primo.hosted.exlibrisgroup.com/primo-explore/search?tab=default_tab&amp;search_scope=EVERYTHING&amp;vid=01CRU&amp;lang=en_US&amp;offset=0&amp;query=any,contains,991000320149702656","Catalog Record")</f>
        <v/>
      </c>
      <c r="AT92">
        <f>HYPERLINK("http://www.worldcat.org/oclc/10146282","WorldCat Record")</f>
        <v/>
      </c>
      <c r="AU92" t="inlineStr">
        <is>
          <t>3768378163:eng</t>
        </is>
      </c>
      <c r="AV92" t="inlineStr">
        <is>
          <t>10146282</t>
        </is>
      </c>
      <c r="AW92" t="inlineStr">
        <is>
          <t>991000320149702656</t>
        </is>
      </c>
      <c r="AX92" t="inlineStr">
        <is>
          <t>991000320149702656</t>
        </is>
      </c>
      <c r="AY92" t="inlineStr">
        <is>
          <t>2255820230002656</t>
        </is>
      </c>
      <c r="AZ92" t="inlineStr">
        <is>
          <t>BOOK</t>
        </is>
      </c>
      <c r="BB92" t="inlineStr">
        <is>
          <t>9780898593785</t>
        </is>
      </c>
      <c r="BC92" t="inlineStr">
        <is>
          <t>32285000950609</t>
        </is>
      </c>
      <c r="BD92" t="inlineStr">
        <is>
          <t>893496127</t>
        </is>
      </c>
    </row>
    <row r="93">
      <c r="A93" t="inlineStr">
        <is>
          <t>No</t>
        </is>
      </c>
      <c r="B93" t="inlineStr">
        <is>
          <t>P118 .N37 1989</t>
        </is>
      </c>
      <c r="C93" t="inlineStr">
        <is>
          <t>0                      P  0118000N  37          1989</t>
        </is>
      </c>
      <c r="D93" t="inlineStr">
        <is>
          <t>Narratives from the crib / edited by Katherine Nelson.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Cambridge, Mass. : Harvard University Press, 1989.</t>
        </is>
      </c>
      <c r="M93" t="inlineStr">
        <is>
          <t>1989</t>
        </is>
      </c>
      <c r="O93" t="inlineStr">
        <is>
          <t>eng</t>
        </is>
      </c>
      <c r="P93" t="inlineStr">
        <is>
          <t>mau</t>
        </is>
      </c>
      <c r="R93" t="inlineStr">
        <is>
          <t xml:space="preserve">P  </t>
        </is>
      </c>
      <c r="S93" t="n">
        <v>2</v>
      </c>
      <c r="T93" t="n">
        <v>2</v>
      </c>
      <c r="U93" t="inlineStr">
        <is>
          <t>1994-11-10</t>
        </is>
      </c>
      <c r="V93" t="inlineStr">
        <is>
          <t>1994-11-10</t>
        </is>
      </c>
      <c r="W93" t="inlineStr">
        <is>
          <t>1989-11-27</t>
        </is>
      </c>
      <c r="X93" t="inlineStr">
        <is>
          <t>1989-11-27</t>
        </is>
      </c>
      <c r="Y93" t="n">
        <v>547</v>
      </c>
      <c r="Z93" t="n">
        <v>425</v>
      </c>
      <c r="AA93" t="n">
        <v>457</v>
      </c>
      <c r="AB93" t="n">
        <v>3</v>
      </c>
      <c r="AC93" t="n">
        <v>3</v>
      </c>
      <c r="AD93" t="n">
        <v>16</v>
      </c>
      <c r="AE93" t="n">
        <v>19</v>
      </c>
      <c r="AF93" t="n">
        <v>5</v>
      </c>
      <c r="AG93" t="n">
        <v>7</v>
      </c>
      <c r="AH93" t="n">
        <v>5</v>
      </c>
      <c r="AI93" t="n">
        <v>5</v>
      </c>
      <c r="AJ93" t="n">
        <v>8</v>
      </c>
      <c r="AK93" t="n">
        <v>10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HYPERLINK("http://catalog.hathitrust.org/Record/001529566","HathiTrust Record")</f>
        <v/>
      </c>
      <c r="AS93">
        <f>HYPERLINK("https://creighton-primo.hosted.exlibrisgroup.com/primo-explore/search?tab=default_tab&amp;search_scope=EVERYTHING&amp;vid=01CRU&amp;lang=en_US&amp;offset=0&amp;query=any,contains,991001373449702656","Catalog Record")</f>
        <v/>
      </c>
      <c r="AT93">
        <f>HYPERLINK("http://www.worldcat.org/oclc/18589432","WorldCat Record")</f>
        <v/>
      </c>
      <c r="AU93" t="inlineStr">
        <is>
          <t>18016174:eng</t>
        </is>
      </c>
      <c r="AV93" t="inlineStr">
        <is>
          <t>18589432</t>
        </is>
      </c>
      <c r="AW93" t="inlineStr">
        <is>
          <t>991001373449702656</t>
        </is>
      </c>
      <c r="AX93" t="inlineStr">
        <is>
          <t>991001373449702656</t>
        </is>
      </c>
      <c r="AY93" t="inlineStr">
        <is>
          <t>2264317380002656</t>
        </is>
      </c>
      <c r="AZ93" t="inlineStr">
        <is>
          <t>BOOK</t>
        </is>
      </c>
      <c r="BB93" t="inlineStr">
        <is>
          <t>9780674601185</t>
        </is>
      </c>
      <c r="BC93" t="inlineStr">
        <is>
          <t>32285000015189</t>
        </is>
      </c>
      <c r="BD93" t="inlineStr">
        <is>
          <t>893420274</t>
        </is>
      </c>
    </row>
    <row r="94">
      <c r="A94" t="inlineStr">
        <is>
          <t>No</t>
        </is>
      </c>
      <c r="B94" t="inlineStr">
        <is>
          <t>P118 .N6</t>
        </is>
      </c>
      <c r="C94" t="inlineStr">
        <is>
          <t>0                      P  0118000N  6</t>
        </is>
      </c>
      <c r="D94" t="inlineStr">
        <is>
          <t>Normal and deficient child language / edited by Donald M. Morehead and Ann E. Morehead.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L94" t="inlineStr">
        <is>
          <t>Baltimore : University Park Press, c1976.</t>
        </is>
      </c>
      <c r="M94" t="inlineStr">
        <is>
          <t>1976</t>
        </is>
      </c>
      <c r="O94" t="inlineStr">
        <is>
          <t>eng</t>
        </is>
      </c>
      <c r="P94" t="inlineStr">
        <is>
          <t>mdu</t>
        </is>
      </c>
      <c r="R94" t="inlineStr">
        <is>
          <t xml:space="preserve">P  </t>
        </is>
      </c>
      <c r="S94" t="n">
        <v>3</v>
      </c>
      <c r="T94" t="n">
        <v>3</v>
      </c>
      <c r="U94" t="inlineStr">
        <is>
          <t>2000-04-19</t>
        </is>
      </c>
      <c r="V94" t="inlineStr">
        <is>
          <t>2000-04-19</t>
        </is>
      </c>
      <c r="W94" t="inlineStr">
        <is>
          <t>1997-08-18</t>
        </is>
      </c>
      <c r="X94" t="inlineStr">
        <is>
          <t>1997-08-18</t>
        </is>
      </c>
      <c r="Y94" t="n">
        <v>650</v>
      </c>
      <c r="Z94" t="n">
        <v>503</v>
      </c>
      <c r="AA94" t="n">
        <v>509</v>
      </c>
      <c r="AB94" t="n">
        <v>7</v>
      </c>
      <c r="AC94" t="n">
        <v>7</v>
      </c>
      <c r="AD94" t="n">
        <v>25</v>
      </c>
      <c r="AE94" t="n">
        <v>25</v>
      </c>
      <c r="AF94" t="n">
        <v>11</v>
      </c>
      <c r="AG94" t="n">
        <v>11</v>
      </c>
      <c r="AH94" t="n">
        <v>5</v>
      </c>
      <c r="AI94" t="n">
        <v>5</v>
      </c>
      <c r="AJ94" t="n">
        <v>9</v>
      </c>
      <c r="AK94" t="n">
        <v>9</v>
      </c>
      <c r="AL94" t="n">
        <v>5</v>
      </c>
      <c r="AM94" t="n">
        <v>5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HYPERLINK("http://catalog.hathitrust.org/Record/000721487","HathiTrust Record")</f>
        <v/>
      </c>
      <c r="AS94">
        <f>HYPERLINK("https://creighton-primo.hosted.exlibrisgroup.com/primo-explore/search?tab=default_tab&amp;search_scope=EVERYTHING&amp;vid=01CRU&amp;lang=en_US&amp;offset=0&amp;query=any,contains,991004026009702656","Catalog Record")</f>
        <v/>
      </c>
      <c r="AT94">
        <f>HYPERLINK("http://www.worldcat.org/oclc/2137033","WorldCat Record")</f>
        <v/>
      </c>
      <c r="AU94" t="inlineStr">
        <is>
          <t>350696679:eng</t>
        </is>
      </c>
      <c r="AV94" t="inlineStr">
        <is>
          <t>2137033</t>
        </is>
      </c>
      <c r="AW94" t="inlineStr">
        <is>
          <t>991004026009702656</t>
        </is>
      </c>
      <c r="AX94" t="inlineStr">
        <is>
          <t>991004026009702656</t>
        </is>
      </c>
      <c r="AY94" t="inlineStr">
        <is>
          <t>2271294540002656</t>
        </is>
      </c>
      <c r="AZ94" t="inlineStr">
        <is>
          <t>BOOK</t>
        </is>
      </c>
      <c r="BB94" t="inlineStr">
        <is>
          <t>9780839108573</t>
        </is>
      </c>
      <c r="BC94" t="inlineStr">
        <is>
          <t>32285003096681</t>
        </is>
      </c>
      <c r="BD94" t="inlineStr">
        <is>
          <t>893705923</t>
        </is>
      </c>
    </row>
    <row r="95">
      <c r="A95" t="inlineStr">
        <is>
          <t>No</t>
        </is>
      </c>
      <c r="B95" t="inlineStr">
        <is>
          <t>P118 .O24 1988</t>
        </is>
      </c>
      <c r="C95" t="inlineStr">
        <is>
          <t>0                      P  0118000O  24          1988</t>
        </is>
      </c>
      <c r="D95" t="inlineStr">
        <is>
          <t>Culture and language development : language acquisition and language socialization in a Samoan village / Elinor Ochs.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Ochs, Elinor.</t>
        </is>
      </c>
      <c r="L95" t="inlineStr">
        <is>
          <t>Cambridge [Cambridgeshire] ; New York : Cambridge University Press, 1988.</t>
        </is>
      </c>
      <c r="M95" t="inlineStr">
        <is>
          <t>1988</t>
        </is>
      </c>
      <c r="O95" t="inlineStr">
        <is>
          <t>eng</t>
        </is>
      </c>
      <c r="P95" t="inlineStr">
        <is>
          <t>enk</t>
        </is>
      </c>
      <c r="Q95" t="inlineStr">
        <is>
          <t>Studies in the social and cultural foundations of language ; no. 6</t>
        </is>
      </c>
      <c r="R95" t="inlineStr">
        <is>
          <t xml:space="preserve">P  </t>
        </is>
      </c>
      <c r="S95" t="n">
        <v>4</v>
      </c>
      <c r="T95" t="n">
        <v>4</v>
      </c>
      <c r="U95" t="inlineStr">
        <is>
          <t>1994-03-04</t>
        </is>
      </c>
      <c r="V95" t="inlineStr">
        <is>
          <t>1994-03-04</t>
        </is>
      </c>
      <c r="W95" t="inlineStr">
        <is>
          <t>1993-03-25</t>
        </is>
      </c>
      <c r="X95" t="inlineStr">
        <is>
          <t>1993-03-25</t>
        </is>
      </c>
      <c r="Y95" t="n">
        <v>425</v>
      </c>
      <c r="Z95" t="n">
        <v>275</v>
      </c>
      <c r="AA95" t="n">
        <v>278</v>
      </c>
      <c r="AB95" t="n">
        <v>2</v>
      </c>
      <c r="AC95" t="n">
        <v>2</v>
      </c>
      <c r="AD95" t="n">
        <v>8</v>
      </c>
      <c r="AE95" t="n">
        <v>8</v>
      </c>
      <c r="AF95" t="n">
        <v>2</v>
      </c>
      <c r="AG95" t="n">
        <v>2</v>
      </c>
      <c r="AH95" t="n">
        <v>4</v>
      </c>
      <c r="AI95" t="n">
        <v>4</v>
      </c>
      <c r="AJ95" t="n">
        <v>3</v>
      </c>
      <c r="AK95" t="n">
        <v>3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HYPERLINK("https://creighton-primo.hosted.exlibrisgroup.com/primo-explore/search?tab=default_tab&amp;search_scope=EVERYTHING&amp;vid=01CRU&amp;lang=en_US&amp;offset=0&amp;query=any,contains,991001115699702656","Catalog Record")</f>
        <v/>
      </c>
      <c r="AT95">
        <f>HYPERLINK("http://www.worldcat.org/oclc/16525766","WorldCat Record")</f>
        <v/>
      </c>
      <c r="AU95" t="inlineStr">
        <is>
          <t>836647698:eng</t>
        </is>
      </c>
      <c r="AV95" t="inlineStr">
        <is>
          <t>16525766</t>
        </is>
      </c>
      <c r="AW95" t="inlineStr">
        <is>
          <t>991001115699702656</t>
        </is>
      </c>
      <c r="AX95" t="inlineStr">
        <is>
          <t>991001115699702656</t>
        </is>
      </c>
      <c r="AY95" t="inlineStr">
        <is>
          <t>2258742530002656</t>
        </is>
      </c>
      <c r="AZ95" t="inlineStr">
        <is>
          <t>BOOK</t>
        </is>
      </c>
      <c r="BB95" t="inlineStr">
        <is>
          <t>9780521348942</t>
        </is>
      </c>
      <c r="BC95" t="inlineStr">
        <is>
          <t>32285001590727</t>
        </is>
      </c>
      <c r="BD95" t="inlineStr">
        <is>
          <t>893696475</t>
        </is>
      </c>
    </row>
    <row r="96">
      <c r="A96" t="inlineStr">
        <is>
          <t>No</t>
        </is>
      </c>
      <c r="B96" t="inlineStr">
        <is>
          <t>P118 .S54 1991</t>
        </is>
      </c>
      <c r="C96" t="inlineStr">
        <is>
          <t>0                      P  0118000S  54          1991</t>
        </is>
      </c>
      <c r="D96" t="inlineStr">
        <is>
          <t>Knowing children : experiments in conversation and cognition / Michael Siegal.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Siegal, Michael.</t>
        </is>
      </c>
      <c r="L96" t="inlineStr">
        <is>
          <t>Hove : Lawrence Erlbaum Associates, c1991.</t>
        </is>
      </c>
      <c r="M96" t="inlineStr">
        <is>
          <t>1991</t>
        </is>
      </c>
      <c r="O96" t="inlineStr">
        <is>
          <t>eng</t>
        </is>
      </c>
      <c r="P96" t="inlineStr">
        <is>
          <t>enk</t>
        </is>
      </c>
      <c r="Q96" t="inlineStr">
        <is>
          <t>Essays in developmental psychology, 0959-3977</t>
        </is>
      </c>
      <c r="R96" t="inlineStr">
        <is>
          <t xml:space="preserve">P  </t>
        </is>
      </c>
      <c r="S96" t="n">
        <v>12</v>
      </c>
      <c r="T96" t="n">
        <v>12</v>
      </c>
      <c r="U96" t="inlineStr">
        <is>
          <t>1996-09-19</t>
        </is>
      </c>
      <c r="V96" t="inlineStr">
        <is>
          <t>1996-09-19</t>
        </is>
      </c>
      <c r="W96" t="inlineStr">
        <is>
          <t>1992-02-21</t>
        </is>
      </c>
      <c r="X96" t="inlineStr">
        <is>
          <t>1992-02-21</t>
        </is>
      </c>
      <c r="Y96" t="n">
        <v>349</v>
      </c>
      <c r="Z96" t="n">
        <v>229</v>
      </c>
      <c r="AA96" t="n">
        <v>337</v>
      </c>
      <c r="AB96" t="n">
        <v>2</v>
      </c>
      <c r="AC96" t="n">
        <v>3</v>
      </c>
      <c r="AD96" t="n">
        <v>13</v>
      </c>
      <c r="AE96" t="n">
        <v>21</v>
      </c>
      <c r="AF96" t="n">
        <v>5</v>
      </c>
      <c r="AG96" t="n">
        <v>8</v>
      </c>
      <c r="AH96" t="n">
        <v>4</v>
      </c>
      <c r="AI96" t="n">
        <v>4</v>
      </c>
      <c r="AJ96" t="n">
        <v>7</v>
      </c>
      <c r="AK96" t="n">
        <v>14</v>
      </c>
      <c r="AL96" t="n">
        <v>1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HYPERLINK("https://creighton-primo.hosted.exlibrisgroup.com/primo-explore/search?tab=default_tab&amp;search_scope=EVERYTHING&amp;vid=01CRU&amp;lang=en_US&amp;offset=0&amp;query=any,contains,991001759269702656","Catalog Record")</f>
        <v/>
      </c>
      <c r="AT96">
        <f>HYPERLINK("http://www.worldcat.org/oclc/22242768","WorldCat Record")</f>
        <v/>
      </c>
      <c r="AU96" t="inlineStr">
        <is>
          <t>143816632:eng</t>
        </is>
      </c>
      <c r="AV96" t="inlineStr">
        <is>
          <t>22242768</t>
        </is>
      </c>
      <c r="AW96" t="inlineStr">
        <is>
          <t>991001759269702656</t>
        </is>
      </c>
      <c r="AX96" t="inlineStr">
        <is>
          <t>991001759269702656</t>
        </is>
      </c>
      <c r="AY96" t="inlineStr">
        <is>
          <t>2272125760002656</t>
        </is>
      </c>
      <c r="AZ96" t="inlineStr">
        <is>
          <t>BOOK</t>
        </is>
      </c>
      <c r="BB96" t="inlineStr">
        <is>
          <t>9780863771590</t>
        </is>
      </c>
      <c r="BC96" t="inlineStr">
        <is>
          <t>32285000935147</t>
        </is>
      </c>
      <c r="BD96" t="inlineStr">
        <is>
          <t>893885515</t>
        </is>
      </c>
    </row>
    <row r="97">
      <c r="A97" t="inlineStr">
        <is>
          <t>No</t>
        </is>
      </c>
      <c r="B97" t="inlineStr">
        <is>
          <t>P118 .W416 1985</t>
        </is>
      </c>
      <c r="C97" t="inlineStr">
        <is>
          <t>0                      P  0118000W  416         1985</t>
        </is>
      </c>
      <c r="D97" t="inlineStr">
        <is>
          <t>Language development in the pre-school years / Gordon Wells.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Wells, C. Gordon.</t>
        </is>
      </c>
      <c r="L97" t="inlineStr">
        <is>
          <t>Cambridge [Cambridgeshire] ; New York : Cambridge University Press, 1985.</t>
        </is>
      </c>
      <c r="M97" t="inlineStr">
        <is>
          <t>1985</t>
        </is>
      </c>
      <c r="O97" t="inlineStr">
        <is>
          <t>eng</t>
        </is>
      </c>
      <c r="P97" t="inlineStr">
        <is>
          <t>enk</t>
        </is>
      </c>
      <c r="Q97" t="inlineStr">
        <is>
          <t>Language at home and at school ; v. 2</t>
        </is>
      </c>
      <c r="R97" t="inlineStr">
        <is>
          <t xml:space="preserve">P  </t>
        </is>
      </c>
      <c r="S97" t="n">
        <v>3</v>
      </c>
      <c r="T97" t="n">
        <v>3</v>
      </c>
      <c r="U97" t="inlineStr">
        <is>
          <t>2010-03-13</t>
        </is>
      </c>
      <c r="V97" t="inlineStr">
        <is>
          <t>2010-03-13</t>
        </is>
      </c>
      <c r="W97" t="inlineStr">
        <is>
          <t>1992-02-26</t>
        </is>
      </c>
      <c r="X97" t="inlineStr">
        <is>
          <t>1992-02-26</t>
        </is>
      </c>
      <c r="Y97" t="n">
        <v>457</v>
      </c>
      <c r="Z97" t="n">
        <v>310</v>
      </c>
      <c r="AA97" t="n">
        <v>311</v>
      </c>
      <c r="AB97" t="n">
        <v>4</v>
      </c>
      <c r="AC97" t="n">
        <v>4</v>
      </c>
      <c r="AD97" t="n">
        <v>12</v>
      </c>
      <c r="AE97" t="n">
        <v>12</v>
      </c>
      <c r="AF97" t="n">
        <v>4</v>
      </c>
      <c r="AG97" t="n">
        <v>4</v>
      </c>
      <c r="AH97" t="n">
        <v>5</v>
      </c>
      <c r="AI97" t="n">
        <v>5</v>
      </c>
      <c r="AJ97" t="n">
        <v>4</v>
      </c>
      <c r="AK97" t="n">
        <v>4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HYPERLINK("https://creighton-primo.hosted.exlibrisgroup.com/primo-explore/search?tab=default_tab&amp;search_scope=EVERYTHING&amp;vid=01CRU&amp;lang=en_US&amp;offset=0&amp;query=any,contains,991000427029702656","Catalog Record")</f>
        <v/>
      </c>
      <c r="AT97">
        <f>HYPERLINK("http://www.worldcat.org/oclc/10754157","WorldCat Record")</f>
        <v/>
      </c>
      <c r="AU97" t="inlineStr">
        <is>
          <t>2980079:eng</t>
        </is>
      </c>
      <c r="AV97" t="inlineStr">
        <is>
          <t>10754157</t>
        </is>
      </c>
      <c r="AW97" t="inlineStr">
        <is>
          <t>991000427029702656</t>
        </is>
      </c>
      <c r="AX97" t="inlineStr">
        <is>
          <t>991000427029702656</t>
        </is>
      </c>
      <c r="AY97" t="inlineStr">
        <is>
          <t>2268223170002656</t>
        </is>
      </c>
      <c r="AZ97" t="inlineStr">
        <is>
          <t>BOOK</t>
        </is>
      </c>
      <c r="BB97" t="inlineStr">
        <is>
          <t>9780521319058</t>
        </is>
      </c>
      <c r="BC97" t="inlineStr">
        <is>
          <t>32285000977115</t>
        </is>
      </c>
      <c r="BD97" t="inlineStr">
        <is>
          <t>893620470</t>
        </is>
      </c>
    </row>
    <row r="98">
      <c r="A98" t="inlineStr">
        <is>
          <t>No</t>
        </is>
      </c>
      <c r="B98" t="inlineStr">
        <is>
          <t>P118 .W418 1985</t>
        </is>
      </c>
      <c r="C98" t="inlineStr">
        <is>
          <t>0                      P  0118000W  418         1985</t>
        </is>
      </c>
      <c r="D98" t="inlineStr">
        <is>
          <t>Language, learning, and education : selected papers from the Bristol study, Language at home and at school / Gordon Wells.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Wells, C. Gordon.</t>
        </is>
      </c>
      <c r="L98" t="inlineStr">
        <is>
          <t>Windsor, Berkshire ; Philadelphia, PA : NFER-Nelson, 1985.</t>
        </is>
      </c>
      <c r="M98" t="inlineStr">
        <is>
          <t>1985</t>
        </is>
      </c>
      <c r="N98" t="inlineStr">
        <is>
          <t>[2nd ed.].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P  </t>
        </is>
      </c>
      <c r="S98" t="n">
        <v>2</v>
      </c>
      <c r="T98" t="n">
        <v>2</v>
      </c>
      <c r="U98" t="inlineStr">
        <is>
          <t>2010-03-13</t>
        </is>
      </c>
      <c r="V98" t="inlineStr">
        <is>
          <t>2010-03-13</t>
        </is>
      </c>
      <c r="W98" t="inlineStr">
        <is>
          <t>1993-04-07</t>
        </is>
      </c>
      <c r="X98" t="inlineStr">
        <is>
          <t>1993-04-07</t>
        </is>
      </c>
      <c r="Y98" t="n">
        <v>181</v>
      </c>
      <c r="Z98" t="n">
        <v>117</v>
      </c>
      <c r="AA98" t="n">
        <v>125</v>
      </c>
      <c r="AB98" t="n">
        <v>4</v>
      </c>
      <c r="AC98" t="n">
        <v>4</v>
      </c>
      <c r="AD98" t="n">
        <v>7</v>
      </c>
      <c r="AE98" t="n">
        <v>7</v>
      </c>
      <c r="AF98" t="n">
        <v>2</v>
      </c>
      <c r="AG98" t="n">
        <v>2</v>
      </c>
      <c r="AH98" t="n">
        <v>2</v>
      </c>
      <c r="AI98" t="n">
        <v>2</v>
      </c>
      <c r="AJ98" t="n">
        <v>1</v>
      </c>
      <c r="AK98" t="n">
        <v>1</v>
      </c>
      <c r="AL98" t="n">
        <v>3</v>
      </c>
      <c r="AM98" t="n">
        <v>3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HYPERLINK("http://catalog.hathitrust.org/Record/000625201","HathiTrust Record")</f>
        <v/>
      </c>
      <c r="AS98">
        <f>HYPERLINK("https://creighton-primo.hosted.exlibrisgroup.com/primo-explore/search?tab=default_tab&amp;search_scope=EVERYTHING&amp;vid=01CRU&amp;lang=en_US&amp;offset=0&amp;query=any,contains,991000714099702656","Catalog Record")</f>
        <v/>
      </c>
      <c r="AT98">
        <f>HYPERLINK("http://www.worldcat.org/oclc/12613525","WorldCat Record")</f>
        <v/>
      </c>
      <c r="AU98" t="inlineStr">
        <is>
          <t>5068795:eng</t>
        </is>
      </c>
      <c r="AV98" t="inlineStr">
        <is>
          <t>12613525</t>
        </is>
      </c>
      <c r="AW98" t="inlineStr">
        <is>
          <t>991000714099702656</t>
        </is>
      </c>
      <c r="AX98" t="inlineStr">
        <is>
          <t>991000714099702656</t>
        </is>
      </c>
      <c r="AY98" t="inlineStr">
        <is>
          <t>2260451810002656</t>
        </is>
      </c>
      <c r="AZ98" t="inlineStr">
        <is>
          <t>BOOK</t>
        </is>
      </c>
      <c r="BB98" t="inlineStr">
        <is>
          <t>9780700510313</t>
        </is>
      </c>
      <c r="BC98" t="inlineStr">
        <is>
          <t>32285001636520</t>
        </is>
      </c>
      <c r="BD98" t="inlineStr">
        <is>
          <t>893243504</t>
        </is>
      </c>
    </row>
    <row r="99">
      <c r="A99" t="inlineStr">
        <is>
          <t>No</t>
        </is>
      </c>
      <c r="B99" t="inlineStr">
        <is>
          <t>P118 .W44 1987</t>
        </is>
      </c>
      <c r="C99" t="inlineStr">
        <is>
          <t>0                      P  0118000W  44          1987</t>
        </is>
      </c>
      <c r="D99" t="inlineStr">
        <is>
          <t>The origin of language : aspects of the discussion from Condillac to Wundt / by G.A. Wells.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Wells, George Albert, 1926-</t>
        </is>
      </c>
      <c r="L99" t="inlineStr">
        <is>
          <t>La Salle, Ill. : Open Court, c1987.</t>
        </is>
      </c>
      <c r="M99" t="inlineStr">
        <is>
          <t>1987</t>
        </is>
      </c>
      <c r="O99" t="inlineStr">
        <is>
          <t>eng</t>
        </is>
      </c>
      <c r="P99" t="inlineStr">
        <is>
          <t>ilu</t>
        </is>
      </c>
      <c r="R99" t="inlineStr">
        <is>
          <t xml:space="preserve">P  </t>
        </is>
      </c>
      <c r="S99" t="n">
        <v>6</v>
      </c>
      <c r="T99" t="n">
        <v>6</v>
      </c>
      <c r="U99" t="inlineStr">
        <is>
          <t>2002-10-29</t>
        </is>
      </c>
      <c r="V99" t="inlineStr">
        <is>
          <t>2002-10-29</t>
        </is>
      </c>
      <c r="W99" t="inlineStr">
        <is>
          <t>1992-04-30</t>
        </is>
      </c>
      <c r="X99" t="inlineStr">
        <is>
          <t>1992-04-30</t>
        </is>
      </c>
      <c r="Y99" t="n">
        <v>342</v>
      </c>
      <c r="Z99" t="n">
        <v>290</v>
      </c>
      <c r="AA99" t="n">
        <v>298</v>
      </c>
      <c r="AB99" t="n">
        <v>2</v>
      </c>
      <c r="AC99" t="n">
        <v>2</v>
      </c>
      <c r="AD99" t="n">
        <v>17</v>
      </c>
      <c r="AE99" t="n">
        <v>17</v>
      </c>
      <c r="AF99" t="n">
        <v>5</v>
      </c>
      <c r="AG99" t="n">
        <v>5</v>
      </c>
      <c r="AH99" t="n">
        <v>5</v>
      </c>
      <c r="AI99" t="n">
        <v>5</v>
      </c>
      <c r="AJ99" t="n">
        <v>14</v>
      </c>
      <c r="AK99" t="n">
        <v>14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HYPERLINK("http://catalog.hathitrust.org/Record/000883527","HathiTrust Record")</f>
        <v/>
      </c>
      <c r="AS99">
        <f>HYPERLINK("https://creighton-primo.hosted.exlibrisgroup.com/primo-explore/search?tab=default_tab&amp;search_scope=EVERYTHING&amp;vid=01CRU&amp;lang=en_US&amp;offset=0&amp;query=any,contains,991000802769702656","Catalog Record")</f>
        <v/>
      </c>
      <c r="AT99">
        <f>HYPERLINK("http://www.worldcat.org/oclc/13269220","WorldCat Record")</f>
        <v/>
      </c>
      <c r="AU99" t="inlineStr">
        <is>
          <t>7011025:eng</t>
        </is>
      </c>
      <c r="AV99" t="inlineStr">
        <is>
          <t>13269220</t>
        </is>
      </c>
      <c r="AW99" t="inlineStr">
        <is>
          <t>991000802769702656</t>
        </is>
      </c>
      <c r="AX99" t="inlineStr">
        <is>
          <t>991000802769702656</t>
        </is>
      </c>
      <c r="AY99" t="inlineStr">
        <is>
          <t>2259771560002656</t>
        </is>
      </c>
      <c r="AZ99" t="inlineStr">
        <is>
          <t>BOOK</t>
        </is>
      </c>
      <c r="BB99" t="inlineStr">
        <is>
          <t>9780812690309</t>
        </is>
      </c>
      <c r="BC99" t="inlineStr">
        <is>
          <t>32285001120020</t>
        </is>
      </c>
      <c r="BD99" t="inlineStr">
        <is>
          <t>893333788</t>
        </is>
      </c>
    </row>
    <row r="100">
      <c r="A100" t="inlineStr">
        <is>
          <t>No</t>
        </is>
      </c>
      <c r="B100" t="inlineStr">
        <is>
          <t>P118.2 .A34 1993</t>
        </is>
      </c>
      <c r="C100" t="inlineStr">
        <is>
          <t>0                      P  0118200A  34          1993</t>
        </is>
      </c>
      <c r="D100" t="inlineStr">
        <is>
          <t>Adult language acquisition : cross-linguistic perspectives / edited by Clive Perdue ; written by members of the European Science Foundation project on adult language acquisition.</t>
        </is>
      </c>
      <c r="E100" t="inlineStr">
        <is>
          <t>V.2</t>
        </is>
      </c>
      <c r="F100" t="inlineStr">
        <is>
          <t>Yes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Cambridge [England] ; New York, NY : Cambridge University Press, 1993.</t>
        </is>
      </c>
      <c r="M100" t="inlineStr">
        <is>
          <t>1993</t>
        </is>
      </c>
      <c r="O100" t="inlineStr">
        <is>
          <t>eng</t>
        </is>
      </c>
      <c r="P100" t="inlineStr">
        <is>
          <t>enk</t>
        </is>
      </c>
      <c r="R100" t="inlineStr">
        <is>
          <t xml:space="preserve">P  </t>
        </is>
      </c>
      <c r="S100" t="n">
        <v>3</v>
      </c>
      <c r="T100" t="n">
        <v>6</v>
      </c>
      <c r="U100" t="inlineStr">
        <is>
          <t>1997-06-14</t>
        </is>
      </c>
      <c r="V100" t="inlineStr">
        <is>
          <t>2002-04-28</t>
        </is>
      </c>
      <c r="W100" t="inlineStr">
        <is>
          <t>1995-06-05</t>
        </is>
      </c>
      <c r="X100" t="inlineStr">
        <is>
          <t>1995-06-05</t>
        </is>
      </c>
      <c r="Y100" t="n">
        <v>342</v>
      </c>
      <c r="Z100" t="n">
        <v>228</v>
      </c>
      <c r="AA100" t="n">
        <v>229</v>
      </c>
      <c r="AB100" t="n">
        <v>3</v>
      </c>
      <c r="AC100" t="n">
        <v>3</v>
      </c>
      <c r="AD100" t="n">
        <v>12</v>
      </c>
      <c r="AE100" t="n">
        <v>12</v>
      </c>
      <c r="AF100" t="n">
        <v>4</v>
      </c>
      <c r="AG100" t="n">
        <v>4</v>
      </c>
      <c r="AH100" t="n">
        <v>5</v>
      </c>
      <c r="AI100" t="n">
        <v>5</v>
      </c>
      <c r="AJ100" t="n">
        <v>8</v>
      </c>
      <c r="AK100" t="n">
        <v>8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HYPERLINK("https://creighton-primo.hosted.exlibrisgroup.com/primo-explore/search?tab=default_tab&amp;search_scope=EVERYTHING&amp;vid=01CRU&amp;lang=en_US&amp;offset=0&amp;query=any,contains,991002093649702656","Catalog Record")</f>
        <v/>
      </c>
      <c r="AT100">
        <f>HYPERLINK("http://www.worldcat.org/oclc/26853965","WorldCat Record")</f>
        <v/>
      </c>
      <c r="AU100" t="inlineStr">
        <is>
          <t>3857123689:eng</t>
        </is>
      </c>
      <c r="AV100" t="inlineStr">
        <is>
          <t>26853965</t>
        </is>
      </c>
      <c r="AW100" t="inlineStr">
        <is>
          <t>991002093649702656</t>
        </is>
      </c>
      <c r="AX100" t="inlineStr">
        <is>
          <t>991002093649702656</t>
        </is>
      </c>
      <c r="AY100" t="inlineStr">
        <is>
          <t>2264311390002656</t>
        </is>
      </c>
      <c r="AZ100" t="inlineStr">
        <is>
          <t>BOOK</t>
        </is>
      </c>
      <c r="BB100" t="inlineStr">
        <is>
          <t>9780521417082</t>
        </is>
      </c>
      <c r="BC100" t="inlineStr">
        <is>
          <t>32285002060050</t>
        </is>
      </c>
      <c r="BD100" t="inlineStr">
        <is>
          <t>893866796</t>
        </is>
      </c>
    </row>
    <row r="101">
      <c r="A101" t="inlineStr">
        <is>
          <t>No</t>
        </is>
      </c>
      <c r="B101" t="inlineStr">
        <is>
          <t>P118.2 .A34 1993</t>
        </is>
      </c>
      <c r="C101" t="inlineStr">
        <is>
          <t>0                      P  0118200A  34          1993</t>
        </is>
      </c>
      <c r="D101" t="inlineStr">
        <is>
          <t>Adult language acquisition : cross-linguistic perspectives / edited by Clive Perdue ; written by members of the European Science Foundation project on adult language acquisition.</t>
        </is>
      </c>
      <c r="E101" t="inlineStr">
        <is>
          <t>V.1</t>
        </is>
      </c>
      <c r="F101" t="inlineStr">
        <is>
          <t>Yes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Cambridge [England] ; New York, NY : Cambridge University Press, 1993.</t>
        </is>
      </c>
      <c r="M101" t="inlineStr">
        <is>
          <t>1993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  </t>
        </is>
      </c>
      <c r="S101" t="n">
        <v>3</v>
      </c>
      <c r="T101" t="n">
        <v>6</v>
      </c>
      <c r="U101" t="inlineStr">
        <is>
          <t>2002-04-28</t>
        </is>
      </c>
      <c r="V101" t="inlineStr">
        <is>
          <t>2002-04-28</t>
        </is>
      </c>
      <c r="W101" t="inlineStr">
        <is>
          <t>1995-03-31</t>
        </is>
      </c>
      <c r="X101" t="inlineStr">
        <is>
          <t>1995-06-05</t>
        </is>
      </c>
      <c r="Y101" t="n">
        <v>342</v>
      </c>
      <c r="Z101" t="n">
        <v>228</v>
      </c>
      <c r="AA101" t="n">
        <v>229</v>
      </c>
      <c r="AB101" t="n">
        <v>3</v>
      </c>
      <c r="AC101" t="n">
        <v>3</v>
      </c>
      <c r="AD101" t="n">
        <v>12</v>
      </c>
      <c r="AE101" t="n">
        <v>12</v>
      </c>
      <c r="AF101" t="n">
        <v>4</v>
      </c>
      <c r="AG101" t="n">
        <v>4</v>
      </c>
      <c r="AH101" t="n">
        <v>5</v>
      </c>
      <c r="AI101" t="n">
        <v>5</v>
      </c>
      <c r="AJ101" t="n">
        <v>8</v>
      </c>
      <c r="AK101" t="n">
        <v>8</v>
      </c>
      <c r="AL101" t="n">
        <v>2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HYPERLINK("https://creighton-primo.hosted.exlibrisgroup.com/primo-explore/search?tab=default_tab&amp;search_scope=EVERYTHING&amp;vid=01CRU&amp;lang=en_US&amp;offset=0&amp;query=any,contains,991002093649702656","Catalog Record")</f>
        <v/>
      </c>
      <c r="AT101">
        <f>HYPERLINK("http://www.worldcat.org/oclc/26853965","WorldCat Record")</f>
        <v/>
      </c>
      <c r="AU101" t="inlineStr">
        <is>
          <t>3857123689:eng</t>
        </is>
      </c>
      <c r="AV101" t="inlineStr">
        <is>
          <t>26853965</t>
        </is>
      </c>
      <c r="AW101" t="inlineStr">
        <is>
          <t>991002093649702656</t>
        </is>
      </c>
      <c r="AX101" t="inlineStr">
        <is>
          <t>991002093649702656</t>
        </is>
      </c>
      <c r="AY101" t="inlineStr">
        <is>
          <t>2264311390002656</t>
        </is>
      </c>
      <c r="AZ101" t="inlineStr">
        <is>
          <t>BOOK</t>
        </is>
      </c>
      <c r="BB101" t="inlineStr">
        <is>
          <t>9780521417082</t>
        </is>
      </c>
      <c r="BC101" t="inlineStr">
        <is>
          <t>32285002015674</t>
        </is>
      </c>
      <c r="BD101" t="inlineStr">
        <is>
          <t>893873094</t>
        </is>
      </c>
    </row>
    <row r="102">
      <c r="A102" t="inlineStr">
        <is>
          <t>No</t>
        </is>
      </c>
      <c r="B102" t="inlineStr">
        <is>
          <t>P118.2 .E37 1996</t>
        </is>
      </c>
      <c r="C102" t="inlineStr">
        <is>
          <t>0                      P  0118200E  37          1996</t>
        </is>
      </c>
      <c r="D102" t="inlineStr">
        <is>
          <t>Understanding second language learning difficulties / Madeline E. Ehrman.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Ehrman, Madeline Elizabeth.</t>
        </is>
      </c>
      <c r="L102" t="inlineStr">
        <is>
          <t>Thousand Oaks, Calif. : Sage Publications, c1996.</t>
        </is>
      </c>
      <c r="M102" t="inlineStr">
        <is>
          <t>1996</t>
        </is>
      </c>
      <c r="O102" t="inlineStr">
        <is>
          <t>eng</t>
        </is>
      </c>
      <c r="P102" t="inlineStr">
        <is>
          <t>cau</t>
        </is>
      </c>
      <c r="R102" t="inlineStr">
        <is>
          <t xml:space="preserve">P  </t>
        </is>
      </c>
      <c r="S102" t="n">
        <v>4</v>
      </c>
      <c r="T102" t="n">
        <v>4</v>
      </c>
      <c r="U102" t="inlineStr">
        <is>
          <t>2010-10-04</t>
        </is>
      </c>
      <c r="V102" t="inlineStr">
        <is>
          <t>2010-10-04</t>
        </is>
      </c>
      <c r="W102" t="inlineStr">
        <is>
          <t>2009-11-16</t>
        </is>
      </c>
      <c r="X102" t="inlineStr">
        <is>
          <t>2009-11-16</t>
        </is>
      </c>
      <c r="Y102" t="n">
        <v>449</v>
      </c>
      <c r="Z102" t="n">
        <v>316</v>
      </c>
      <c r="AA102" t="n">
        <v>386</v>
      </c>
      <c r="AB102" t="n">
        <v>5</v>
      </c>
      <c r="AC102" t="n">
        <v>5</v>
      </c>
      <c r="AD102" t="n">
        <v>14</v>
      </c>
      <c r="AE102" t="n">
        <v>18</v>
      </c>
      <c r="AF102" t="n">
        <v>2</v>
      </c>
      <c r="AG102" t="n">
        <v>4</v>
      </c>
      <c r="AH102" t="n">
        <v>4</v>
      </c>
      <c r="AI102" t="n">
        <v>6</v>
      </c>
      <c r="AJ102" t="n">
        <v>7</v>
      </c>
      <c r="AK102" t="n">
        <v>8</v>
      </c>
      <c r="AL102" t="n">
        <v>4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HYPERLINK("http://catalog.hathitrust.org/Record/004558780","HathiTrust Record")</f>
        <v/>
      </c>
      <c r="AS102">
        <f>HYPERLINK("https://creighton-primo.hosted.exlibrisgroup.com/primo-explore/search?tab=default_tab&amp;search_scope=EVERYTHING&amp;vid=01CRU&amp;lang=en_US&amp;offset=0&amp;query=any,contains,991005340609702656","Catalog Record")</f>
        <v/>
      </c>
      <c r="AT102">
        <f>HYPERLINK("http://www.worldcat.org/oclc/34413498","WorldCat Record")</f>
        <v/>
      </c>
      <c r="AU102" t="inlineStr">
        <is>
          <t>39455327:eng</t>
        </is>
      </c>
      <c r="AV102" t="inlineStr">
        <is>
          <t>34413498</t>
        </is>
      </c>
      <c r="AW102" t="inlineStr">
        <is>
          <t>991005340609702656</t>
        </is>
      </c>
      <c r="AX102" t="inlineStr">
        <is>
          <t>991005340609702656</t>
        </is>
      </c>
      <c r="AY102" t="inlineStr">
        <is>
          <t>2260000350002656</t>
        </is>
      </c>
      <c r="AZ102" t="inlineStr">
        <is>
          <t>BOOK</t>
        </is>
      </c>
      <c r="BB102" t="inlineStr">
        <is>
          <t>9780761901907</t>
        </is>
      </c>
      <c r="BC102" t="inlineStr">
        <is>
          <t>32285005550602</t>
        </is>
      </c>
      <c r="BD102" t="inlineStr">
        <is>
          <t>893446750</t>
        </is>
      </c>
    </row>
    <row r="103">
      <c r="A103" t="inlineStr">
        <is>
          <t>No</t>
        </is>
      </c>
      <c r="B103" t="inlineStr">
        <is>
          <t>P118.2 .G368 1997</t>
        </is>
      </c>
      <c r="C103" t="inlineStr">
        <is>
          <t>0                      P  0118200G  368         1997</t>
        </is>
      </c>
      <c r="D103" t="inlineStr">
        <is>
          <t>Input, interaction, and the second language learner / Susan M. Gass.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Gass, Susan M.</t>
        </is>
      </c>
      <c r="L103" t="inlineStr">
        <is>
          <t>Mahwah, N.J. : Lawrence Erlbaum Associates, 1997.</t>
        </is>
      </c>
      <c r="M103" t="inlineStr">
        <is>
          <t>1997</t>
        </is>
      </c>
      <c r="O103" t="inlineStr">
        <is>
          <t>eng</t>
        </is>
      </c>
      <c r="P103" t="inlineStr">
        <is>
          <t>nju</t>
        </is>
      </c>
      <c r="R103" t="inlineStr">
        <is>
          <t xml:space="preserve">P  </t>
        </is>
      </c>
      <c r="S103" t="n">
        <v>4</v>
      </c>
      <c r="T103" t="n">
        <v>4</v>
      </c>
      <c r="U103" t="inlineStr">
        <is>
          <t>2010-10-04</t>
        </is>
      </c>
      <c r="V103" t="inlineStr">
        <is>
          <t>2010-10-04</t>
        </is>
      </c>
      <c r="W103" t="inlineStr">
        <is>
          <t>2000-04-11</t>
        </is>
      </c>
      <c r="X103" t="inlineStr">
        <is>
          <t>2000-04-11</t>
        </is>
      </c>
      <c r="Y103" t="n">
        <v>347</v>
      </c>
      <c r="Z103" t="n">
        <v>252</v>
      </c>
      <c r="AA103" t="n">
        <v>266</v>
      </c>
      <c r="AB103" t="n">
        <v>3</v>
      </c>
      <c r="AC103" t="n">
        <v>3</v>
      </c>
      <c r="AD103" t="n">
        <v>11</v>
      </c>
      <c r="AE103" t="n">
        <v>11</v>
      </c>
      <c r="AF103" t="n">
        <v>3</v>
      </c>
      <c r="AG103" t="n">
        <v>3</v>
      </c>
      <c r="AH103" t="n">
        <v>4</v>
      </c>
      <c r="AI103" t="n">
        <v>4</v>
      </c>
      <c r="AJ103" t="n">
        <v>7</v>
      </c>
      <c r="AK103" t="n">
        <v>7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HYPERLINK("http://catalog.hathitrust.org/Record/003943298","HathiTrust Record")</f>
        <v/>
      </c>
      <c r="AS103">
        <f>HYPERLINK("https://creighton-primo.hosted.exlibrisgroup.com/primo-explore/search?tab=default_tab&amp;search_scope=EVERYTHING&amp;vid=01CRU&amp;lang=en_US&amp;offset=0&amp;query=any,contains,991002727679702656","Catalog Record")</f>
        <v/>
      </c>
      <c r="AT103">
        <f>HYPERLINK("http://www.worldcat.org/oclc/35770980","WorldCat Record")</f>
        <v/>
      </c>
      <c r="AU103" t="inlineStr">
        <is>
          <t>9657847577:eng</t>
        </is>
      </c>
      <c r="AV103" t="inlineStr">
        <is>
          <t>35770980</t>
        </is>
      </c>
      <c r="AW103" t="inlineStr">
        <is>
          <t>991002727679702656</t>
        </is>
      </c>
      <c r="AX103" t="inlineStr">
        <is>
          <t>991002727679702656</t>
        </is>
      </c>
      <c r="AY103" t="inlineStr">
        <is>
          <t>2270878930002656</t>
        </is>
      </c>
      <c r="AZ103" t="inlineStr">
        <is>
          <t>BOOK</t>
        </is>
      </c>
      <c r="BB103" t="inlineStr">
        <is>
          <t>9780805822083</t>
        </is>
      </c>
      <c r="BC103" t="inlineStr">
        <is>
          <t>32285003676755</t>
        </is>
      </c>
      <c r="BD103" t="inlineStr">
        <is>
          <t>893523973</t>
        </is>
      </c>
    </row>
    <row r="104">
      <c r="A104" t="inlineStr">
        <is>
          <t>No</t>
        </is>
      </c>
      <c r="B104" t="inlineStr">
        <is>
          <t>P118.2 .I87 1988</t>
        </is>
      </c>
      <c r="C104" t="inlineStr">
        <is>
          <t>0                      P  0118200I  87          1988</t>
        </is>
      </c>
      <c r="D104" t="inlineStr">
        <is>
          <t>Issues in second language acquisition : multiple perspectives / Leslie M. Beebe, editor.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New York : Newbury House Publishers, c1988.</t>
        </is>
      </c>
      <c r="M104" t="inlineStr">
        <is>
          <t>1988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P  </t>
        </is>
      </c>
      <c r="S104" t="n">
        <v>17</v>
      </c>
      <c r="T104" t="n">
        <v>17</v>
      </c>
      <c r="U104" t="inlineStr">
        <is>
          <t>2010-03-13</t>
        </is>
      </c>
      <c r="V104" t="inlineStr">
        <is>
          <t>2010-03-13</t>
        </is>
      </c>
      <c r="W104" t="inlineStr">
        <is>
          <t>1990-02-13</t>
        </is>
      </c>
      <c r="X104" t="inlineStr">
        <is>
          <t>1990-02-13</t>
        </is>
      </c>
      <c r="Y104" t="n">
        <v>373</v>
      </c>
      <c r="Z104" t="n">
        <v>257</v>
      </c>
      <c r="AA104" t="n">
        <v>296</v>
      </c>
      <c r="AB104" t="n">
        <v>2</v>
      </c>
      <c r="AC104" t="n">
        <v>2</v>
      </c>
      <c r="AD104" t="n">
        <v>9</v>
      </c>
      <c r="AE104" t="n">
        <v>13</v>
      </c>
      <c r="AF104" t="n">
        <v>4</v>
      </c>
      <c r="AG104" t="n">
        <v>6</v>
      </c>
      <c r="AH104" t="n">
        <v>2</v>
      </c>
      <c r="AI104" t="n">
        <v>3</v>
      </c>
      <c r="AJ104" t="n">
        <v>5</v>
      </c>
      <c r="AK104" t="n">
        <v>9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HYPERLINK("http://catalog.hathitrust.org/Record/000905538","HathiTrust Record")</f>
        <v/>
      </c>
      <c r="AS104">
        <f>HYPERLINK("https://creighton-primo.hosted.exlibrisgroup.com/primo-explore/search?tab=default_tab&amp;search_scope=EVERYTHING&amp;vid=01CRU&amp;lang=en_US&amp;offset=0&amp;query=any,contains,991001121109702656","Catalog Record")</f>
        <v/>
      </c>
      <c r="AT104">
        <f>HYPERLINK("http://www.worldcat.org/oclc/16580919","WorldCat Record")</f>
        <v/>
      </c>
      <c r="AU104" t="inlineStr">
        <is>
          <t>836672526:eng</t>
        </is>
      </c>
      <c r="AV104" t="inlineStr">
        <is>
          <t>16580919</t>
        </is>
      </c>
      <c r="AW104" t="inlineStr">
        <is>
          <t>991001121109702656</t>
        </is>
      </c>
      <c r="AX104" t="inlineStr">
        <is>
          <t>991001121109702656</t>
        </is>
      </c>
      <c r="AY104" t="inlineStr">
        <is>
          <t>2260301730002656</t>
        </is>
      </c>
      <c r="AZ104" t="inlineStr">
        <is>
          <t>BOOK</t>
        </is>
      </c>
      <c r="BB104" t="inlineStr">
        <is>
          <t>9780066320496</t>
        </is>
      </c>
      <c r="BC104" t="inlineStr">
        <is>
          <t>32285000051895</t>
        </is>
      </c>
      <c r="BD104" t="inlineStr">
        <is>
          <t>893243871</t>
        </is>
      </c>
    </row>
    <row r="105">
      <c r="A105" t="inlineStr">
        <is>
          <t>No</t>
        </is>
      </c>
      <c r="B105" t="inlineStr">
        <is>
          <t>P118.2 .L37 1991</t>
        </is>
      </c>
      <c r="C105" t="inlineStr">
        <is>
          <t>0                      P  0118200L  37          1991</t>
        </is>
      </c>
      <c r="D105" t="inlineStr">
        <is>
          <t>An introduction to second language acquisition research / Diane Larsen-Freeman and Michael H. Long.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Larsen-Freeman, Diane.</t>
        </is>
      </c>
      <c r="L105" t="inlineStr">
        <is>
          <t>London ; New York : Longman, 1991.</t>
        </is>
      </c>
      <c r="M105" t="inlineStr">
        <is>
          <t>1991</t>
        </is>
      </c>
      <c r="O105" t="inlineStr">
        <is>
          <t>eng</t>
        </is>
      </c>
      <c r="P105" t="inlineStr">
        <is>
          <t>enk</t>
        </is>
      </c>
      <c r="Q105" t="inlineStr">
        <is>
          <t>Applied linguistics and language study</t>
        </is>
      </c>
      <c r="R105" t="inlineStr">
        <is>
          <t xml:space="preserve">P  </t>
        </is>
      </c>
      <c r="S105" t="n">
        <v>10</v>
      </c>
      <c r="T105" t="n">
        <v>10</v>
      </c>
      <c r="U105" t="inlineStr">
        <is>
          <t>2002-05-07</t>
        </is>
      </c>
      <c r="V105" t="inlineStr">
        <is>
          <t>2002-05-07</t>
        </is>
      </c>
      <c r="W105" t="inlineStr">
        <is>
          <t>1992-05-21</t>
        </is>
      </c>
      <c r="X105" t="inlineStr">
        <is>
          <t>1992-05-21</t>
        </is>
      </c>
      <c r="Y105" t="n">
        <v>616</v>
      </c>
      <c r="Z105" t="n">
        <v>358</v>
      </c>
      <c r="AA105" t="n">
        <v>410</v>
      </c>
      <c r="AB105" t="n">
        <v>4</v>
      </c>
      <c r="AC105" t="n">
        <v>5</v>
      </c>
      <c r="AD105" t="n">
        <v>18</v>
      </c>
      <c r="AE105" t="n">
        <v>21</v>
      </c>
      <c r="AF105" t="n">
        <v>7</v>
      </c>
      <c r="AG105" t="n">
        <v>7</v>
      </c>
      <c r="AH105" t="n">
        <v>5</v>
      </c>
      <c r="AI105" t="n">
        <v>6</v>
      </c>
      <c r="AJ105" t="n">
        <v>10</v>
      </c>
      <c r="AK105" t="n">
        <v>11</v>
      </c>
      <c r="AL105" t="n">
        <v>3</v>
      </c>
      <c r="AM105" t="n">
        <v>4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HYPERLINK("http://catalog.hathitrust.org/Record/003133145","HathiTrust Record")</f>
        <v/>
      </c>
      <c r="AS105">
        <f>HYPERLINK("https://creighton-primo.hosted.exlibrisgroup.com/primo-explore/search?tab=default_tab&amp;search_scope=EVERYTHING&amp;vid=01CRU&amp;lang=en_US&amp;offset=0&amp;query=any,contains,991001701879702656","Catalog Record")</f>
        <v/>
      </c>
      <c r="AT105">
        <f>HYPERLINK("http://www.worldcat.org/oclc/21524540","WorldCat Record")</f>
        <v/>
      </c>
      <c r="AU105" t="inlineStr">
        <is>
          <t>20536087:eng</t>
        </is>
      </c>
      <c r="AV105" t="inlineStr">
        <is>
          <t>21524540</t>
        </is>
      </c>
      <c r="AW105" t="inlineStr">
        <is>
          <t>991001701879702656</t>
        </is>
      </c>
      <c r="AX105" t="inlineStr">
        <is>
          <t>991001701879702656</t>
        </is>
      </c>
      <c r="AY105" t="inlineStr">
        <is>
          <t>2257127940002656</t>
        </is>
      </c>
      <c r="AZ105" t="inlineStr">
        <is>
          <t>BOOK</t>
        </is>
      </c>
      <c r="BB105" t="inlineStr">
        <is>
          <t>9780582553774</t>
        </is>
      </c>
      <c r="BC105" t="inlineStr">
        <is>
          <t>32285001117125</t>
        </is>
      </c>
      <c r="BD105" t="inlineStr">
        <is>
          <t>893626788</t>
        </is>
      </c>
    </row>
    <row r="106">
      <c r="A106" t="inlineStr">
        <is>
          <t>No</t>
        </is>
      </c>
      <c r="B106" t="inlineStr">
        <is>
          <t>P118.2 .P76 1989</t>
        </is>
      </c>
      <c r="C106" t="inlineStr">
        <is>
          <t>0                      P  0118200P  76          1989</t>
        </is>
      </c>
      <c r="D106" t="inlineStr">
        <is>
          <t>Learning strategies for second language users : an analytical appraisal with case studies / Manfred Prokop.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Prokop, Manfred, 1942-</t>
        </is>
      </c>
      <c r="L106" t="inlineStr">
        <is>
          <t>Lewiston, NY : E. Mellen Press, 1989.</t>
        </is>
      </c>
      <c r="M106" t="inlineStr">
        <is>
          <t>1989</t>
        </is>
      </c>
      <c r="O106" t="inlineStr">
        <is>
          <t>eng</t>
        </is>
      </c>
      <c r="P106" t="inlineStr">
        <is>
          <t>nyu</t>
        </is>
      </c>
      <c r="Q106" t="inlineStr">
        <is>
          <t>Mellen studies in education ; v. 2</t>
        </is>
      </c>
      <c r="R106" t="inlineStr">
        <is>
          <t xml:space="preserve">P  </t>
        </is>
      </c>
      <c r="S106" t="n">
        <v>7</v>
      </c>
      <c r="T106" t="n">
        <v>7</v>
      </c>
      <c r="U106" t="inlineStr">
        <is>
          <t>2010-04-26</t>
        </is>
      </c>
      <c r="V106" t="inlineStr">
        <is>
          <t>2010-04-26</t>
        </is>
      </c>
      <c r="W106" t="inlineStr">
        <is>
          <t>1990-01-15</t>
        </is>
      </c>
      <c r="X106" t="inlineStr">
        <is>
          <t>1990-01-15</t>
        </is>
      </c>
      <c r="Y106" t="n">
        <v>120</v>
      </c>
      <c r="Z106" t="n">
        <v>83</v>
      </c>
      <c r="AA106" t="n">
        <v>83</v>
      </c>
      <c r="AB106" t="n">
        <v>1</v>
      </c>
      <c r="AC106" t="n">
        <v>1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HYPERLINK("https://creighton-primo.hosted.exlibrisgroup.com/primo-explore/search?tab=default_tab&amp;search_scope=EVERYTHING&amp;vid=01CRU&amp;lang=en_US&amp;offset=0&amp;query=any,contains,991001384209702656","Catalog Record")</f>
        <v/>
      </c>
      <c r="AT106">
        <f>HYPERLINK("http://www.worldcat.org/oclc/18714972","WorldCat Record")</f>
        <v/>
      </c>
      <c r="AU106" t="inlineStr">
        <is>
          <t>836736519:eng</t>
        </is>
      </c>
      <c r="AV106" t="inlineStr">
        <is>
          <t>18714972</t>
        </is>
      </c>
      <c r="AW106" t="inlineStr">
        <is>
          <t>991001384209702656</t>
        </is>
      </c>
      <c r="AX106" t="inlineStr">
        <is>
          <t>991001384209702656</t>
        </is>
      </c>
      <c r="AY106" t="inlineStr">
        <is>
          <t>2265994320002656</t>
        </is>
      </c>
      <c r="AZ106" t="inlineStr">
        <is>
          <t>BOOK</t>
        </is>
      </c>
      <c r="BB106" t="inlineStr">
        <is>
          <t>9780889469372</t>
        </is>
      </c>
      <c r="BC106" t="inlineStr">
        <is>
          <t>32285000028166</t>
        </is>
      </c>
      <c r="BD106" t="inlineStr">
        <is>
          <t>893522534</t>
        </is>
      </c>
    </row>
    <row r="107">
      <c r="A107" t="inlineStr">
        <is>
          <t>No</t>
        </is>
      </c>
      <c r="B107" t="inlineStr">
        <is>
          <t>P118.2 .R47 1994</t>
        </is>
      </c>
      <c r="C107" t="inlineStr">
        <is>
          <t>0                      P  0118200R  47          1994</t>
        </is>
      </c>
      <c r="D107" t="inlineStr">
        <is>
          <t>Research methodology in second-language acquisition / edited by Elaine E. Tarone, Susan M. Gass, Andrew D. Cohen.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Hillsdale, N.J. : L. Erlbaum Associates, 1994.</t>
        </is>
      </c>
      <c r="M107" t="inlineStr">
        <is>
          <t>1994</t>
        </is>
      </c>
      <c r="O107" t="inlineStr">
        <is>
          <t>eng</t>
        </is>
      </c>
      <c r="P107" t="inlineStr">
        <is>
          <t>nju</t>
        </is>
      </c>
      <c r="Q107" t="inlineStr">
        <is>
          <t>Second language acquisition research</t>
        </is>
      </c>
      <c r="R107" t="inlineStr">
        <is>
          <t xml:space="preserve">P  </t>
        </is>
      </c>
      <c r="S107" t="n">
        <v>2</v>
      </c>
      <c r="T107" t="n">
        <v>2</v>
      </c>
      <c r="U107" t="inlineStr">
        <is>
          <t>2002-04-28</t>
        </is>
      </c>
      <c r="V107" t="inlineStr">
        <is>
          <t>2002-04-28</t>
        </is>
      </c>
      <c r="W107" t="inlineStr">
        <is>
          <t>2000-04-11</t>
        </is>
      </c>
      <c r="X107" t="inlineStr">
        <is>
          <t>2000-04-11</t>
        </is>
      </c>
      <c r="Y107" t="n">
        <v>325</v>
      </c>
      <c r="Z107" t="n">
        <v>225</v>
      </c>
      <c r="AA107" t="n">
        <v>256</v>
      </c>
      <c r="AB107" t="n">
        <v>1</v>
      </c>
      <c r="AC107" t="n">
        <v>1</v>
      </c>
      <c r="AD107" t="n">
        <v>6</v>
      </c>
      <c r="AE107" t="n">
        <v>7</v>
      </c>
      <c r="AF107" t="n">
        <v>1</v>
      </c>
      <c r="AG107" t="n">
        <v>1</v>
      </c>
      <c r="AH107" t="n">
        <v>3</v>
      </c>
      <c r="AI107" t="n">
        <v>4</v>
      </c>
      <c r="AJ107" t="n">
        <v>5</v>
      </c>
      <c r="AK107" t="n">
        <v>5</v>
      </c>
      <c r="AL107" t="n">
        <v>0</v>
      </c>
      <c r="AM107" t="n">
        <v>0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HYPERLINK("http://catalog.hathitrust.org/Record/004582924","HathiTrust Record")</f>
        <v/>
      </c>
      <c r="AS107">
        <f>HYPERLINK("https://creighton-primo.hosted.exlibrisgroup.com/primo-explore/search?tab=default_tab&amp;search_scope=EVERYTHING&amp;vid=01CRU&amp;lang=en_US&amp;offset=0&amp;query=any,contains,991002247139702656","Catalog Record")</f>
        <v/>
      </c>
      <c r="AT107">
        <f>HYPERLINK("http://www.worldcat.org/oclc/28966844","WorldCat Record")</f>
        <v/>
      </c>
      <c r="AU107" t="inlineStr">
        <is>
          <t>347113280:eng</t>
        </is>
      </c>
      <c r="AV107" t="inlineStr">
        <is>
          <t>28966844</t>
        </is>
      </c>
      <c r="AW107" t="inlineStr">
        <is>
          <t>991002247139702656</t>
        </is>
      </c>
      <c r="AX107" t="inlineStr">
        <is>
          <t>991002247139702656</t>
        </is>
      </c>
      <c r="AY107" t="inlineStr">
        <is>
          <t>2257280910002656</t>
        </is>
      </c>
      <c r="AZ107" t="inlineStr">
        <is>
          <t>BOOK</t>
        </is>
      </c>
      <c r="BB107" t="inlineStr">
        <is>
          <t>9780805814231</t>
        </is>
      </c>
      <c r="BC107" t="inlineStr">
        <is>
          <t>32285003676953</t>
        </is>
      </c>
      <c r="BD107" t="inlineStr">
        <is>
          <t>893250987</t>
        </is>
      </c>
    </row>
    <row r="108">
      <c r="A108" t="inlineStr">
        <is>
          <t>No</t>
        </is>
      </c>
      <c r="B108" t="inlineStr">
        <is>
          <t>P118.3 .W56 1988</t>
        </is>
      </c>
      <c r="C108" t="inlineStr">
        <is>
          <t>0                      P  0118300W  56          1988</t>
        </is>
      </c>
      <c r="D108" t="inlineStr">
        <is>
          <t>The point of words : children's understanding of metaphor and irony / Ellen Winner.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Winner, Ellen.</t>
        </is>
      </c>
      <c r="L108" t="inlineStr">
        <is>
          <t>Cambridge, Mass. : Harvard University Press, 1988.</t>
        </is>
      </c>
      <c r="M108" t="inlineStr">
        <is>
          <t>1988</t>
        </is>
      </c>
      <c r="O108" t="inlineStr">
        <is>
          <t>eng</t>
        </is>
      </c>
      <c r="P108" t="inlineStr">
        <is>
          <t>mau</t>
        </is>
      </c>
      <c r="R108" t="inlineStr">
        <is>
          <t xml:space="preserve">P  </t>
        </is>
      </c>
      <c r="S108" t="n">
        <v>3</v>
      </c>
      <c r="T108" t="n">
        <v>3</v>
      </c>
      <c r="U108" t="inlineStr">
        <is>
          <t>1994-03-07</t>
        </is>
      </c>
      <c r="V108" t="inlineStr">
        <is>
          <t>1994-03-07</t>
        </is>
      </c>
      <c r="W108" t="inlineStr">
        <is>
          <t>1990-07-20</t>
        </is>
      </c>
      <c r="X108" t="inlineStr">
        <is>
          <t>1990-07-20</t>
        </is>
      </c>
      <c r="Y108" t="n">
        <v>445</v>
      </c>
      <c r="Z108" t="n">
        <v>334</v>
      </c>
      <c r="AA108" t="n">
        <v>357</v>
      </c>
      <c r="AB108" t="n">
        <v>3</v>
      </c>
      <c r="AC108" t="n">
        <v>3</v>
      </c>
      <c r="AD108" t="n">
        <v>13</v>
      </c>
      <c r="AE108" t="n">
        <v>15</v>
      </c>
      <c r="AF108" t="n">
        <v>3</v>
      </c>
      <c r="AG108" t="n">
        <v>4</v>
      </c>
      <c r="AH108" t="n">
        <v>4</v>
      </c>
      <c r="AI108" t="n">
        <v>5</v>
      </c>
      <c r="AJ108" t="n">
        <v>7</v>
      </c>
      <c r="AK108" t="n">
        <v>7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HYPERLINK("http://catalog.hathitrust.org/Record/000903731","HathiTrust Record")</f>
        <v/>
      </c>
      <c r="AS108">
        <f>HYPERLINK("https://creighton-primo.hosted.exlibrisgroup.com/primo-explore/search?tab=default_tab&amp;search_scope=EVERYTHING&amp;vid=01CRU&amp;lang=en_US&amp;offset=0&amp;query=any,contains,991001102399702656","Catalog Record")</f>
        <v/>
      </c>
      <c r="AT108">
        <f>HYPERLINK("http://www.worldcat.org/oclc/16355051","WorldCat Record")</f>
        <v/>
      </c>
      <c r="AU108" t="inlineStr">
        <is>
          <t>569549:eng</t>
        </is>
      </c>
      <c r="AV108" t="inlineStr">
        <is>
          <t>16355051</t>
        </is>
      </c>
      <c r="AW108" t="inlineStr">
        <is>
          <t>991001102399702656</t>
        </is>
      </c>
      <c r="AX108" t="inlineStr">
        <is>
          <t>991001102399702656</t>
        </is>
      </c>
      <c r="AY108" t="inlineStr">
        <is>
          <t>2255625710002656</t>
        </is>
      </c>
      <c r="AZ108" t="inlineStr">
        <is>
          <t>BOOK</t>
        </is>
      </c>
      <c r="BB108" t="inlineStr">
        <is>
          <t>9780674681255</t>
        </is>
      </c>
      <c r="BC108" t="inlineStr">
        <is>
          <t>32285000209931</t>
        </is>
      </c>
      <c r="BD108" t="inlineStr">
        <is>
          <t>893684032</t>
        </is>
      </c>
    </row>
    <row r="109">
      <c r="A109" t="inlineStr">
        <is>
          <t>No</t>
        </is>
      </c>
      <c r="B109" t="inlineStr">
        <is>
          <t>P118.4 .F6 1990</t>
        </is>
      </c>
      <c r="C109" t="inlineStr">
        <is>
          <t>0                      P  0118400F  6           1990</t>
        </is>
      </c>
      <c r="D109" t="inlineStr">
        <is>
          <t>The communicative competence of young children : a modular approach / Susan H. Foster.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Foster-Cohen, Susan H., 1954-</t>
        </is>
      </c>
      <c r="L109" t="inlineStr">
        <is>
          <t>London ; New York : Longman, 1990.</t>
        </is>
      </c>
      <c r="M109" t="inlineStr">
        <is>
          <t>1990</t>
        </is>
      </c>
      <c r="O109" t="inlineStr">
        <is>
          <t>eng</t>
        </is>
      </c>
      <c r="P109" t="inlineStr">
        <is>
          <t>enk</t>
        </is>
      </c>
      <c r="Q109" t="inlineStr">
        <is>
          <t>Studies in language and linguistics</t>
        </is>
      </c>
      <c r="R109" t="inlineStr">
        <is>
          <t xml:space="preserve">P  </t>
        </is>
      </c>
      <c r="S109" t="n">
        <v>7</v>
      </c>
      <c r="T109" t="n">
        <v>7</v>
      </c>
      <c r="U109" t="inlineStr">
        <is>
          <t>1996-03-21</t>
        </is>
      </c>
      <c r="V109" t="inlineStr">
        <is>
          <t>1996-03-21</t>
        </is>
      </c>
      <c r="W109" t="inlineStr">
        <is>
          <t>1991-08-08</t>
        </is>
      </c>
      <c r="X109" t="inlineStr">
        <is>
          <t>1991-08-08</t>
        </is>
      </c>
      <c r="Y109" t="n">
        <v>495</v>
      </c>
      <c r="Z109" t="n">
        <v>311</v>
      </c>
      <c r="AA109" t="n">
        <v>336</v>
      </c>
      <c r="AB109" t="n">
        <v>3</v>
      </c>
      <c r="AC109" t="n">
        <v>3</v>
      </c>
      <c r="AD109" t="n">
        <v>17</v>
      </c>
      <c r="AE109" t="n">
        <v>17</v>
      </c>
      <c r="AF109" t="n">
        <v>8</v>
      </c>
      <c r="AG109" t="n">
        <v>8</v>
      </c>
      <c r="AH109" t="n">
        <v>4</v>
      </c>
      <c r="AI109" t="n">
        <v>4</v>
      </c>
      <c r="AJ109" t="n">
        <v>7</v>
      </c>
      <c r="AK109" t="n">
        <v>7</v>
      </c>
      <c r="AL109" t="n">
        <v>2</v>
      </c>
      <c r="AM109" t="n">
        <v>2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HYPERLINK("https://creighton-primo.hosted.exlibrisgroup.com/primo-explore/search?tab=default_tab&amp;search_scope=EVERYTHING&amp;vid=01CRU&amp;lang=en_US&amp;offset=0&amp;query=any,contains,991001557239702656","Catalog Record")</f>
        <v/>
      </c>
      <c r="AT109">
        <f>HYPERLINK("http://www.worldcat.org/oclc/20294269","WorldCat Record")</f>
        <v/>
      </c>
      <c r="AU109" t="inlineStr">
        <is>
          <t>840361876:eng</t>
        </is>
      </c>
      <c r="AV109" t="inlineStr">
        <is>
          <t>20294269</t>
        </is>
      </c>
      <c r="AW109" t="inlineStr">
        <is>
          <t>991001557239702656</t>
        </is>
      </c>
      <c r="AX109" t="inlineStr">
        <is>
          <t>991001557239702656</t>
        </is>
      </c>
      <c r="AY109" t="inlineStr">
        <is>
          <t>2266219700002656</t>
        </is>
      </c>
      <c r="AZ109" t="inlineStr">
        <is>
          <t>BOOK</t>
        </is>
      </c>
      <c r="BB109" t="inlineStr">
        <is>
          <t>9780582552715</t>
        </is>
      </c>
      <c r="BC109" t="inlineStr">
        <is>
          <t>32285000664606</t>
        </is>
      </c>
      <c r="BD109" t="inlineStr">
        <is>
          <t>893772658</t>
        </is>
      </c>
    </row>
    <row r="110">
      <c r="A110" t="inlineStr">
        <is>
          <t>No</t>
        </is>
      </c>
      <c r="B110" t="inlineStr">
        <is>
          <t>P119.3 .B47 2004</t>
        </is>
      </c>
      <c r="C110" t="inlineStr">
        <is>
          <t>0                      P  0119300B  47          2004</t>
        </is>
      </c>
      <c r="D110" t="inlineStr">
        <is>
          <t>Nations, language, and citizenship / Norman Berdichevsky.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Berdichevsky, Norman, 1943-</t>
        </is>
      </c>
      <c r="L110" t="inlineStr">
        <is>
          <t>Jefferson, N.C. : McFarland, c2004.</t>
        </is>
      </c>
      <c r="M110" t="inlineStr">
        <is>
          <t>2004</t>
        </is>
      </c>
      <c r="O110" t="inlineStr">
        <is>
          <t>eng</t>
        </is>
      </c>
      <c r="P110" t="inlineStr">
        <is>
          <t>ncu</t>
        </is>
      </c>
      <c r="R110" t="inlineStr">
        <is>
          <t xml:space="preserve">P  </t>
        </is>
      </c>
      <c r="S110" t="n">
        <v>8</v>
      </c>
      <c r="T110" t="n">
        <v>8</v>
      </c>
      <c r="U110" t="inlineStr">
        <is>
          <t>2007-09-06</t>
        </is>
      </c>
      <c r="V110" t="inlineStr">
        <is>
          <t>2007-09-06</t>
        </is>
      </c>
      <c r="W110" t="inlineStr">
        <is>
          <t>2005-10-26</t>
        </is>
      </c>
      <c r="X110" t="inlineStr">
        <is>
          <t>2005-10-26</t>
        </is>
      </c>
      <c r="Y110" t="n">
        <v>350</v>
      </c>
      <c r="Z110" t="n">
        <v>283</v>
      </c>
      <c r="AA110" t="n">
        <v>296</v>
      </c>
      <c r="AB110" t="n">
        <v>2</v>
      </c>
      <c r="AC110" t="n">
        <v>2</v>
      </c>
      <c r="AD110" t="n">
        <v>14</v>
      </c>
      <c r="AE110" t="n">
        <v>14</v>
      </c>
      <c r="AF110" t="n">
        <v>4</v>
      </c>
      <c r="AG110" t="n">
        <v>4</v>
      </c>
      <c r="AH110" t="n">
        <v>6</v>
      </c>
      <c r="AI110" t="n">
        <v>6</v>
      </c>
      <c r="AJ110" t="n">
        <v>7</v>
      </c>
      <c r="AK110" t="n">
        <v>7</v>
      </c>
      <c r="AL110" t="n">
        <v>1</v>
      </c>
      <c r="AM110" t="n">
        <v>1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HYPERLINK("http://catalog.hathitrust.org/Record/004375997","HathiTrust Record")</f>
        <v/>
      </c>
      <c r="AS110">
        <f>HYPERLINK("https://creighton-primo.hosted.exlibrisgroup.com/primo-explore/search?tab=default_tab&amp;search_scope=EVERYTHING&amp;vid=01CRU&amp;lang=en_US&amp;offset=0&amp;query=any,contains,991004653459702656","Catalog Record")</f>
        <v/>
      </c>
      <c r="AT110">
        <f>HYPERLINK("http://www.worldcat.org/oclc/53485173","WorldCat Record")</f>
        <v/>
      </c>
      <c r="AU110" t="inlineStr">
        <is>
          <t>771036:eng</t>
        </is>
      </c>
      <c r="AV110" t="inlineStr">
        <is>
          <t>53485173</t>
        </is>
      </c>
      <c r="AW110" t="inlineStr">
        <is>
          <t>991004653459702656</t>
        </is>
      </c>
      <c r="AX110" t="inlineStr">
        <is>
          <t>991004653459702656</t>
        </is>
      </c>
      <c r="AY110" t="inlineStr">
        <is>
          <t>2267869920002656</t>
        </is>
      </c>
      <c r="AZ110" t="inlineStr">
        <is>
          <t>BOOK</t>
        </is>
      </c>
      <c r="BB110" t="inlineStr">
        <is>
          <t>9780786417100</t>
        </is>
      </c>
      <c r="BC110" t="inlineStr">
        <is>
          <t>32285005142525</t>
        </is>
      </c>
      <c r="BD110" t="inlineStr">
        <is>
          <t>893260007</t>
        </is>
      </c>
    </row>
    <row r="111">
      <c r="A111" t="inlineStr">
        <is>
          <t>No</t>
        </is>
      </c>
      <c r="B111" t="inlineStr">
        <is>
          <t>P119.3 .C67 1979</t>
        </is>
      </c>
      <c r="C111" t="inlineStr">
        <is>
          <t>0                      P  0119300C  67          1979</t>
        </is>
      </c>
      <c r="D111" t="inlineStr">
        <is>
          <t>Political language and rhetoric / Paul E. Corcoran.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Corcoran, Paul E., 1944-</t>
        </is>
      </c>
      <c r="L111" t="inlineStr">
        <is>
          <t>Austin : University of Texas Press, c1979.</t>
        </is>
      </c>
      <c r="M111" t="inlineStr">
        <is>
          <t>1979</t>
        </is>
      </c>
      <c r="O111" t="inlineStr">
        <is>
          <t>eng</t>
        </is>
      </c>
      <c r="P111" t="inlineStr">
        <is>
          <t>txu</t>
        </is>
      </c>
      <c r="R111" t="inlineStr">
        <is>
          <t xml:space="preserve">P  </t>
        </is>
      </c>
      <c r="S111" t="n">
        <v>2</v>
      </c>
      <c r="T111" t="n">
        <v>2</v>
      </c>
      <c r="U111" t="inlineStr">
        <is>
          <t>2002-04-26</t>
        </is>
      </c>
      <c r="V111" t="inlineStr">
        <is>
          <t>2002-04-26</t>
        </is>
      </c>
      <c r="W111" t="inlineStr">
        <is>
          <t>1992-05-15</t>
        </is>
      </c>
      <c r="X111" t="inlineStr">
        <is>
          <t>1992-05-15</t>
        </is>
      </c>
      <c r="Y111" t="n">
        <v>442</v>
      </c>
      <c r="Z111" t="n">
        <v>406</v>
      </c>
      <c r="AA111" t="n">
        <v>426</v>
      </c>
      <c r="AB111" t="n">
        <v>3</v>
      </c>
      <c r="AC111" t="n">
        <v>3</v>
      </c>
      <c r="AD111" t="n">
        <v>23</v>
      </c>
      <c r="AE111" t="n">
        <v>23</v>
      </c>
      <c r="AF111" t="n">
        <v>8</v>
      </c>
      <c r="AG111" t="n">
        <v>8</v>
      </c>
      <c r="AH111" t="n">
        <v>6</v>
      </c>
      <c r="AI111" t="n">
        <v>6</v>
      </c>
      <c r="AJ111" t="n">
        <v>11</v>
      </c>
      <c r="AK111" t="n">
        <v>11</v>
      </c>
      <c r="AL111" t="n">
        <v>2</v>
      </c>
      <c r="AM111" t="n">
        <v>2</v>
      </c>
      <c r="AN111" t="n">
        <v>1</v>
      </c>
      <c r="AO111" t="n">
        <v>1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HYPERLINK("https://creighton-primo.hosted.exlibrisgroup.com/primo-explore/search?tab=default_tab&amp;search_scope=EVERYTHING&amp;vid=01CRU&amp;lang=en_US&amp;offset=0&amp;query=any,contains,991004906619702656","Catalog Record")</f>
        <v/>
      </c>
      <c r="AT111">
        <f>HYPERLINK("http://www.worldcat.org/oclc/5952392","WorldCat Record")</f>
        <v/>
      </c>
      <c r="AU111" t="inlineStr">
        <is>
          <t>433373:eng</t>
        </is>
      </c>
      <c r="AV111" t="inlineStr">
        <is>
          <t>5952392</t>
        </is>
      </c>
      <c r="AW111" t="inlineStr">
        <is>
          <t>991004906619702656</t>
        </is>
      </c>
      <c r="AX111" t="inlineStr">
        <is>
          <t>991004906619702656</t>
        </is>
      </c>
      <c r="AY111" t="inlineStr">
        <is>
          <t>2269731390002656</t>
        </is>
      </c>
      <c r="AZ111" t="inlineStr">
        <is>
          <t>BOOK</t>
        </is>
      </c>
      <c r="BB111" t="inlineStr">
        <is>
          <t>9780292764583</t>
        </is>
      </c>
      <c r="BC111" t="inlineStr">
        <is>
          <t>32285001111136</t>
        </is>
      </c>
      <c r="BD111" t="inlineStr">
        <is>
          <t>893883094</t>
        </is>
      </c>
    </row>
    <row r="112">
      <c r="A112" t="inlineStr">
        <is>
          <t>No</t>
        </is>
      </c>
      <c r="B112" t="inlineStr">
        <is>
          <t>P119.3 .G45 1987</t>
        </is>
      </c>
      <c r="C112" t="inlineStr">
        <is>
          <t>0                      P  0119300G  45          1987</t>
        </is>
      </c>
      <c r="D112" t="inlineStr">
        <is>
          <t>The language of politics / Michael L. Geis.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Geis, Michael L.</t>
        </is>
      </c>
      <c r="L112" t="inlineStr">
        <is>
          <t>New York : Springer-Verlag, c1987.</t>
        </is>
      </c>
      <c r="M112" t="inlineStr">
        <is>
          <t>1987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P  </t>
        </is>
      </c>
      <c r="S112" t="n">
        <v>4</v>
      </c>
      <c r="T112" t="n">
        <v>4</v>
      </c>
      <c r="U112" t="inlineStr">
        <is>
          <t>2002-04-26</t>
        </is>
      </c>
      <c r="V112" t="inlineStr">
        <is>
          <t>2002-04-26</t>
        </is>
      </c>
      <c r="W112" t="inlineStr">
        <is>
          <t>1993-04-01</t>
        </is>
      </c>
      <c r="X112" t="inlineStr">
        <is>
          <t>1993-04-01</t>
        </is>
      </c>
      <c r="Y112" t="n">
        <v>339</v>
      </c>
      <c r="Z112" t="n">
        <v>247</v>
      </c>
      <c r="AA112" t="n">
        <v>263</v>
      </c>
      <c r="AB112" t="n">
        <v>2</v>
      </c>
      <c r="AC112" t="n">
        <v>2</v>
      </c>
      <c r="AD112" t="n">
        <v>13</v>
      </c>
      <c r="AE112" t="n">
        <v>16</v>
      </c>
      <c r="AF112" t="n">
        <v>4</v>
      </c>
      <c r="AG112" t="n">
        <v>7</v>
      </c>
      <c r="AH112" t="n">
        <v>5</v>
      </c>
      <c r="AI112" t="n">
        <v>6</v>
      </c>
      <c r="AJ112" t="n">
        <v>4</v>
      </c>
      <c r="AK112" t="n">
        <v>5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HYPERLINK("http://catalog.hathitrust.org/Record/000827018","HathiTrust Record")</f>
        <v/>
      </c>
      <c r="AS112">
        <f>HYPERLINK("https://creighton-primo.hosted.exlibrisgroup.com/primo-explore/search?tab=default_tab&amp;search_scope=EVERYTHING&amp;vid=01CRU&amp;lang=en_US&amp;offset=0&amp;query=any,contains,991000960369702656","Catalog Record")</f>
        <v/>
      </c>
      <c r="AT112">
        <f>HYPERLINK("http://www.worldcat.org/oclc/14818254","WorldCat Record")</f>
        <v/>
      </c>
      <c r="AU112" t="inlineStr">
        <is>
          <t>8522059:eng</t>
        </is>
      </c>
      <c r="AV112" t="inlineStr">
        <is>
          <t>14818254</t>
        </is>
      </c>
      <c r="AW112" t="inlineStr">
        <is>
          <t>991000960369702656</t>
        </is>
      </c>
      <c r="AX112" t="inlineStr">
        <is>
          <t>991000960369702656</t>
        </is>
      </c>
      <c r="AY112" t="inlineStr">
        <is>
          <t>2263655490002656</t>
        </is>
      </c>
      <c r="AZ112" t="inlineStr">
        <is>
          <t>BOOK</t>
        </is>
      </c>
      <c r="BB112" t="inlineStr">
        <is>
          <t>9780387964652</t>
        </is>
      </c>
      <c r="BC112" t="inlineStr">
        <is>
          <t>32285001613255</t>
        </is>
      </c>
      <c r="BD112" t="inlineStr">
        <is>
          <t>893891179</t>
        </is>
      </c>
    </row>
    <row r="113">
      <c r="A113" t="inlineStr">
        <is>
          <t>No</t>
        </is>
      </c>
      <c r="B113" t="inlineStr">
        <is>
          <t>P119.3 .L25 1990</t>
        </is>
      </c>
      <c r="C113" t="inlineStr">
        <is>
          <t>0                      P  0119300L  25          1990</t>
        </is>
      </c>
      <c r="D113" t="inlineStr">
        <is>
          <t>Talking power : the politics of language in our lives / Robin Tolmach Lakoff.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Lakoff, Robin Tolmach.</t>
        </is>
      </c>
      <c r="L113" t="inlineStr">
        <is>
          <t>[New York] : Basic Books, c1990.</t>
        </is>
      </c>
      <c r="M113" t="inlineStr">
        <is>
          <t>1990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P  </t>
        </is>
      </c>
      <c r="S113" t="n">
        <v>9</v>
      </c>
      <c r="T113" t="n">
        <v>9</v>
      </c>
      <c r="U113" t="inlineStr">
        <is>
          <t>2005-12-02</t>
        </is>
      </c>
      <c r="V113" t="inlineStr">
        <is>
          <t>2005-12-02</t>
        </is>
      </c>
      <c r="W113" t="inlineStr">
        <is>
          <t>1991-12-17</t>
        </is>
      </c>
      <c r="X113" t="inlineStr">
        <is>
          <t>1991-12-17</t>
        </is>
      </c>
      <c r="Y113" t="n">
        <v>783</v>
      </c>
      <c r="Z113" t="n">
        <v>681</v>
      </c>
      <c r="AA113" t="n">
        <v>727</v>
      </c>
      <c r="AB113" t="n">
        <v>5</v>
      </c>
      <c r="AC113" t="n">
        <v>5</v>
      </c>
      <c r="AD113" t="n">
        <v>30</v>
      </c>
      <c r="AE113" t="n">
        <v>30</v>
      </c>
      <c r="AF113" t="n">
        <v>15</v>
      </c>
      <c r="AG113" t="n">
        <v>15</v>
      </c>
      <c r="AH113" t="n">
        <v>8</v>
      </c>
      <c r="AI113" t="n">
        <v>8</v>
      </c>
      <c r="AJ113" t="n">
        <v>12</v>
      </c>
      <c r="AK113" t="n">
        <v>12</v>
      </c>
      <c r="AL113" t="n">
        <v>3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HYPERLINK("http://catalog.hathitrust.org/Record/002215369","HathiTrust Record")</f>
        <v/>
      </c>
      <c r="AS113">
        <f>HYPERLINK("https://creighton-primo.hosted.exlibrisgroup.com/primo-explore/search?tab=default_tab&amp;search_scope=EVERYTHING&amp;vid=01CRU&amp;lang=en_US&amp;offset=0&amp;query=any,contains,991001691579702656","Catalog Record")</f>
        <v/>
      </c>
      <c r="AT113">
        <f>HYPERLINK("http://www.worldcat.org/oclc/21443460","WorldCat Record")</f>
        <v/>
      </c>
      <c r="AU113" t="inlineStr">
        <is>
          <t>198846309:eng</t>
        </is>
      </c>
      <c r="AV113" t="inlineStr">
        <is>
          <t>21443460</t>
        </is>
      </c>
      <c r="AW113" t="inlineStr">
        <is>
          <t>991001691579702656</t>
        </is>
      </c>
      <c r="AX113" t="inlineStr">
        <is>
          <t>991001691579702656</t>
        </is>
      </c>
      <c r="AY113" t="inlineStr">
        <is>
          <t>2255249520002656</t>
        </is>
      </c>
      <c r="AZ113" t="inlineStr">
        <is>
          <t>BOOK</t>
        </is>
      </c>
      <c r="BB113" t="inlineStr">
        <is>
          <t>9780465083589</t>
        </is>
      </c>
      <c r="BC113" t="inlineStr">
        <is>
          <t>32285000861103</t>
        </is>
      </c>
      <c r="BD113" t="inlineStr">
        <is>
          <t>893250402</t>
        </is>
      </c>
    </row>
    <row r="114">
      <c r="A114" t="inlineStr">
        <is>
          <t>No</t>
        </is>
      </c>
      <c r="B114" t="inlineStr">
        <is>
          <t>P119.3 .L32 1985</t>
        </is>
      </c>
      <c r="C114" t="inlineStr">
        <is>
          <t>0                      P  0119300L  32          1985</t>
        </is>
      </c>
      <c r="D114" t="inlineStr">
        <is>
          <t>Language and the nuclear arms debate : nukespeak today / edited by Paul Chilton.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London ; Dover, N.H. : F. Pinter, 1985.</t>
        </is>
      </c>
      <c r="M114" t="inlineStr">
        <is>
          <t>1985</t>
        </is>
      </c>
      <c r="O114" t="inlineStr">
        <is>
          <t>eng</t>
        </is>
      </c>
      <c r="P114" t="inlineStr">
        <is>
          <t>enk</t>
        </is>
      </c>
      <c r="R114" t="inlineStr">
        <is>
          <t xml:space="preserve">P  </t>
        </is>
      </c>
      <c r="S114" t="n">
        <v>1</v>
      </c>
      <c r="T114" t="n">
        <v>1</v>
      </c>
      <c r="U114" t="inlineStr">
        <is>
          <t>2003-05-01</t>
        </is>
      </c>
      <c r="V114" t="inlineStr">
        <is>
          <t>2003-05-01</t>
        </is>
      </c>
      <c r="W114" t="inlineStr">
        <is>
          <t>1993-04-01</t>
        </is>
      </c>
      <c r="X114" t="inlineStr">
        <is>
          <t>1993-04-01</t>
        </is>
      </c>
      <c r="Y114" t="n">
        <v>339</v>
      </c>
      <c r="Z114" t="n">
        <v>213</v>
      </c>
      <c r="AA114" t="n">
        <v>215</v>
      </c>
      <c r="AB114" t="n">
        <v>3</v>
      </c>
      <c r="AC114" t="n">
        <v>3</v>
      </c>
      <c r="AD114" t="n">
        <v>9</v>
      </c>
      <c r="AE114" t="n">
        <v>9</v>
      </c>
      <c r="AF114" t="n">
        <v>2</v>
      </c>
      <c r="AG114" t="n">
        <v>2</v>
      </c>
      <c r="AH114" t="n">
        <v>3</v>
      </c>
      <c r="AI114" t="n">
        <v>3</v>
      </c>
      <c r="AJ114" t="n">
        <v>3</v>
      </c>
      <c r="AK114" t="n">
        <v>3</v>
      </c>
      <c r="AL114" t="n">
        <v>2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HYPERLINK("http://catalog.hathitrust.org/Record/000464712","HathiTrust Record")</f>
        <v/>
      </c>
      <c r="AS114">
        <f>HYPERLINK("https://creighton-primo.hosted.exlibrisgroup.com/primo-explore/search?tab=default_tab&amp;search_scope=EVERYTHING&amp;vid=01CRU&amp;lang=en_US&amp;offset=0&amp;query=any,contains,991000641309702656","Catalog Record")</f>
        <v/>
      </c>
      <c r="AT114">
        <f>HYPERLINK("http://www.worldcat.org/oclc/12104515","WorldCat Record")</f>
        <v/>
      </c>
      <c r="AU114" t="inlineStr">
        <is>
          <t>836714596:eng</t>
        </is>
      </c>
      <c r="AV114" t="inlineStr">
        <is>
          <t>12104515</t>
        </is>
      </c>
      <c r="AW114" t="inlineStr">
        <is>
          <t>991000641309702656</t>
        </is>
      </c>
      <c r="AX114" t="inlineStr">
        <is>
          <t>991000641309702656</t>
        </is>
      </c>
      <c r="AY114" t="inlineStr">
        <is>
          <t>2260190500002656</t>
        </is>
      </c>
      <c r="AZ114" t="inlineStr">
        <is>
          <t>BOOK</t>
        </is>
      </c>
      <c r="BB114" t="inlineStr">
        <is>
          <t>9780861874644</t>
        </is>
      </c>
      <c r="BC114" t="inlineStr">
        <is>
          <t>32285001613263</t>
        </is>
      </c>
      <c r="BD114" t="inlineStr">
        <is>
          <t>893778096</t>
        </is>
      </c>
    </row>
    <row r="115">
      <c r="A115" t="inlineStr">
        <is>
          <t>No</t>
        </is>
      </c>
      <c r="B115" t="inlineStr">
        <is>
          <t>P119.315 .W55 1991</t>
        </is>
      </c>
      <c r="C115" t="inlineStr">
        <is>
          <t>0                      P  0119315W  55          1991</t>
        </is>
      </c>
      <c r="D115" t="inlineStr">
        <is>
          <t>Minority languages and bilingualism : case studies in maintenance and shift / Robert C. Williamson.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Williamson, Robert C. (Robert Clifford), 1916-2016.</t>
        </is>
      </c>
      <c r="L115" t="inlineStr">
        <is>
          <t>Norwood, N.J. : Ablex Pub. Corp., c1991.</t>
        </is>
      </c>
      <c r="M115" t="inlineStr">
        <is>
          <t>1991</t>
        </is>
      </c>
      <c r="O115" t="inlineStr">
        <is>
          <t>eng</t>
        </is>
      </c>
      <c r="P115" t="inlineStr">
        <is>
          <t>nju</t>
        </is>
      </c>
      <c r="R115" t="inlineStr">
        <is>
          <t xml:space="preserve">P  </t>
        </is>
      </c>
      <c r="S115" t="n">
        <v>4</v>
      </c>
      <c r="T115" t="n">
        <v>4</v>
      </c>
      <c r="U115" t="inlineStr">
        <is>
          <t>1999-12-01</t>
        </is>
      </c>
      <c r="V115" t="inlineStr">
        <is>
          <t>1999-12-01</t>
        </is>
      </c>
      <c r="W115" t="inlineStr">
        <is>
          <t>1997-03-18</t>
        </is>
      </c>
      <c r="X115" t="inlineStr">
        <is>
          <t>1997-03-18</t>
        </is>
      </c>
      <c r="Y115" t="n">
        <v>197</v>
      </c>
      <c r="Z115" t="n">
        <v>149</v>
      </c>
      <c r="AA115" t="n">
        <v>152</v>
      </c>
      <c r="AB115" t="n">
        <v>2</v>
      </c>
      <c r="AC115" t="n">
        <v>2</v>
      </c>
      <c r="AD115" t="n">
        <v>7</v>
      </c>
      <c r="AE115" t="n">
        <v>7</v>
      </c>
      <c r="AF115" t="n">
        <v>3</v>
      </c>
      <c r="AG115" t="n">
        <v>3</v>
      </c>
      <c r="AH115" t="n">
        <v>2</v>
      </c>
      <c r="AI115" t="n">
        <v>2</v>
      </c>
      <c r="AJ115" t="n">
        <v>4</v>
      </c>
      <c r="AK115" t="n">
        <v>4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HYPERLINK("http://catalog.hathitrust.org/Record/002594990","HathiTrust Record")</f>
        <v/>
      </c>
      <c r="AS115">
        <f>HYPERLINK("https://creighton-primo.hosted.exlibrisgroup.com/primo-explore/search?tab=default_tab&amp;search_scope=EVERYTHING&amp;vid=01CRU&amp;lang=en_US&amp;offset=0&amp;query=any,contains,991001824879702656","Catalog Record")</f>
        <v/>
      </c>
      <c r="AT115">
        <f>HYPERLINK("http://www.worldcat.org/oclc/22911555","WorldCat Record")</f>
        <v/>
      </c>
      <c r="AU115" t="inlineStr">
        <is>
          <t>143914252:eng</t>
        </is>
      </c>
      <c r="AV115" t="inlineStr">
        <is>
          <t>22911555</t>
        </is>
      </c>
      <c r="AW115" t="inlineStr">
        <is>
          <t>991001824879702656</t>
        </is>
      </c>
      <c r="AX115" t="inlineStr">
        <is>
          <t>991001824879702656</t>
        </is>
      </c>
      <c r="AY115" t="inlineStr">
        <is>
          <t>2268712020002656</t>
        </is>
      </c>
      <c r="AZ115" t="inlineStr">
        <is>
          <t>BOOK</t>
        </is>
      </c>
      <c r="BB115" t="inlineStr">
        <is>
          <t>9780893917661</t>
        </is>
      </c>
      <c r="BC115" t="inlineStr">
        <is>
          <t>32285002443785</t>
        </is>
      </c>
      <c r="BD115" t="inlineStr">
        <is>
          <t>893872830</t>
        </is>
      </c>
    </row>
    <row r="116">
      <c r="A116" t="inlineStr">
        <is>
          <t>No</t>
        </is>
      </c>
      <c r="B116" t="inlineStr">
        <is>
          <t>P119.32.A35 B35 2000</t>
        </is>
      </c>
      <c r="C116" t="inlineStr">
        <is>
          <t>0                      P  0119320A  35                 B  35          2000</t>
        </is>
      </c>
      <c r="D116" t="inlineStr">
        <is>
          <t>Language and exclusion : the consequences of language policies in Africa / Ayọ Bamgboṣe.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Bamgboṣe, Ayọ.</t>
        </is>
      </c>
      <c r="L116" t="inlineStr">
        <is>
          <t>Münster : Lit Verlag ; London : Global ; Piscataway, NJ : Distributed in North America by Transaction Publishers, [2000]</t>
        </is>
      </c>
      <c r="M116" t="inlineStr">
        <is>
          <t>2000</t>
        </is>
      </c>
      <c r="O116" t="inlineStr">
        <is>
          <t>eng</t>
        </is>
      </c>
      <c r="P116" t="inlineStr">
        <is>
          <t xml:space="preserve">gw </t>
        </is>
      </c>
      <c r="Q116" t="inlineStr">
        <is>
          <t>Beiträge zur Afrikanistik ; Bd. 12</t>
        </is>
      </c>
      <c r="R116" t="inlineStr">
        <is>
          <t xml:space="preserve">P  </t>
        </is>
      </c>
      <c r="S116" t="n">
        <v>1</v>
      </c>
      <c r="T116" t="n">
        <v>1</v>
      </c>
      <c r="U116" t="inlineStr">
        <is>
          <t>2004-05-18</t>
        </is>
      </c>
      <c r="V116" t="inlineStr">
        <is>
          <t>2004-05-18</t>
        </is>
      </c>
      <c r="W116" t="inlineStr">
        <is>
          <t>2004-05-18</t>
        </is>
      </c>
      <c r="X116" t="inlineStr">
        <is>
          <t>2004-05-18</t>
        </is>
      </c>
      <c r="Y116" t="n">
        <v>146</v>
      </c>
      <c r="Z116" t="n">
        <v>117</v>
      </c>
      <c r="AA116" t="n">
        <v>117</v>
      </c>
      <c r="AB116" t="n">
        <v>3</v>
      </c>
      <c r="AC116" t="n">
        <v>3</v>
      </c>
      <c r="AD116" t="n">
        <v>5</v>
      </c>
      <c r="AE116" t="n">
        <v>5</v>
      </c>
      <c r="AF116" t="n">
        <v>0</v>
      </c>
      <c r="AG116" t="n">
        <v>0</v>
      </c>
      <c r="AH116" t="n">
        <v>3</v>
      </c>
      <c r="AI116" t="n">
        <v>3</v>
      </c>
      <c r="AJ116" t="n">
        <v>2</v>
      </c>
      <c r="AK116" t="n">
        <v>2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HYPERLINK("https://creighton-primo.hosted.exlibrisgroup.com/primo-explore/search?tab=default_tab&amp;search_scope=EVERYTHING&amp;vid=01CRU&amp;lang=en_US&amp;offset=0&amp;query=any,contains,991004269159702656","Catalog Record")</f>
        <v/>
      </c>
      <c r="AT116">
        <f>HYPERLINK("http://www.worldcat.org/oclc/44152491","WorldCat Record")</f>
        <v/>
      </c>
      <c r="AU116" t="inlineStr">
        <is>
          <t>256536372:eng</t>
        </is>
      </c>
      <c r="AV116" t="inlineStr">
        <is>
          <t>44152491</t>
        </is>
      </c>
      <c r="AW116" t="inlineStr">
        <is>
          <t>991004269159702656</t>
        </is>
      </c>
      <c r="AX116" t="inlineStr">
        <is>
          <t>991004269159702656</t>
        </is>
      </c>
      <c r="AY116" t="inlineStr">
        <is>
          <t>2262039360002656</t>
        </is>
      </c>
      <c r="AZ116" t="inlineStr">
        <is>
          <t>BOOK</t>
        </is>
      </c>
      <c r="BB116" t="inlineStr">
        <is>
          <t>9783825847753</t>
        </is>
      </c>
      <c r="BC116" t="inlineStr">
        <is>
          <t>32285004906326</t>
        </is>
      </c>
      <c r="BD116" t="inlineStr">
        <is>
          <t>893782048</t>
        </is>
      </c>
    </row>
    <row r="117">
      <c r="A117" t="inlineStr">
        <is>
          <t>No</t>
        </is>
      </c>
      <c r="B117" t="inlineStr">
        <is>
          <t>P119.32.A783 L36 2001</t>
        </is>
      </c>
      <c r="C117" t="inlineStr">
        <is>
          <t>0                      P  0119320A  783                L  36          2001</t>
        </is>
      </c>
      <c r="D117" t="inlineStr">
        <is>
          <t>Politics of language in the ex-Soviet Muslim states : Azerbayjan, Uzbekistan, Kazakhstan, Kyrgyzstan, Turkmenistan, and Tajikistan / Jacob M. Landau, Barbara Kellner-Heinkele.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Landau, Jacob M.</t>
        </is>
      </c>
      <c r="L117" t="inlineStr">
        <is>
          <t>Ann Arbor : University of Michigan Press, 2001.</t>
        </is>
      </c>
      <c r="M117" t="inlineStr">
        <is>
          <t>2001</t>
        </is>
      </c>
      <c r="O117" t="inlineStr">
        <is>
          <t>eng</t>
        </is>
      </c>
      <c r="P117" t="inlineStr">
        <is>
          <t>miu</t>
        </is>
      </c>
      <c r="R117" t="inlineStr">
        <is>
          <t xml:space="preserve">P  </t>
        </is>
      </c>
      <c r="S117" t="n">
        <v>2</v>
      </c>
      <c r="T117" t="n">
        <v>2</v>
      </c>
      <c r="U117" t="inlineStr">
        <is>
          <t>2008-02-05</t>
        </is>
      </c>
      <c r="V117" t="inlineStr">
        <is>
          <t>2008-02-05</t>
        </is>
      </c>
      <c r="W117" t="inlineStr">
        <is>
          <t>2002-11-04</t>
        </is>
      </c>
      <c r="X117" t="inlineStr">
        <is>
          <t>2002-11-04</t>
        </is>
      </c>
      <c r="Y117" t="n">
        <v>261</v>
      </c>
      <c r="Z117" t="n">
        <v>222</v>
      </c>
      <c r="AA117" t="n">
        <v>238</v>
      </c>
      <c r="AB117" t="n">
        <v>4</v>
      </c>
      <c r="AC117" t="n">
        <v>4</v>
      </c>
      <c r="AD117" t="n">
        <v>10</v>
      </c>
      <c r="AE117" t="n">
        <v>11</v>
      </c>
      <c r="AF117" t="n">
        <v>3</v>
      </c>
      <c r="AG117" t="n">
        <v>3</v>
      </c>
      <c r="AH117" t="n">
        <v>3</v>
      </c>
      <c r="AI117" t="n">
        <v>4</v>
      </c>
      <c r="AJ117" t="n">
        <v>4</v>
      </c>
      <c r="AK117" t="n">
        <v>5</v>
      </c>
      <c r="AL117" t="n">
        <v>3</v>
      </c>
      <c r="AM117" t="n">
        <v>3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HYPERLINK("https://creighton-primo.hosted.exlibrisgroup.com/primo-explore/search?tab=default_tab&amp;search_scope=EVERYTHING&amp;vid=01CRU&amp;lang=en_US&amp;offset=0&amp;query=any,contains,991003892219702656","Catalog Record")</f>
        <v/>
      </c>
      <c r="AT117">
        <f>HYPERLINK("http://www.worldcat.org/oclc/46456374","WorldCat Record")</f>
        <v/>
      </c>
      <c r="AU117" t="inlineStr">
        <is>
          <t>1810443399:eng</t>
        </is>
      </c>
      <c r="AV117" t="inlineStr">
        <is>
          <t>46456374</t>
        </is>
      </c>
      <c r="AW117" t="inlineStr">
        <is>
          <t>991003892219702656</t>
        </is>
      </c>
      <c r="AX117" t="inlineStr">
        <is>
          <t>991003892219702656</t>
        </is>
      </c>
      <c r="AY117" t="inlineStr">
        <is>
          <t>2257692150002656</t>
        </is>
      </c>
      <c r="AZ117" t="inlineStr">
        <is>
          <t>BOOK</t>
        </is>
      </c>
      <c r="BB117" t="inlineStr">
        <is>
          <t>9780472112265</t>
        </is>
      </c>
      <c r="BC117" t="inlineStr">
        <is>
          <t>32285004659271</t>
        </is>
      </c>
      <c r="BD117" t="inlineStr">
        <is>
          <t>893810248</t>
        </is>
      </c>
    </row>
    <row r="118">
      <c r="A118" t="inlineStr">
        <is>
          <t>No</t>
        </is>
      </c>
      <c r="B118" t="inlineStr">
        <is>
          <t>P119.32.U6 C73 1992</t>
        </is>
      </c>
      <c r="C118" t="inlineStr">
        <is>
          <t>0                      P  0119320U  6                  C  73          1992</t>
        </is>
      </c>
      <c r="D118" t="inlineStr">
        <is>
          <t>Hold your tongue : bilingualism and the politics of English only / James Crawford.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Crawford, James, 1949-</t>
        </is>
      </c>
      <c r="L118" t="inlineStr">
        <is>
          <t>Reading, Mass. : Addison-Wesley, c1992.</t>
        </is>
      </c>
      <c r="M118" t="inlineStr">
        <is>
          <t>1992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P  </t>
        </is>
      </c>
      <c r="S118" t="n">
        <v>16</v>
      </c>
      <c r="T118" t="n">
        <v>16</v>
      </c>
      <c r="U118" t="inlineStr">
        <is>
          <t>2009-04-28</t>
        </is>
      </c>
      <c r="V118" t="inlineStr">
        <is>
          <t>2009-04-28</t>
        </is>
      </c>
      <c r="W118" t="inlineStr">
        <is>
          <t>1992-09-28</t>
        </is>
      </c>
      <c r="X118" t="inlineStr">
        <is>
          <t>1992-09-28</t>
        </is>
      </c>
      <c r="Y118" t="n">
        <v>806</v>
      </c>
      <c r="Z118" t="n">
        <v>730</v>
      </c>
      <c r="AA118" t="n">
        <v>751</v>
      </c>
      <c r="AB118" t="n">
        <v>4</v>
      </c>
      <c r="AC118" t="n">
        <v>4</v>
      </c>
      <c r="AD118" t="n">
        <v>25</v>
      </c>
      <c r="AE118" t="n">
        <v>25</v>
      </c>
      <c r="AF118" t="n">
        <v>9</v>
      </c>
      <c r="AG118" t="n">
        <v>9</v>
      </c>
      <c r="AH118" t="n">
        <v>7</v>
      </c>
      <c r="AI118" t="n">
        <v>7</v>
      </c>
      <c r="AJ118" t="n">
        <v>13</v>
      </c>
      <c r="AK118" t="n">
        <v>13</v>
      </c>
      <c r="AL118" t="n">
        <v>2</v>
      </c>
      <c r="AM118" t="n">
        <v>2</v>
      </c>
      <c r="AN118" t="n">
        <v>1</v>
      </c>
      <c r="AO118" t="n">
        <v>1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HYPERLINK("http://catalog.hathitrust.org/Record/002615279","HathiTrust Record")</f>
        <v/>
      </c>
      <c r="AS118">
        <f>HYPERLINK("https://creighton-primo.hosted.exlibrisgroup.com/primo-explore/search?tab=default_tab&amp;search_scope=EVERYTHING&amp;vid=01CRU&amp;lang=en_US&amp;offset=0&amp;query=any,contains,991001977899702656","Catalog Record")</f>
        <v/>
      </c>
      <c r="AT118">
        <f>HYPERLINK("http://www.worldcat.org/oclc/25094006","WorldCat Record")</f>
        <v/>
      </c>
      <c r="AU118" t="inlineStr">
        <is>
          <t>827482262:eng</t>
        </is>
      </c>
      <c r="AV118" t="inlineStr">
        <is>
          <t>25094006</t>
        </is>
      </c>
      <c r="AW118" t="inlineStr">
        <is>
          <t>991001977899702656</t>
        </is>
      </c>
      <c r="AX118" t="inlineStr">
        <is>
          <t>991001977899702656</t>
        </is>
      </c>
      <c r="AY118" t="inlineStr">
        <is>
          <t>2262286730002656</t>
        </is>
      </c>
      <c r="AZ118" t="inlineStr">
        <is>
          <t>BOOK</t>
        </is>
      </c>
      <c r="BB118" t="inlineStr">
        <is>
          <t>9780201550443</t>
        </is>
      </c>
      <c r="BC118" t="inlineStr">
        <is>
          <t>32285001289619</t>
        </is>
      </c>
      <c r="BD118" t="inlineStr">
        <is>
          <t>893703524</t>
        </is>
      </c>
    </row>
    <row r="119">
      <c r="A119" t="inlineStr">
        <is>
          <t>No</t>
        </is>
      </c>
      <c r="B119" t="inlineStr">
        <is>
          <t>P119.32.U6 L36 1992</t>
        </is>
      </c>
      <c r="C119" t="inlineStr">
        <is>
          <t>0                      P  0119320U  6                  L  36          1992</t>
        </is>
      </c>
      <c r="D119" t="inlineStr">
        <is>
          <t>Language loyalties : a source book on the official English controversy / edited by James Crawford ; with an afterword by Geoffrey Nunberg.</t>
        </is>
      </c>
      <c r="F119" t="inlineStr">
        <is>
          <t>No</t>
        </is>
      </c>
      <c r="G119" t="inlineStr">
        <is>
          <t>1</t>
        </is>
      </c>
      <c r="H119" t="inlineStr">
        <is>
          <t>Yes</t>
        </is>
      </c>
      <c r="I119" t="inlineStr">
        <is>
          <t>No</t>
        </is>
      </c>
      <c r="J119" t="inlineStr">
        <is>
          <t>0</t>
        </is>
      </c>
      <c r="L119" t="inlineStr">
        <is>
          <t>Chicago : University of Chicago Press, 1992.</t>
        </is>
      </c>
      <c r="M119" t="inlineStr">
        <is>
          <t>1992</t>
        </is>
      </c>
      <c r="O119" t="inlineStr">
        <is>
          <t>eng</t>
        </is>
      </c>
      <c r="P119" t="inlineStr">
        <is>
          <t>ilu</t>
        </is>
      </c>
      <c r="R119" t="inlineStr">
        <is>
          <t xml:space="preserve">P  </t>
        </is>
      </c>
      <c r="S119" t="n">
        <v>12</v>
      </c>
      <c r="T119" t="n">
        <v>14</v>
      </c>
      <c r="U119" t="inlineStr">
        <is>
          <t>2009-04-28</t>
        </is>
      </c>
      <c r="V119" t="inlineStr">
        <is>
          <t>2009-04-29</t>
        </is>
      </c>
      <c r="W119" t="inlineStr">
        <is>
          <t>1993-02-24</t>
        </is>
      </c>
      <c r="X119" t="inlineStr">
        <is>
          <t>1993-02-24</t>
        </is>
      </c>
      <c r="Y119" t="n">
        <v>896</v>
      </c>
      <c r="Z119" t="n">
        <v>804</v>
      </c>
      <c r="AA119" t="n">
        <v>804</v>
      </c>
      <c r="AB119" t="n">
        <v>5</v>
      </c>
      <c r="AC119" t="n">
        <v>5</v>
      </c>
      <c r="AD119" t="n">
        <v>34</v>
      </c>
      <c r="AE119" t="n">
        <v>34</v>
      </c>
      <c r="AF119" t="n">
        <v>11</v>
      </c>
      <c r="AG119" t="n">
        <v>11</v>
      </c>
      <c r="AH119" t="n">
        <v>5</v>
      </c>
      <c r="AI119" t="n">
        <v>5</v>
      </c>
      <c r="AJ119" t="n">
        <v>17</v>
      </c>
      <c r="AK119" t="n">
        <v>17</v>
      </c>
      <c r="AL119" t="n">
        <v>2</v>
      </c>
      <c r="AM119" t="n">
        <v>2</v>
      </c>
      <c r="AN119" t="n">
        <v>7</v>
      </c>
      <c r="AO119" t="n">
        <v>7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HYPERLINK("https://creighton-primo.hosted.exlibrisgroup.com/primo-explore/search?tab=default_tab&amp;search_scope=EVERYTHING&amp;vid=01CRU&amp;lang=en_US&amp;offset=0&amp;query=any,contains,991001650219702656","Catalog Record")</f>
        <v/>
      </c>
      <c r="AT119">
        <f>HYPERLINK("http://www.worldcat.org/oclc/24320930","WorldCat Record")</f>
        <v/>
      </c>
      <c r="AU119" t="inlineStr">
        <is>
          <t>836901703:eng</t>
        </is>
      </c>
      <c r="AV119" t="inlineStr">
        <is>
          <t>24320930</t>
        </is>
      </c>
      <c r="AW119" t="inlineStr">
        <is>
          <t>991001650219702656</t>
        </is>
      </c>
      <c r="AX119" t="inlineStr">
        <is>
          <t>991001650219702656</t>
        </is>
      </c>
      <c r="AY119" t="inlineStr">
        <is>
          <t>2272628400002656</t>
        </is>
      </c>
      <c r="AZ119" t="inlineStr">
        <is>
          <t>BOOK</t>
        </is>
      </c>
      <c r="BB119" t="inlineStr">
        <is>
          <t>9780226120157</t>
        </is>
      </c>
      <c r="BC119" t="inlineStr">
        <is>
          <t>32285001496669</t>
        </is>
      </c>
      <c r="BD119" t="inlineStr">
        <is>
          <t>893785281</t>
        </is>
      </c>
    </row>
    <row r="120">
      <c r="A120" t="inlineStr">
        <is>
          <t>No</t>
        </is>
      </c>
      <c r="B120" t="inlineStr">
        <is>
          <t>P120.R32 D57 1988</t>
        </is>
      </c>
      <c r="C120" t="inlineStr">
        <is>
          <t>0                      P  0120000R  32                 D  57          1988</t>
        </is>
      </c>
      <c r="D120" t="inlineStr">
        <is>
          <t>Discourse and discrimination / edited by Geneva Smitherman-Donaldson and Teun A. van Dijk.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Detriot : Wayne State University Press, 1988.</t>
        </is>
      </c>
      <c r="M120" t="inlineStr">
        <is>
          <t>1988</t>
        </is>
      </c>
      <c r="O120" t="inlineStr">
        <is>
          <t>eng</t>
        </is>
      </c>
      <c r="P120" t="inlineStr">
        <is>
          <t>miu</t>
        </is>
      </c>
      <c r="R120" t="inlineStr">
        <is>
          <t xml:space="preserve">P  </t>
        </is>
      </c>
      <c r="S120" t="n">
        <v>12</v>
      </c>
      <c r="T120" t="n">
        <v>12</v>
      </c>
      <c r="U120" t="inlineStr">
        <is>
          <t>2004-03-29</t>
        </is>
      </c>
      <c r="V120" t="inlineStr">
        <is>
          <t>2004-03-29</t>
        </is>
      </c>
      <c r="W120" t="inlineStr">
        <is>
          <t>1990-06-20</t>
        </is>
      </c>
      <c r="X120" t="inlineStr">
        <is>
          <t>1990-06-20</t>
        </is>
      </c>
      <c r="Y120" t="n">
        <v>434</v>
      </c>
      <c r="Z120" t="n">
        <v>360</v>
      </c>
      <c r="AA120" t="n">
        <v>360</v>
      </c>
      <c r="AB120" t="n">
        <v>4</v>
      </c>
      <c r="AC120" t="n">
        <v>4</v>
      </c>
      <c r="AD120" t="n">
        <v>24</v>
      </c>
      <c r="AE120" t="n">
        <v>24</v>
      </c>
      <c r="AF120" t="n">
        <v>9</v>
      </c>
      <c r="AG120" t="n">
        <v>9</v>
      </c>
      <c r="AH120" t="n">
        <v>4</v>
      </c>
      <c r="AI120" t="n">
        <v>4</v>
      </c>
      <c r="AJ120" t="n">
        <v>15</v>
      </c>
      <c r="AK120" t="n">
        <v>15</v>
      </c>
      <c r="AL120" t="n">
        <v>3</v>
      </c>
      <c r="AM120" t="n">
        <v>3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HYPERLINK("https://creighton-primo.hosted.exlibrisgroup.com/primo-explore/search?tab=default_tab&amp;search_scope=EVERYTHING&amp;vid=01CRU&amp;lang=en_US&amp;offset=0&amp;query=any,contains,991001206509702656","Catalog Record")</f>
        <v/>
      </c>
      <c r="AT120">
        <f>HYPERLINK("http://www.worldcat.org/oclc/17353926","WorldCat Record")</f>
        <v/>
      </c>
      <c r="AU120" t="inlineStr">
        <is>
          <t>15450725:eng</t>
        </is>
      </c>
      <c r="AV120" t="inlineStr">
        <is>
          <t>17353926</t>
        </is>
      </c>
      <c r="AW120" t="inlineStr">
        <is>
          <t>991001206509702656</t>
        </is>
      </c>
      <c r="AX120" t="inlineStr">
        <is>
          <t>991001206509702656</t>
        </is>
      </c>
      <c r="AY120" t="inlineStr">
        <is>
          <t>2267947600002656</t>
        </is>
      </c>
      <c r="AZ120" t="inlineStr">
        <is>
          <t>BOOK</t>
        </is>
      </c>
      <c r="BB120" t="inlineStr">
        <is>
          <t>9780814319581</t>
        </is>
      </c>
      <c r="BC120" t="inlineStr">
        <is>
          <t>32285000210517</t>
        </is>
      </c>
      <c r="BD120" t="inlineStr">
        <is>
          <t>893602419</t>
        </is>
      </c>
    </row>
    <row r="121">
      <c r="A121" t="inlineStr">
        <is>
          <t>No</t>
        </is>
      </c>
      <c r="B121" t="inlineStr">
        <is>
          <t>P120.S48 C6 1986</t>
        </is>
      </c>
      <c r="C121" t="inlineStr">
        <is>
          <t>0                      P  0120000S  48                 C  6           1986</t>
        </is>
      </c>
      <c r="D121" t="inlineStr">
        <is>
          <t>Cleaning up sexist language.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Chicago, Ill. : 8th Day Center for Justice, 1986.</t>
        </is>
      </c>
      <c r="M121" t="inlineStr">
        <is>
          <t>1986</t>
        </is>
      </c>
      <c r="N121" t="inlineStr">
        <is>
          <t>Rev. ed.</t>
        </is>
      </c>
      <c r="O121" t="inlineStr">
        <is>
          <t>eng</t>
        </is>
      </c>
      <c r="P121" t="inlineStr">
        <is>
          <t>ilu</t>
        </is>
      </c>
      <c r="R121" t="inlineStr">
        <is>
          <t xml:space="preserve">P  </t>
        </is>
      </c>
      <c r="S121" t="n">
        <v>15</v>
      </c>
      <c r="T121" t="n">
        <v>15</v>
      </c>
      <c r="U121" t="inlineStr">
        <is>
          <t>2000-01-24</t>
        </is>
      </c>
      <c r="V121" t="inlineStr">
        <is>
          <t>2000-01-24</t>
        </is>
      </c>
      <c r="W121" t="inlineStr">
        <is>
          <t>1990-07-03</t>
        </is>
      </c>
      <c r="X121" t="inlineStr">
        <is>
          <t>1990-07-03</t>
        </is>
      </c>
      <c r="Y121" t="n">
        <v>11</v>
      </c>
      <c r="Z121" t="n">
        <v>10</v>
      </c>
      <c r="AA121" t="n">
        <v>33</v>
      </c>
      <c r="AB121" t="n">
        <v>1</v>
      </c>
      <c r="AC121" t="n">
        <v>1</v>
      </c>
      <c r="AD121" t="n">
        <v>1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HYPERLINK("https://creighton-primo.hosted.exlibrisgroup.com/primo-explore/search?tab=default_tab&amp;search_scope=EVERYTHING&amp;vid=01CRU&amp;lang=en_US&amp;offset=0&amp;query=any,contains,991001040109702656","Catalog Record")</f>
        <v/>
      </c>
      <c r="AT121">
        <f>HYPERLINK("http://www.worldcat.org/oclc/15586766","WorldCat Record")</f>
        <v/>
      </c>
      <c r="AU121" t="inlineStr">
        <is>
          <t>3149668576:eng</t>
        </is>
      </c>
      <c r="AV121" t="inlineStr">
        <is>
          <t>15586766</t>
        </is>
      </c>
      <c r="AW121" t="inlineStr">
        <is>
          <t>991001040109702656</t>
        </is>
      </c>
      <c r="AX121" t="inlineStr">
        <is>
          <t>991001040109702656</t>
        </is>
      </c>
      <c r="AY121" t="inlineStr">
        <is>
          <t>2256346600002656</t>
        </is>
      </c>
      <c r="AZ121" t="inlineStr">
        <is>
          <t>BOOK</t>
        </is>
      </c>
      <c r="BC121" t="inlineStr">
        <is>
          <t>32285000220813</t>
        </is>
      </c>
      <c r="BD121" t="inlineStr">
        <is>
          <t>893528616</t>
        </is>
      </c>
    </row>
    <row r="122">
      <c r="A122" t="inlineStr">
        <is>
          <t>No</t>
        </is>
      </c>
      <c r="B122" t="inlineStr">
        <is>
          <t>P120.S48 E4 1982</t>
        </is>
      </c>
      <c r="C122" t="inlineStr">
        <is>
          <t>0                      P  0120000S  48                 E  4           1982</t>
        </is>
      </c>
      <c r="D122" t="inlineStr">
        <is>
          <t>The language of Canaan and the grammar of feminism / by Vernard Eller.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Eller, Vernard.</t>
        </is>
      </c>
      <c r="L122" t="inlineStr">
        <is>
          <t>Grand Rapids, Mich. : W.B. Eerdmans, c1982.</t>
        </is>
      </c>
      <c r="M122" t="inlineStr">
        <is>
          <t>1982</t>
        </is>
      </c>
      <c r="O122" t="inlineStr">
        <is>
          <t>eng</t>
        </is>
      </c>
      <c r="P122" t="inlineStr">
        <is>
          <t>miu</t>
        </is>
      </c>
      <c r="R122" t="inlineStr">
        <is>
          <t xml:space="preserve">P  </t>
        </is>
      </c>
      <c r="S122" t="n">
        <v>6</v>
      </c>
      <c r="T122" t="n">
        <v>6</v>
      </c>
      <c r="U122" t="inlineStr">
        <is>
          <t>2002-02-25</t>
        </is>
      </c>
      <c r="V122" t="inlineStr">
        <is>
          <t>2002-02-25</t>
        </is>
      </c>
      <c r="W122" t="inlineStr">
        <is>
          <t>1992-04-24</t>
        </is>
      </c>
      <c r="X122" t="inlineStr">
        <is>
          <t>1992-04-24</t>
        </is>
      </c>
      <c r="Y122" t="n">
        <v>271</v>
      </c>
      <c r="Z122" t="n">
        <v>232</v>
      </c>
      <c r="AA122" t="n">
        <v>233</v>
      </c>
      <c r="AB122" t="n">
        <v>1</v>
      </c>
      <c r="AC122" t="n">
        <v>1</v>
      </c>
      <c r="AD122" t="n">
        <v>11</v>
      </c>
      <c r="AE122" t="n">
        <v>11</v>
      </c>
      <c r="AF122" t="n">
        <v>2</v>
      </c>
      <c r="AG122" t="n">
        <v>2</v>
      </c>
      <c r="AH122" t="n">
        <v>2</v>
      </c>
      <c r="AI122" t="n">
        <v>2</v>
      </c>
      <c r="AJ122" t="n">
        <v>9</v>
      </c>
      <c r="AK122" t="n">
        <v>9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HYPERLINK("https://creighton-primo.hosted.exlibrisgroup.com/primo-explore/search?tab=default_tab&amp;search_scope=EVERYTHING&amp;vid=01CRU&amp;lang=en_US&amp;offset=0&amp;query=any,contains,991005208299702656","Catalog Record")</f>
        <v/>
      </c>
      <c r="AT122">
        <f>HYPERLINK("http://www.worldcat.org/oclc/8133269","WorldCat Record")</f>
        <v/>
      </c>
      <c r="AU122" t="inlineStr">
        <is>
          <t>454665:eng</t>
        </is>
      </c>
      <c r="AV122" t="inlineStr">
        <is>
          <t>8133269</t>
        </is>
      </c>
      <c r="AW122" t="inlineStr">
        <is>
          <t>991005208299702656</t>
        </is>
      </c>
      <c r="AX122" t="inlineStr">
        <is>
          <t>991005208299702656</t>
        </is>
      </c>
      <c r="AY122" t="inlineStr">
        <is>
          <t>2265424090002656</t>
        </is>
      </c>
      <c r="AZ122" t="inlineStr">
        <is>
          <t>BOOK</t>
        </is>
      </c>
      <c r="BB122" t="inlineStr">
        <is>
          <t>9780802819024</t>
        </is>
      </c>
      <c r="BC122" t="inlineStr">
        <is>
          <t>32285001071314</t>
        </is>
      </c>
      <c r="BD122" t="inlineStr">
        <is>
          <t>893230377</t>
        </is>
      </c>
    </row>
    <row r="123">
      <c r="A123" t="inlineStr">
        <is>
          <t>No</t>
        </is>
      </c>
      <c r="B123" t="inlineStr">
        <is>
          <t>P120.S48 L35 1987</t>
        </is>
      </c>
      <c r="C123" t="inlineStr">
        <is>
          <t>0                      P  0120000S  48                 L  35          1987</t>
        </is>
      </c>
      <c r="D123" t="inlineStr">
        <is>
          <t>Language, gender, and sex in comparative perspective / edited by Susan U. Philips, Susan Steele, and Christine Tanz.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Cambridge ; New York : Cambridge University Press, 1987.</t>
        </is>
      </c>
      <c r="M123" t="inlineStr">
        <is>
          <t>1987</t>
        </is>
      </c>
      <c r="O123" t="inlineStr">
        <is>
          <t>eng</t>
        </is>
      </c>
      <c r="P123" t="inlineStr">
        <is>
          <t>enk</t>
        </is>
      </c>
      <c r="Q123" t="inlineStr">
        <is>
          <t>Studies in the social and cultural foundations of language ; no. 4</t>
        </is>
      </c>
      <c r="R123" t="inlineStr">
        <is>
          <t xml:space="preserve">P  </t>
        </is>
      </c>
      <c r="S123" t="n">
        <v>1</v>
      </c>
      <c r="T123" t="n">
        <v>1</v>
      </c>
      <c r="U123" t="inlineStr">
        <is>
          <t>2008-03-25</t>
        </is>
      </c>
      <c r="V123" t="inlineStr">
        <is>
          <t>2008-03-25</t>
        </is>
      </c>
      <c r="W123" t="inlineStr">
        <is>
          <t>2008-03-25</t>
        </is>
      </c>
      <c r="X123" t="inlineStr">
        <is>
          <t>2008-03-25</t>
        </is>
      </c>
      <c r="Y123" t="n">
        <v>720</v>
      </c>
      <c r="Z123" t="n">
        <v>492</v>
      </c>
      <c r="AA123" t="n">
        <v>504</v>
      </c>
      <c r="AB123" t="n">
        <v>2</v>
      </c>
      <c r="AC123" t="n">
        <v>2</v>
      </c>
      <c r="AD123" t="n">
        <v>25</v>
      </c>
      <c r="AE123" t="n">
        <v>25</v>
      </c>
      <c r="AF123" t="n">
        <v>13</v>
      </c>
      <c r="AG123" t="n">
        <v>13</v>
      </c>
      <c r="AH123" t="n">
        <v>6</v>
      </c>
      <c r="AI123" t="n">
        <v>6</v>
      </c>
      <c r="AJ123" t="n">
        <v>12</v>
      </c>
      <c r="AK123" t="n">
        <v>12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HYPERLINK("https://creighton-primo.hosted.exlibrisgroup.com/primo-explore/search?tab=default_tab&amp;search_scope=EVERYTHING&amp;vid=01CRU&amp;lang=en_US&amp;offset=0&amp;query=any,contains,991005194389702656","Catalog Record")</f>
        <v/>
      </c>
      <c r="AT123">
        <f>HYPERLINK("http://www.worldcat.org/oclc/13823346","WorldCat Record")</f>
        <v/>
      </c>
      <c r="AU123" t="inlineStr">
        <is>
          <t>351932373:eng</t>
        </is>
      </c>
      <c r="AV123" t="inlineStr">
        <is>
          <t>13823346</t>
        </is>
      </c>
      <c r="AW123" t="inlineStr">
        <is>
          <t>991005194389702656</t>
        </is>
      </c>
      <c r="AX123" t="inlineStr">
        <is>
          <t>991005194389702656</t>
        </is>
      </c>
      <c r="AY123" t="inlineStr">
        <is>
          <t>2267652850002656</t>
        </is>
      </c>
      <c r="AZ123" t="inlineStr">
        <is>
          <t>BOOK</t>
        </is>
      </c>
      <c r="BB123" t="inlineStr">
        <is>
          <t>9780521328494</t>
        </is>
      </c>
      <c r="BC123" t="inlineStr">
        <is>
          <t>32285005398283</t>
        </is>
      </c>
      <c r="BD123" t="inlineStr">
        <is>
          <t>893501477</t>
        </is>
      </c>
    </row>
    <row r="124">
      <c r="A124" t="inlineStr">
        <is>
          <t>No</t>
        </is>
      </c>
      <c r="B124" t="inlineStr">
        <is>
          <t>P120.S48 L36 1983</t>
        </is>
      </c>
      <c r="C124" t="inlineStr">
        <is>
          <t>0                      P  0120000S  48                 L  36          1983</t>
        </is>
      </c>
      <c r="D124" t="inlineStr">
        <is>
          <t>Language, gender, and society / edited by Barrie Thorne, Cheris Kramarae, Nancy Henley.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Rowley, Mass. : Newbury House, 1983.</t>
        </is>
      </c>
      <c r="M124" t="inlineStr">
        <is>
          <t>1983</t>
        </is>
      </c>
      <c r="O124" t="inlineStr">
        <is>
          <t>eng</t>
        </is>
      </c>
      <c r="P124" t="inlineStr">
        <is>
          <t>mau</t>
        </is>
      </c>
      <c r="R124" t="inlineStr">
        <is>
          <t xml:space="preserve">P  </t>
        </is>
      </c>
      <c r="S124" t="n">
        <v>27</v>
      </c>
      <c r="T124" t="n">
        <v>27</v>
      </c>
      <c r="U124" t="inlineStr">
        <is>
          <t>2004-02-27</t>
        </is>
      </c>
      <c r="V124" t="inlineStr">
        <is>
          <t>2004-02-27</t>
        </is>
      </c>
      <c r="W124" t="inlineStr">
        <is>
          <t>1990-03-29</t>
        </is>
      </c>
      <c r="X124" t="inlineStr">
        <is>
          <t>1990-03-29</t>
        </is>
      </c>
      <c r="Y124" t="n">
        <v>730</v>
      </c>
      <c r="Z124" t="n">
        <v>570</v>
      </c>
      <c r="AA124" t="n">
        <v>620</v>
      </c>
      <c r="AB124" t="n">
        <v>7</v>
      </c>
      <c r="AC124" t="n">
        <v>7</v>
      </c>
      <c r="AD124" t="n">
        <v>34</v>
      </c>
      <c r="AE124" t="n">
        <v>36</v>
      </c>
      <c r="AF124" t="n">
        <v>16</v>
      </c>
      <c r="AG124" t="n">
        <v>18</v>
      </c>
      <c r="AH124" t="n">
        <v>8</v>
      </c>
      <c r="AI124" t="n">
        <v>8</v>
      </c>
      <c r="AJ124" t="n">
        <v>12</v>
      </c>
      <c r="AK124" t="n">
        <v>13</v>
      </c>
      <c r="AL124" t="n">
        <v>6</v>
      </c>
      <c r="AM124" t="n">
        <v>6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HYPERLINK("http://catalog.hathitrust.org/Record/000366990","HathiTrust Record")</f>
        <v/>
      </c>
      <c r="AS124">
        <f>HYPERLINK("https://creighton-primo.hosted.exlibrisgroup.com/primo-explore/search?tab=default_tab&amp;search_scope=EVERYTHING&amp;vid=01CRU&amp;lang=en_US&amp;offset=0&amp;query=any,contains,991000126029702656","Catalog Record")</f>
        <v/>
      </c>
      <c r="AT124">
        <f>HYPERLINK("http://www.worldcat.org/oclc/9082933","WorldCat Record")</f>
        <v/>
      </c>
      <c r="AU124" t="inlineStr">
        <is>
          <t>350160757:eng</t>
        </is>
      </c>
      <c r="AV124" t="inlineStr">
        <is>
          <t>9082933</t>
        </is>
      </c>
      <c r="AW124" t="inlineStr">
        <is>
          <t>991000126029702656</t>
        </is>
      </c>
      <c r="AX124" t="inlineStr">
        <is>
          <t>991000126029702656</t>
        </is>
      </c>
      <c r="AY124" t="inlineStr">
        <is>
          <t>2254904750002656</t>
        </is>
      </c>
      <c r="AZ124" t="inlineStr">
        <is>
          <t>BOOK</t>
        </is>
      </c>
      <c r="BB124" t="inlineStr">
        <is>
          <t>9780883772683</t>
        </is>
      </c>
      <c r="BC124" t="inlineStr">
        <is>
          <t>32285000105444</t>
        </is>
      </c>
      <c r="BD124" t="inlineStr">
        <is>
          <t>893327045</t>
        </is>
      </c>
    </row>
    <row r="125">
      <c r="A125" t="inlineStr">
        <is>
          <t>No</t>
        </is>
      </c>
      <c r="B125" t="inlineStr">
        <is>
          <t>P120.S48 S57 1990</t>
        </is>
      </c>
      <c r="C125" t="inlineStr">
        <is>
          <t>0                      P  0120000S  48                 S  57          1990</t>
        </is>
      </c>
      <c r="D125" t="inlineStr">
        <is>
          <t>Man made language / Dale Spender.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Spender, Dale.</t>
        </is>
      </c>
      <c r="L125" t="inlineStr">
        <is>
          <t>London : Pandora, 1990.</t>
        </is>
      </c>
      <c r="M125" t="inlineStr">
        <is>
          <t>1990</t>
        </is>
      </c>
      <c r="N125" t="inlineStr">
        <is>
          <t>2nd ed.</t>
        </is>
      </c>
      <c r="O125" t="inlineStr">
        <is>
          <t>eng</t>
        </is>
      </c>
      <c r="P125" t="inlineStr">
        <is>
          <t>enk</t>
        </is>
      </c>
      <c r="R125" t="inlineStr">
        <is>
          <t xml:space="preserve">P  </t>
        </is>
      </c>
      <c r="S125" t="n">
        <v>19</v>
      </c>
      <c r="T125" t="n">
        <v>19</v>
      </c>
      <c r="U125" t="inlineStr">
        <is>
          <t>2002-07-29</t>
        </is>
      </c>
      <c r="V125" t="inlineStr">
        <is>
          <t>2002-07-29</t>
        </is>
      </c>
      <c r="W125" t="inlineStr">
        <is>
          <t>1993-03-24</t>
        </is>
      </c>
      <c r="X125" t="inlineStr">
        <is>
          <t>1993-03-24</t>
        </is>
      </c>
      <c r="Y125" t="n">
        <v>163</v>
      </c>
      <c r="Z125" t="n">
        <v>85</v>
      </c>
      <c r="AA125" t="n">
        <v>824</v>
      </c>
      <c r="AB125" t="n">
        <v>1</v>
      </c>
      <c r="AC125" t="n">
        <v>6</v>
      </c>
      <c r="AD125" t="n">
        <v>3</v>
      </c>
      <c r="AE125" t="n">
        <v>36</v>
      </c>
      <c r="AF125" t="n">
        <v>1</v>
      </c>
      <c r="AG125" t="n">
        <v>14</v>
      </c>
      <c r="AH125" t="n">
        <v>0</v>
      </c>
      <c r="AI125" t="n">
        <v>8</v>
      </c>
      <c r="AJ125" t="n">
        <v>2</v>
      </c>
      <c r="AK125" t="n">
        <v>18</v>
      </c>
      <c r="AL125" t="n">
        <v>0</v>
      </c>
      <c r="AM125" t="n">
        <v>5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HYPERLINK("http://catalog.hathitrust.org/Record/102565899","HathiTrust Record")</f>
        <v/>
      </c>
      <c r="AS125">
        <f>HYPERLINK("https://creighton-primo.hosted.exlibrisgroup.com/primo-explore/search?tab=default_tab&amp;search_scope=EVERYTHING&amp;vid=01CRU&amp;lang=en_US&amp;offset=0&amp;query=any,contains,991001751439702656","Catalog Record")</f>
        <v/>
      </c>
      <c r="AT125">
        <f>HYPERLINK("http://www.worldcat.org/oclc/22182882","WorldCat Record")</f>
        <v/>
      </c>
      <c r="AU125" t="inlineStr">
        <is>
          <t>63569:eng</t>
        </is>
      </c>
      <c r="AV125" t="inlineStr">
        <is>
          <t>22182882</t>
        </is>
      </c>
      <c r="AW125" t="inlineStr">
        <is>
          <t>991001751439702656</t>
        </is>
      </c>
      <c r="AX125" t="inlineStr">
        <is>
          <t>991001751439702656</t>
        </is>
      </c>
      <c r="AY125" t="inlineStr">
        <is>
          <t>2259625690002656</t>
        </is>
      </c>
      <c r="AZ125" t="inlineStr">
        <is>
          <t>BOOK</t>
        </is>
      </c>
      <c r="BB125" t="inlineStr">
        <is>
          <t>9780044407669</t>
        </is>
      </c>
      <c r="BC125" t="inlineStr">
        <is>
          <t>32285001498210</t>
        </is>
      </c>
      <c r="BD125" t="inlineStr">
        <is>
          <t>893797805</t>
        </is>
      </c>
    </row>
    <row r="126">
      <c r="A126" t="inlineStr">
        <is>
          <t>No</t>
        </is>
      </c>
      <c r="B126" t="inlineStr">
        <is>
          <t>P120.V37 A87 1982</t>
        </is>
      </c>
      <c r="C126" t="inlineStr">
        <is>
          <t>0                      P  0120000V  37                 A  87          1982</t>
        </is>
      </c>
      <c r="D126" t="inlineStr">
        <is>
          <t>Attitudes towards language variation : social and applied contexts / edited by Ellen Bouchard Ryan and Howard Giles.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London : E. Arnold, 1982.</t>
        </is>
      </c>
      <c r="M126" t="inlineStr">
        <is>
          <t>1982</t>
        </is>
      </c>
      <c r="O126" t="inlineStr">
        <is>
          <t>eng</t>
        </is>
      </c>
      <c r="P126" t="inlineStr">
        <is>
          <t>enk</t>
        </is>
      </c>
      <c r="Q126" t="inlineStr">
        <is>
          <t>Social psychology of language ; 1</t>
        </is>
      </c>
      <c r="R126" t="inlineStr">
        <is>
          <t xml:space="preserve">P  </t>
        </is>
      </c>
      <c r="S126" t="n">
        <v>2</v>
      </c>
      <c r="T126" t="n">
        <v>2</v>
      </c>
      <c r="U126" t="inlineStr">
        <is>
          <t>2005-05-01</t>
        </is>
      </c>
      <c r="V126" t="inlineStr">
        <is>
          <t>2005-05-01</t>
        </is>
      </c>
      <c r="W126" t="inlineStr">
        <is>
          <t>1992-04-24</t>
        </is>
      </c>
      <c r="X126" t="inlineStr">
        <is>
          <t>1992-04-24</t>
        </is>
      </c>
      <c r="Y126" t="n">
        <v>548</v>
      </c>
      <c r="Z126" t="n">
        <v>361</v>
      </c>
      <c r="AA126" t="n">
        <v>366</v>
      </c>
      <c r="AB126" t="n">
        <v>5</v>
      </c>
      <c r="AC126" t="n">
        <v>5</v>
      </c>
      <c r="AD126" t="n">
        <v>19</v>
      </c>
      <c r="AE126" t="n">
        <v>19</v>
      </c>
      <c r="AF126" t="n">
        <v>7</v>
      </c>
      <c r="AG126" t="n">
        <v>7</v>
      </c>
      <c r="AH126" t="n">
        <v>3</v>
      </c>
      <c r="AI126" t="n">
        <v>3</v>
      </c>
      <c r="AJ126" t="n">
        <v>9</v>
      </c>
      <c r="AK126" t="n">
        <v>9</v>
      </c>
      <c r="AL126" t="n">
        <v>4</v>
      </c>
      <c r="AM126" t="n">
        <v>4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HYPERLINK("https://creighton-primo.hosted.exlibrisgroup.com/primo-explore/search?tab=default_tab&amp;search_scope=EVERYTHING&amp;vid=01CRU&amp;lang=en_US&amp;offset=0&amp;query=any,contains,991000227429702656","Catalog Record")</f>
        <v/>
      </c>
      <c r="AT126">
        <f>HYPERLINK("http://www.worldcat.org/oclc/9621784","WorldCat Record")</f>
        <v/>
      </c>
      <c r="AU126" t="inlineStr">
        <is>
          <t>795309004:eng</t>
        </is>
      </c>
      <c r="AV126" t="inlineStr">
        <is>
          <t>9621784</t>
        </is>
      </c>
      <c r="AW126" t="inlineStr">
        <is>
          <t>991000227429702656</t>
        </is>
      </c>
      <c r="AX126" t="inlineStr">
        <is>
          <t>991000227429702656</t>
        </is>
      </c>
      <c r="AY126" t="inlineStr">
        <is>
          <t>2268886250002656</t>
        </is>
      </c>
      <c r="AZ126" t="inlineStr">
        <is>
          <t>BOOK</t>
        </is>
      </c>
      <c r="BB126" t="inlineStr">
        <is>
          <t>9780713161953</t>
        </is>
      </c>
      <c r="BC126" t="inlineStr">
        <is>
          <t>32285001071322</t>
        </is>
      </c>
      <c r="BD126" t="inlineStr">
        <is>
          <t>893790355</t>
        </is>
      </c>
    </row>
    <row r="127">
      <c r="A127" t="inlineStr">
        <is>
          <t>No</t>
        </is>
      </c>
      <c r="B127" t="inlineStr">
        <is>
          <t>P121 .A74 1972</t>
        </is>
      </c>
      <c r="C127" t="inlineStr">
        <is>
          <t>0                      P  0121000A  74          1972</t>
        </is>
      </c>
      <c r="D127" t="inlineStr">
        <is>
          <t>Introduction to historical linguistics.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Arlotto, Anthony, 1939-</t>
        </is>
      </c>
      <c r="L127" t="inlineStr">
        <is>
          <t>New York, Houghton Mifflin [1971, c1972]</t>
        </is>
      </c>
      <c r="M127" t="inlineStr">
        <is>
          <t>1971</t>
        </is>
      </c>
      <c r="O127" t="inlineStr">
        <is>
          <t>eng</t>
        </is>
      </c>
      <c r="P127" t="inlineStr">
        <is>
          <t>nyu</t>
        </is>
      </c>
      <c r="R127" t="inlineStr">
        <is>
          <t xml:space="preserve">P  </t>
        </is>
      </c>
      <c r="S127" t="n">
        <v>4</v>
      </c>
      <c r="T127" t="n">
        <v>4</v>
      </c>
      <c r="U127" t="inlineStr">
        <is>
          <t>2004-01-27</t>
        </is>
      </c>
      <c r="V127" t="inlineStr">
        <is>
          <t>2004-01-27</t>
        </is>
      </c>
      <c r="W127" t="inlineStr">
        <is>
          <t>1997-08-18</t>
        </is>
      </c>
      <c r="X127" t="inlineStr">
        <is>
          <t>1997-08-18</t>
        </is>
      </c>
      <c r="Y127" t="n">
        <v>413</v>
      </c>
      <c r="Z127" t="n">
        <v>329</v>
      </c>
      <c r="AA127" t="n">
        <v>545</v>
      </c>
      <c r="AB127" t="n">
        <v>4</v>
      </c>
      <c r="AC127" t="n">
        <v>5</v>
      </c>
      <c r="AD127" t="n">
        <v>19</v>
      </c>
      <c r="AE127" t="n">
        <v>25</v>
      </c>
      <c r="AF127" t="n">
        <v>9</v>
      </c>
      <c r="AG127" t="n">
        <v>12</v>
      </c>
      <c r="AH127" t="n">
        <v>4</v>
      </c>
      <c r="AI127" t="n">
        <v>4</v>
      </c>
      <c r="AJ127" t="n">
        <v>10</v>
      </c>
      <c r="AK127" t="n">
        <v>14</v>
      </c>
      <c r="AL127" t="n">
        <v>3</v>
      </c>
      <c r="AM127" t="n">
        <v>4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HYPERLINK("http://catalog.hathitrust.org/Record/001434617","HathiTrust Record")</f>
        <v/>
      </c>
      <c r="AS127">
        <f>HYPERLINK("https://creighton-primo.hosted.exlibrisgroup.com/primo-explore/search?tab=default_tab&amp;search_scope=EVERYTHING&amp;vid=01CRU&amp;lang=en_US&amp;offset=0&amp;query=any,contains,991004240089702656","Catalog Record")</f>
        <v/>
      </c>
      <c r="AT127">
        <f>HYPERLINK("http://www.worldcat.org/oclc/2780886","WorldCat Record")</f>
        <v/>
      </c>
      <c r="AU127" t="inlineStr">
        <is>
          <t>483178:eng</t>
        </is>
      </c>
      <c r="AV127" t="inlineStr">
        <is>
          <t>2780886</t>
        </is>
      </c>
      <c r="AW127" t="inlineStr">
        <is>
          <t>991004240089702656</t>
        </is>
      </c>
      <c r="AX127" t="inlineStr">
        <is>
          <t>991004240089702656</t>
        </is>
      </c>
      <c r="AY127" t="inlineStr">
        <is>
          <t>2265611610002656</t>
        </is>
      </c>
      <c r="AZ127" t="inlineStr">
        <is>
          <t>BOOK</t>
        </is>
      </c>
      <c r="BB127" t="inlineStr">
        <is>
          <t>9780395126158</t>
        </is>
      </c>
      <c r="BC127" t="inlineStr">
        <is>
          <t>32285003096699</t>
        </is>
      </c>
      <c r="BD127" t="inlineStr">
        <is>
          <t>893800767</t>
        </is>
      </c>
    </row>
    <row r="128">
      <c r="A128" t="inlineStr">
        <is>
          <t>No</t>
        </is>
      </c>
      <c r="B128" t="inlineStr">
        <is>
          <t>P121 .B4418</t>
        </is>
      </c>
      <c r="C128" t="inlineStr">
        <is>
          <t>0                      P  0121000B  4418</t>
        </is>
      </c>
      <c r="D128" t="inlineStr">
        <is>
          <t>Problemas de lingüistica general / por Émile Benveniste.</t>
        </is>
      </c>
      <c r="E128" t="inlineStr">
        <is>
          <t>V. 1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Benveniste, Émile, 1902-1976.</t>
        </is>
      </c>
      <c r="L128" t="inlineStr">
        <is>
          <t>Mexico : Siglo Veintiuno, 1979-</t>
        </is>
      </c>
      <c r="M128" t="inlineStr">
        <is>
          <t>1979</t>
        </is>
      </c>
      <c r="O128" t="inlineStr">
        <is>
          <t>spa</t>
        </is>
      </c>
      <c r="P128" t="inlineStr">
        <is>
          <t xml:space="preserve">mx </t>
        </is>
      </c>
      <c r="R128" t="inlineStr">
        <is>
          <t xml:space="preserve">P  </t>
        </is>
      </c>
      <c r="S128" t="n">
        <v>1</v>
      </c>
      <c r="T128" t="n">
        <v>2</v>
      </c>
      <c r="U128" t="inlineStr">
        <is>
          <t>2003-05-01</t>
        </is>
      </c>
      <c r="V128" t="inlineStr">
        <is>
          <t>2003-05-01</t>
        </is>
      </c>
      <c r="W128" t="inlineStr">
        <is>
          <t>2003-05-01</t>
        </is>
      </c>
      <c r="X128" t="inlineStr">
        <is>
          <t>2003-05-01</t>
        </is>
      </c>
      <c r="Y128" t="n">
        <v>5</v>
      </c>
      <c r="Z128" t="n">
        <v>5</v>
      </c>
      <c r="AA128" t="n">
        <v>63</v>
      </c>
      <c r="AB128" t="n">
        <v>1</v>
      </c>
      <c r="AC128" t="n">
        <v>1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1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HYPERLINK("https://creighton-primo.hosted.exlibrisgroup.com/primo-explore/search?tab=default_tab&amp;search_scope=EVERYTHING&amp;vid=01CRU&amp;lang=en_US&amp;offset=0&amp;query=any,contains,991004044499702656","Catalog Record")</f>
        <v/>
      </c>
      <c r="AT128">
        <f>HYPERLINK("http://www.worldcat.org/oclc/8129996","WorldCat Record")</f>
        <v/>
      </c>
      <c r="AU128" t="inlineStr">
        <is>
          <t>3943267650:spa</t>
        </is>
      </c>
      <c r="AV128" t="inlineStr">
        <is>
          <t>8129996</t>
        </is>
      </c>
      <c r="AW128" t="inlineStr">
        <is>
          <t>991004044499702656</t>
        </is>
      </c>
      <c r="AX128" t="inlineStr">
        <is>
          <t>991004044499702656</t>
        </is>
      </c>
      <c r="AY128" t="inlineStr">
        <is>
          <t>2259399740002656</t>
        </is>
      </c>
      <c r="AZ128" t="inlineStr">
        <is>
          <t>BOOK</t>
        </is>
      </c>
      <c r="BB128" t="inlineStr">
        <is>
          <t>9789682300301</t>
        </is>
      </c>
      <c r="BC128" t="inlineStr">
        <is>
          <t>32285004683313</t>
        </is>
      </c>
      <c r="BD128" t="inlineStr">
        <is>
          <t>893353180</t>
        </is>
      </c>
    </row>
    <row r="129">
      <c r="A129" t="inlineStr">
        <is>
          <t>No</t>
        </is>
      </c>
      <c r="B129" t="inlineStr">
        <is>
          <t>P121 .B4418</t>
        </is>
      </c>
      <c r="C129" t="inlineStr">
        <is>
          <t>0                      P  0121000B  4418</t>
        </is>
      </c>
      <c r="D129" t="inlineStr">
        <is>
          <t>Problemas de lingüistica general / por Émile Benveniste.</t>
        </is>
      </c>
      <c r="E129" t="inlineStr">
        <is>
          <t>V. 2</t>
        </is>
      </c>
      <c r="F129" t="inlineStr">
        <is>
          <t>Yes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Benveniste, Émile, 1902-1976.</t>
        </is>
      </c>
      <c r="L129" t="inlineStr">
        <is>
          <t>Mexico : Siglo Veintiuno, 1979-</t>
        </is>
      </c>
      <c r="M129" t="inlineStr">
        <is>
          <t>1979</t>
        </is>
      </c>
      <c r="O129" t="inlineStr">
        <is>
          <t>spa</t>
        </is>
      </c>
      <c r="P129" t="inlineStr">
        <is>
          <t xml:space="preserve">mx </t>
        </is>
      </c>
      <c r="R129" t="inlineStr">
        <is>
          <t xml:space="preserve">P  </t>
        </is>
      </c>
      <c r="S129" t="n">
        <v>1</v>
      </c>
      <c r="T129" t="n">
        <v>2</v>
      </c>
      <c r="U129" t="inlineStr">
        <is>
          <t>2003-05-01</t>
        </is>
      </c>
      <c r="V129" t="inlineStr">
        <is>
          <t>2003-05-01</t>
        </is>
      </c>
      <c r="W129" t="inlineStr">
        <is>
          <t>2003-05-01</t>
        </is>
      </c>
      <c r="X129" t="inlineStr">
        <is>
          <t>2003-05-01</t>
        </is>
      </c>
      <c r="Y129" t="n">
        <v>5</v>
      </c>
      <c r="Z129" t="n">
        <v>5</v>
      </c>
      <c r="AA129" t="n">
        <v>63</v>
      </c>
      <c r="AB129" t="n">
        <v>1</v>
      </c>
      <c r="AC129" t="n">
        <v>1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1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HYPERLINK("https://creighton-primo.hosted.exlibrisgroup.com/primo-explore/search?tab=default_tab&amp;search_scope=EVERYTHING&amp;vid=01CRU&amp;lang=en_US&amp;offset=0&amp;query=any,contains,991004044499702656","Catalog Record")</f>
        <v/>
      </c>
      <c r="AT129">
        <f>HYPERLINK("http://www.worldcat.org/oclc/8129996","WorldCat Record")</f>
        <v/>
      </c>
      <c r="AU129" t="inlineStr">
        <is>
          <t>3943267650:spa</t>
        </is>
      </c>
      <c r="AV129" t="inlineStr">
        <is>
          <t>8129996</t>
        </is>
      </c>
      <c r="AW129" t="inlineStr">
        <is>
          <t>991004044499702656</t>
        </is>
      </c>
      <c r="AX129" t="inlineStr">
        <is>
          <t>991004044499702656</t>
        </is>
      </c>
      <c r="AY129" t="inlineStr">
        <is>
          <t>2259399740002656</t>
        </is>
      </c>
      <c r="AZ129" t="inlineStr">
        <is>
          <t>BOOK</t>
        </is>
      </c>
      <c r="BB129" t="inlineStr">
        <is>
          <t>9789682300301</t>
        </is>
      </c>
      <c r="BC129" t="inlineStr">
        <is>
          <t>32285004683321</t>
        </is>
      </c>
      <c r="BD129" t="inlineStr">
        <is>
          <t>893353179</t>
        </is>
      </c>
    </row>
    <row r="130">
      <c r="A130" t="inlineStr">
        <is>
          <t>No</t>
        </is>
      </c>
      <c r="B130" t="inlineStr">
        <is>
          <t>P121 .C35</t>
        </is>
      </c>
      <c r="C130" t="inlineStr">
        <is>
          <t>0                      P  0121000C  35</t>
        </is>
      </c>
      <c r="D130" t="inlineStr">
        <is>
          <t>The study of language; a survey of linguistics and related disciplines in America.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Carroll, John B. (John Bissell), 1916-2003.</t>
        </is>
      </c>
      <c r="L130" t="inlineStr">
        <is>
          <t>Cambridge, Harvard University Press, 1953.</t>
        </is>
      </c>
      <c r="M130" t="inlineStr">
        <is>
          <t>1953</t>
        </is>
      </c>
      <c r="O130" t="inlineStr">
        <is>
          <t>eng</t>
        </is>
      </c>
      <c r="P130" t="inlineStr">
        <is>
          <t>mau</t>
        </is>
      </c>
      <c r="R130" t="inlineStr">
        <is>
          <t xml:space="preserve">P  </t>
        </is>
      </c>
      <c r="S130" t="n">
        <v>1</v>
      </c>
      <c r="T130" t="n">
        <v>1</v>
      </c>
      <c r="U130" t="inlineStr">
        <is>
          <t>2004-01-24</t>
        </is>
      </c>
      <c r="V130" t="inlineStr">
        <is>
          <t>2004-01-24</t>
        </is>
      </c>
      <c r="W130" t="inlineStr">
        <is>
          <t>1997-08-18</t>
        </is>
      </c>
      <c r="X130" t="inlineStr">
        <is>
          <t>1997-08-18</t>
        </is>
      </c>
      <c r="Y130" t="n">
        <v>898</v>
      </c>
      <c r="Z130" t="n">
        <v>755</v>
      </c>
      <c r="AA130" t="n">
        <v>813</v>
      </c>
      <c r="AB130" t="n">
        <v>9</v>
      </c>
      <c r="AC130" t="n">
        <v>9</v>
      </c>
      <c r="AD130" t="n">
        <v>34</v>
      </c>
      <c r="AE130" t="n">
        <v>35</v>
      </c>
      <c r="AF130" t="n">
        <v>10</v>
      </c>
      <c r="AG130" t="n">
        <v>10</v>
      </c>
      <c r="AH130" t="n">
        <v>6</v>
      </c>
      <c r="AI130" t="n">
        <v>6</v>
      </c>
      <c r="AJ130" t="n">
        <v>18</v>
      </c>
      <c r="AK130" t="n">
        <v>19</v>
      </c>
      <c r="AL130" t="n">
        <v>8</v>
      </c>
      <c r="AM130" t="n">
        <v>8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HYPERLINK("http://catalog.hathitrust.org/Record/001180948","HathiTrust Record")</f>
        <v/>
      </c>
      <c r="AS130">
        <f>HYPERLINK("https://creighton-primo.hosted.exlibrisgroup.com/primo-explore/search?tab=default_tab&amp;search_scope=EVERYTHING&amp;vid=01CRU&amp;lang=en_US&amp;offset=0&amp;query=any,contains,991002264909702656","Catalog Record")</f>
        <v/>
      </c>
      <c r="AT130">
        <f>HYPERLINK("http://www.worldcat.org/oclc/306605","WorldCat Record")</f>
        <v/>
      </c>
      <c r="AU130" t="inlineStr">
        <is>
          <t>196473395:eng</t>
        </is>
      </c>
      <c r="AV130" t="inlineStr">
        <is>
          <t>306605</t>
        </is>
      </c>
      <c r="AW130" t="inlineStr">
        <is>
          <t>991002264909702656</t>
        </is>
      </c>
      <c r="AX130" t="inlineStr">
        <is>
          <t>991002264909702656</t>
        </is>
      </c>
      <c r="AY130" t="inlineStr">
        <is>
          <t>2266092560002656</t>
        </is>
      </c>
      <c r="AZ130" t="inlineStr">
        <is>
          <t>BOOK</t>
        </is>
      </c>
      <c r="BC130" t="inlineStr">
        <is>
          <t>32285003096749</t>
        </is>
      </c>
      <c r="BD130" t="inlineStr">
        <is>
          <t>893439967</t>
        </is>
      </c>
    </row>
    <row r="131">
      <c r="A131" t="inlineStr">
        <is>
          <t>No</t>
        </is>
      </c>
      <c r="B131" t="inlineStr">
        <is>
          <t>P121 .D48</t>
        </is>
      </c>
      <c r="C131" t="inlineStr">
        <is>
          <t>0                      P  0121000D  48</t>
        </is>
      </c>
      <c r="D131" t="inlineStr">
        <is>
          <t>An introduction to general linguistics [by] Francis P. Dinneen.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Dinneen, Francis P.</t>
        </is>
      </c>
      <c r="L131" t="inlineStr">
        <is>
          <t>New York, Holt, Rinehart and Winston [1967]</t>
        </is>
      </c>
      <c r="M131" t="inlineStr">
        <is>
          <t>1967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P  </t>
        </is>
      </c>
      <c r="S131" t="n">
        <v>3</v>
      </c>
      <c r="T131" t="n">
        <v>3</v>
      </c>
      <c r="U131" t="inlineStr">
        <is>
          <t>2006-04-30</t>
        </is>
      </c>
      <c r="V131" t="inlineStr">
        <is>
          <t>2006-04-30</t>
        </is>
      </c>
      <c r="W131" t="inlineStr">
        <is>
          <t>1997-08-27</t>
        </is>
      </c>
      <c r="X131" t="inlineStr">
        <is>
          <t>1997-08-27</t>
        </is>
      </c>
      <c r="Y131" t="n">
        <v>918</v>
      </c>
      <c r="Z131" t="n">
        <v>726</v>
      </c>
      <c r="AA131" t="n">
        <v>767</v>
      </c>
      <c r="AB131" t="n">
        <v>9</v>
      </c>
      <c r="AC131" t="n">
        <v>9</v>
      </c>
      <c r="AD131" t="n">
        <v>36</v>
      </c>
      <c r="AE131" t="n">
        <v>37</v>
      </c>
      <c r="AF131" t="n">
        <v>11</v>
      </c>
      <c r="AG131" t="n">
        <v>12</v>
      </c>
      <c r="AH131" t="n">
        <v>7</v>
      </c>
      <c r="AI131" t="n">
        <v>7</v>
      </c>
      <c r="AJ131" t="n">
        <v>19</v>
      </c>
      <c r="AK131" t="n">
        <v>20</v>
      </c>
      <c r="AL131" t="n">
        <v>8</v>
      </c>
      <c r="AM131" t="n">
        <v>8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HYPERLINK("http://catalog.hathitrust.org/Record/001180950","HathiTrust Record")</f>
        <v/>
      </c>
      <c r="AS131">
        <f>HYPERLINK("https://creighton-primo.hosted.exlibrisgroup.com/primo-explore/search?tab=default_tab&amp;search_scope=EVERYTHING&amp;vid=01CRU&amp;lang=en_US&amp;offset=0&amp;query=any,contains,991001676529702656","Catalog Record")</f>
        <v/>
      </c>
      <c r="AT131">
        <f>HYPERLINK("http://www.worldcat.org/oclc/234215","WorldCat Record")</f>
        <v/>
      </c>
      <c r="AU131" t="inlineStr">
        <is>
          <t>538010:eng</t>
        </is>
      </c>
      <c r="AV131" t="inlineStr">
        <is>
          <t>234215</t>
        </is>
      </c>
      <c r="AW131" t="inlineStr">
        <is>
          <t>991001676529702656</t>
        </is>
      </c>
      <c r="AX131" t="inlineStr">
        <is>
          <t>991001676529702656</t>
        </is>
      </c>
      <c r="AY131" t="inlineStr">
        <is>
          <t>2257590870002656</t>
        </is>
      </c>
      <c r="AZ131" t="inlineStr">
        <is>
          <t>BOOK</t>
        </is>
      </c>
      <c r="BC131" t="inlineStr">
        <is>
          <t>32285003096806</t>
        </is>
      </c>
      <c r="BD131" t="inlineStr">
        <is>
          <t>893529105</t>
        </is>
      </c>
    </row>
    <row r="132">
      <c r="A132" t="inlineStr">
        <is>
          <t>No</t>
        </is>
      </c>
      <c r="B132" t="inlineStr">
        <is>
          <t>P121 .F7</t>
        </is>
      </c>
      <c r="C132" t="inlineStr">
        <is>
          <t>0                      P  0121000F  7</t>
        </is>
      </c>
      <c r="D132" t="inlineStr">
        <is>
          <t>Linguistics, the study of language [by] Charles C. Fries.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Fries, Charles C. (Charles Carpenter), 1887-1967.</t>
        </is>
      </c>
      <c r="L132" t="inlineStr">
        <is>
          <t>New York, Holt, Rinehart and Winston [1964]</t>
        </is>
      </c>
      <c r="M132" t="inlineStr">
        <is>
          <t>1964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P  </t>
        </is>
      </c>
      <c r="S132" t="n">
        <v>2</v>
      </c>
      <c r="T132" t="n">
        <v>2</v>
      </c>
      <c r="U132" t="inlineStr">
        <is>
          <t>2006-04-30</t>
        </is>
      </c>
      <c r="V132" t="inlineStr">
        <is>
          <t>2006-04-30</t>
        </is>
      </c>
      <c r="W132" t="inlineStr">
        <is>
          <t>1997-08-18</t>
        </is>
      </c>
      <c r="X132" t="inlineStr">
        <is>
          <t>1997-08-18</t>
        </is>
      </c>
      <c r="Y132" t="n">
        <v>331</v>
      </c>
      <c r="Z132" t="n">
        <v>280</v>
      </c>
      <c r="AA132" t="n">
        <v>297</v>
      </c>
      <c r="AB132" t="n">
        <v>4</v>
      </c>
      <c r="AC132" t="n">
        <v>4</v>
      </c>
      <c r="AD132" t="n">
        <v>11</v>
      </c>
      <c r="AE132" t="n">
        <v>11</v>
      </c>
      <c r="AF132" t="n">
        <v>3</v>
      </c>
      <c r="AG132" t="n">
        <v>3</v>
      </c>
      <c r="AH132" t="n">
        <v>3</v>
      </c>
      <c r="AI132" t="n">
        <v>3</v>
      </c>
      <c r="AJ132" t="n">
        <v>4</v>
      </c>
      <c r="AK132" t="n">
        <v>4</v>
      </c>
      <c r="AL132" t="n">
        <v>3</v>
      </c>
      <c r="AM132" t="n">
        <v>3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HYPERLINK("https://creighton-primo.hosted.exlibrisgroup.com/primo-explore/search?tab=default_tab&amp;search_scope=EVERYTHING&amp;vid=01CRU&amp;lang=en_US&amp;offset=0&amp;query=any,contains,991002463449702656","Catalog Record")</f>
        <v/>
      </c>
      <c r="AT132">
        <f>HYPERLINK("http://www.worldcat.org/oclc/356764","WorldCat Record")</f>
        <v/>
      </c>
      <c r="AU132" t="inlineStr">
        <is>
          <t>11876234:eng</t>
        </is>
      </c>
      <c r="AV132" t="inlineStr">
        <is>
          <t>356764</t>
        </is>
      </c>
      <c r="AW132" t="inlineStr">
        <is>
          <t>991002463449702656</t>
        </is>
      </c>
      <c r="AX132" t="inlineStr">
        <is>
          <t>991002463449702656</t>
        </is>
      </c>
      <c r="AY132" t="inlineStr">
        <is>
          <t>2262544190002656</t>
        </is>
      </c>
      <c r="AZ132" t="inlineStr">
        <is>
          <t>BOOK</t>
        </is>
      </c>
      <c r="BC132" t="inlineStr">
        <is>
          <t>32285003096848</t>
        </is>
      </c>
      <c r="BD132" t="inlineStr">
        <is>
          <t>893892576</t>
        </is>
      </c>
    </row>
    <row r="133">
      <c r="A133" t="inlineStr">
        <is>
          <t>No</t>
        </is>
      </c>
      <c r="B133" t="inlineStr">
        <is>
          <t>P121 .H6318 1971</t>
        </is>
      </c>
      <c r="C133" t="inlineStr">
        <is>
          <t>0                      P  0121000H  6318        1971</t>
        </is>
      </c>
      <c r="D133" t="inlineStr">
        <is>
          <t>Curso de lingüística moderna / [Por] Charles F. Hockett. [Traducida y adaptada al español por Emma Gregores y Jorge Alberto Suárez.]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Hockett, Charles Francis.</t>
        </is>
      </c>
      <c r="L133" t="inlineStr">
        <is>
          <t>[Buenos Aires] Editorial Universitaria de Buenos Aires [1971]</t>
        </is>
      </c>
      <c r="M133" t="inlineStr">
        <is>
          <t>1971</t>
        </is>
      </c>
      <c r="O133" t="inlineStr">
        <is>
          <t>spa</t>
        </is>
      </c>
      <c r="P133" t="inlineStr">
        <is>
          <t xml:space="preserve">ag </t>
        </is>
      </c>
      <c r="R133" t="inlineStr">
        <is>
          <t xml:space="preserve">P  </t>
        </is>
      </c>
      <c r="S133" t="n">
        <v>1</v>
      </c>
      <c r="T133" t="n">
        <v>1</v>
      </c>
      <c r="U133" t="inlineStr">
        <is>
          <t>2003-01-15</t>
        </is>
      </c>
      <c r="V133" t="inlineStr">
        <is>
          <t>2003-01-15</t>
        </is>
      </c>
      <c r="W133" t="inlineStr">
        <is>
          <t>2003-01-15</t>
        </is>
      </c>
      <c r="X133" t="inlineStr">
        <is>
          <t>2003-01-15</t>
        </is>
      </c>
      <c r="Y133" t="n">
        <v>20</v>
      </c>
      <c r="Z133" t="n">
        <v>13</v>
      </c>
      <c r="AA133" t="n">
        <v>20</v>
      </c>
      <c r="AB133" t="n">
        <v>1</v>
      </c>
      <c r="AC133" t="n">
        <v>1</v>
      </c>
      <c r="AD133" t="n">
        <v>1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1</v>
      </c>
      <c r="AL133" t="n">
        <v>0</v>
      </c>
      <c r="AM133" t="n">
        <v>0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HYPERLINK("https://creighton-primo.hosted.exlibrisgroup.com/primo-explore/search?tab=default_tab&amp;search_scope=EVERYTHING&amp;vid=01CRU&amp;lang=en_US&amp;offset=0&amp;query=any,contains,991003975009702656","Catalog Record")</f>
        <v/>
      </c>
      <c r="AT133">
        <f>HYPERLINK("http://www.worldcat.org/oclc/1066263","WorldCat Record")</f>
        <v/>
      </c>
      <c r="AU133" t="inlineStr">
        <is>
          <t>398561:spa</t>
        </is>
      </c>
      <c r="AV133" t="inlineStr">
        <is>
          <t>1066263</t>
        </is>
      </c>
      <c r="AW133" t="inlineStr">
        <is>
          <t>991003975009702656</t>
        </is>
      </c>
      <c r="AX133" t="inlineStr">
        <is>
          <t>991003975009702656</t>
        </is>
      </c>
      <c r="AY133" t="inlineStr">
        <is>
          <t>2269130660002656</t>
        </is>
      </c>
      <c r="AZ133" t="inlineStr">
        <is>
          <t>BOOK</t>
        </is>
      </c>
      <c r="BC133" t="inlineStr">
        <is>
          <t>32285004694237</t>
        </is>
      </c>
      <c r="BD133" t="inlineStr">
        <is>
          <t>893240859</t>
        </is>
      </c>
    </row>
    <row r="134">
      <c r="A134" t="inlineStr">
        <is>
          <t>No</t>
        </is>
      </c>
      <c r="B134" t="inlineStr">
        <is>
          <t>P121 .L38 1968</t>
        </is>
      </c>
      <c r="C134" t="inlineStr">
        <is>
          <t>0                      P  0121000L  38          1968</t>
        </is>
      </c>
      <c r="D134" t="inlineStr">
        <is>
          <t>Language and its structure; some fundamental linguistic concepts [by] Ronald W. Langacker.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Langacker, Ronald W.</t>
        </is>
      </c>
      <c r="L134" t="inlineStr">
        <is>
          <t>New York, Harcourt, Brace &amp; World [1968]</t>
        </is>
      </c>
      <c r="M134" t="inlineStr">
        <is>
          <t>1968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P  </t>
        </is>
      </c>
      <c r="S134" t="n">
        <v>2</v>
      </c>
      <c r="T134" t="n">
        <v>2</v>
      </c>
      <c r="U134" t="inlineStr">
        <is>
          <t>2007-04-02</t>
        </is>
      </c>
      <c r="V134" t="inlineStr">
        <is>
          <t>2007-04-02</t>
        </is>
      </c>
      <c r="W134" t="inlineStr">
        <is>
          <t>1997-08-18</t>
        </is>
      </c>
      <c r="X134" t="inlineStr">
        <is>
          <t>1997-08-18</t>
        </is>
      </c>
      <c r="Y134" t="n">
        <v>697</v>
      </c>
      <c r="Z134" t="n">
        <v>549</v>
      </c>
      <c r="AA134" t="n">
        <v>992</v>
      </c>
      <c r="AB134" t="n">
        <v>6</v>
      </c>
      <c r="AC134" t="n">
        <v>10</v>
      </c>
      <c r="AD134" t="n">
        <v>23</v>
      </c>
      <c r="AE134" t="n">
        <v>37</v>
      </c>
      <c r="AF134" t="n">
        <v>6</v>
      </c>
      <c r="AG134" t="n">
        <v>11</v>
      </c>
      <c r="AH134" t="n">
        <v>5</v>
      </c>
      <c r="AI134" t="n">
        <v>9</v>
      </c>
      <c r="AJ134" t="n">
        <v>13</v>
      </c>
      <c r="AK134" t="n">
        <v>18</v>
      </c>
      <c r="AL134" t="n">
        <v>4</v>
      </c>
      <c r="AM134" t="n">
        <v>8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HYPERLINK("http://catalog.hathitrust.org/Record/001193120","HathiTrust Record")</f>
        <v/>
      </c>
      <c r="AS134">
        <f>HYPERLINK("https://creighton-primo.hosted.exlibrisgroup.com/primo-explore/search?tab=default_tab&amp;search_scope=EVERYTHING&amp;vid=01CRU&amp;lang=en_US&amp;offset=0&amp;query=any,contains,991002264589702656","Catalog Record")</f>
        <v/>
      </c>
      <c r="AT134">
        <f>HYPERLINK("http://www.worldcat.org/oclc/306527","WorldCat Record")</f>
        <v/>
      </c>
      <c r="AU134" t="inlineStr">
        <is>
          <t>2271284:eng</t>
        </is>
      </c>
      <c r="AV134" t="inlineStr">
        <is>
          <t>306527</t>
        </is>
      </c>
      <c r="AW134" t="inlineStr">
        <is>
          <t>991002264589702656</t>
        </is>
      </c>
      <c r="AX134" t="inlineStr">
        <is>
          <t>991002264589702656</t>
        </is>
      </c>
      <c r="AY134" t="inlineStr">
        <is>
          <t>2266146850002656</t>
        </is>
      </c>
      <c r="AZ134" t="inlineStr">
        <is>
          <t>BOOK</t>
        </is>
      </c>
      <c r="BC134" t="inlineStr">
        <is>
          <t>32285003096970</t>
        </is>
      </c>
      <c r="BD134" t="inlineStr">
        <is>
          <t>893603396</t>
        </is>
      </c>
    </row>
    <row r="135">
      <c r="A135" t="inlineStr">
        <is>
          <t>No</t>
        </is>
      </c>
      <c r="B135" t="inlineStr">
        <is>
          <t>P121 .L45</t>
        </is>
      </c>
      <c r="C135" t="inlineStr">
        <is>
          <t>0                      P  0121000L  45</t>
        </is>
      </c>
      <c r="D135" t="inlineStr">
        <is>
          <t>Historical linguistics: an introduction.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Lehmann, Winfred P. (Winfred Philipp), 1916-2007.</t>
        </is>
      </c>
      <c r="L135" t="inlineStr">
        <is>
          <t>New York, Holt, Rinehart and Winston [1962]</t>
        </is>
      </c>
      <c r="M135" t="inlineStr">
        <is>
          <t>1962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P  </t>
        </is>
      </c>
      <c r="S135" t="n">
        <v>2</v>
      </c>
      <c r="T135" t="n">
        <v>2</v>
      </c>
      <c r="U135" t="inlineStr">
        <is>
          <t>1999-02-25</t>
        </is>
      </c>
      <c r="V135" t="inlineStr">
        <is>
          <t>1999-02-25</t>
        </is>
      </c>
      <c r="W135" t="inlineStr">
        <is>
          <t>1997-08-18</t>
        </is>
      </c>
      <c r="X135" t="inlineStr">
        <is>
          <t>1997-08-18</t>
        </is>
      </c>
      <c r="Y135" t="n">
        <v>923</v>
      </c>
      <c r="Z135" t="n">
        <v>739</v>
      </c>
      <c r="AA135" t="n">
        <v>1010</v>
      </c>
      <c r="AB135" t="n">
        <v>9</v>
      </c>
      <c r="AC135" t="n">
        <v>10</v>
      </c>
      <c r="AD135" t="n">
        <v>30</v>
      </c>
      <c r="AE135" t="n">
        <v>44</v>
      </c>
      <c r="AF135" t="n">
        <v>8</v>
      </c>
      <c r="AG135" t="n">
        <v>17</v>
      </c>
      <c r="AH135" t="n">
        <v>7</v>
      </c>
      <c r="AI135" t="n">
        <v>9</v>
      </c>
      <c r="AJ135" t="n">
        <v>12</v>
      </c>
      <c r="AK135" t="n">
        <v>18</v>
      </c>
      <c r="AL135" t="n">
        <v>8</v>
      </c>
      <c r="AM135" t="n">
        <v>9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HYPERLINK("http://catalog.hathitrust.org/Record/001180968","HathiTrust Record")</f>
        <v/>
      </c>
      <c r="AS135">
        <f>HYPERLINK("https://creighton-primo.hosted.exlibrisgroup.com/primo-explore/search?tab=default_tab&amp;search_scope=EVERYTHING&amp;vid=01CRU&amp;lang=en_US&amp;offset=0&amp;query=any,contains,991002264619702656","Catalog Record")</f>
        <v/>
      </c>
      <c r="AT135">
        <f>HYPERLINK("http://www.worldcat.org/oclc/306529","WorldCat Record")</f>
        <v/>
      </c>
      <c r="AU135" t="inlineStr">
        <is>
          <t>449608783:eng</t>
        </is>
      </c>
      <c r="AV135" t="inlineStr">
        <is>
          <t>306529</t>
        </is>
      </c>
      <c r="AW135" t="inlineStr">
        <is>
          <t>991002264619702656</t>
        </is>
      </c>
      <c r="AX135" t="inlineStr">
        <is>
          <t>991002264619702656</t>
        </is>
      </c>
      <c r="AY135" t="inlineStr">
        <is>
          <t>2266147100002656</t>
        </is>
      </c>
      <c r="AZ135" t="inlineStr">
        <is>
          <t>BOOK</t>
        </is>
      </c>
      <c r="BC135" t="inlineStr">
        <is>
          <t>32285003096996</t>
        </is>
      </c>
      <c r="BD135" t="inlineStr">
        <is>
          <t>893316597</t>
        </is>
      </c>
    </row>
    <row r="136">
      <c r="A136" t="inlineStr">
        <is>
          <t>No</t>
        </is>
      </c>
      <c r="B136" t="inlineStr">
        <is>
          <t>P121 .L4718 1969</t>
        </is>
      </c>
      <c r="C136" t="inlineStr">
        <is>
          <t>0                      P  0121000L  4718        1969</t>
        </is>
      </c>
      <c r="D136" t="inlineStr">
        <is>
          <t>Las grandes corrientes de la lingüística / Maurice Leroy ; tr. Juan José Utrilla.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Leroy, Maurice, 1909-1990.</t>
        </is>
      </c>
      <c r="L136" t="inlineStr">
        <is>
          <t>México, FCE, 1969.</t>
        </is>
      </c>
      <c r="M136" t="inlineStr">
        <is>
          <t>1969</t>
        </is>
      </c>
      <c r="O136" t="inlineStr">
        <is>
          <t>spa</t>
        </is>
      </c>
      <c r="P136" t="inlineStr">
        <is>
          <t xml:space="preserve">mx </t>
        </is>
      </c>
      <c r="Q136" t="inlineStr">
        <is>
          <t>Sección de lengua y estudios literarios</t>
        </is>
      </c>
      <c r="R136" t="inlineStr">
        <is>
          <t xml:space="preserve">P  </t>
        </is>
      </c>
      <c r="S136" t="n">
        <v>1</v>
      </c>
      <c r="T136" t="n">
        <v>1</v>
      </c>
      <c r="U136" t="inlineStr">
        <is>
          <t>2003-01-15</t>
        </is>
      </c>
      <c r="V136" t="inlineStr">
        <is>
          <t>2003-01-15</t>
        </is>
      </c>
      <c r="W136" t="inlineStr">
        <is>
          <t>2003-01-15</t>
        </is>
      </c>
      <c r="X136" t="inlineStr">
        <is>
          <t>2003-01-15</t>
        </is>
      </c>
      <c r="Y136" t="n">
        <v>17</v>
      </c>
      <c r="Z136" t="n">
        <v>2</v>
      </c>
      <c r="AA136" t="n">
        <v>32</v>
      </c>
      <c r="AB136" t="n">
        <v>1</v>
      </c>
      <c r="AC136" t="n">
        <v>2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HYPERLINK("https://creighton-primo.hosted.exlibrisgroup.com/primo-explore/search?tab=default_tab&amp;search_scope=EVERYTHING&amp;vid=01CRU&amp;lang=en_US&amp;offset=0&amp;query=any,contains,991003975149702656","Catalog Record")</f>
        <v/>
      </c>
      <c r="AT136">
        <f>HYPERLINK("http://www.worldcat.org/oclc/40642349","WorldCat Record")</f>
        <v/>
      </c>
      <c r="AU136" t="inlineStr">
        <is>
          <t>4495028729:spa</t>
        </is>
      </c>
      <c r="AV136" t="inlineStr">
        <is>
          <t>40642349</t>
        </is>
      </c>
      <c r="AW136" t="inlineStr">
        <is>
          <t>991003975149702656</t>
        </is>
      </c>
      <c r="AX136" t="inlineStr">
        <is>
          <t>991003975149702656</t>
        </is>
      </c>
      <c r="AY136" t="inlineStr">
        <is>
          <t>2260267190002656</t>
        </is>
      </c>
      <c r="AZ136" t="inlineStr">
        <is>
          <t>BOOK</t>
        </is>
      </c>
      <c r="BC136" t="inlineStr">
        <is>
          <t>32285004694245</t>
        </is>
      </c>
      <c r="BD136" t="inlineStr">
        <is>
          <t>893234894</t>
        </is>
      </c>
    </row>
    <row r="137">
      <c r="A137" t="inlineStr">
        <is>
          <t>No</t>
        </is>
      </c>
      <c r="B137" t="inlineStr">
        <is>
          <t>P121 .M2518 1970</t>
        </is>
      </c>
      <c r="C137" t="inlineStr">
        <is>
          <t>0                      P  0121000M  2518        1970</t>
        </is>
      </c>
      <c r="D137" t="inlineStr">
        <is>
          <t>Los nuevos caminos de la lingüistica / por Bertil Malmberg ; traducción de Juan Almela.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Malmberg, Bertil, 1913-1994.</t>
        </is>
      </c>
      <c r="L137" t="inlineStr">
        <is>
          <t>México : Siglo Veintiuno, 1970.</t>
        </is>
      </c>
      <c r="M137" t="inlineStr">
        <is>
          <t>1970</t>
        </is>
      </c>
      <c r="N137" t="inlineStr">
        <is>
          <t>3. ed. en español.</t>
        </is>
      </c>
      <c r="O137" t="inlineStr">
        <is>
          <t>spa</t>
        </is>
      </c>
      <c r="P137" t="inlineStr">
        <is>
          <t xml:space="preserve">mx </t>
        </is>
      </c>
      <c r="Q137" t="inlineStr">
        <is>
          <t>El mundo del hombre : Antropología y linguística</t>
        </is>
      </c>
      <c r="R137" t="inlineStr">
        <is>
          <t xml:space="preserve">P  </t>
        </is>
      </c>
      <c r="S137" t="n">
        <v>1</v>
      </c>
      <c r="T137" t="n">
        <v>1</v>
      </c>
      <c r="U137" t="inlineStr">
        <is>
          <t>2003-01-15</t>
        </is>
      </c>
      <c r="V137" t="inlineStr">
        <is>
          <t>2003-01-15</t>
        </is>
      </c>
      <c r="W137" t="inlineStr">
        <is>
          <t>2003-01-15</t>
        </is>
      </c>
      <c r="X137" t="inlineStr">
        <is>
          <t>2003-01-15</t>
        </is>
      </c>
      <c r="Y137" t="n">
        <v>13</v>
      </c>
      <c r="Z137" t="n">
        <v>11</v>
      </c>
      <c r="AA137" t="n">
        <v>73</v>
      </c>
      <c r="AB137" t="n">
        <v>1</v>
      </c>
      <c r="AC137" t="n">
        <v>2</v>
      </c>
      <c r="AD137" t="n">
        <v>0</v>
      </c>
      <c r="AE137" t="n">
        <v>2</v>
      </c>
      <c r="AF137" t="n">
        <v>0</v>
      </c>
      <c r="AG137" t="n">
        <v>0</v>
      </c>
      <c r="AH137" t="n">
        <v>0</v>
      </c>
      <c r="AI137" t="n">
        <v>1</v>
      </c>
      <c r="AJ137" t="n">
        <v>0</v>
      </c>
      <c r="AK137" t="n">
        <v>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HYPERLINK("https://creighton-primo.hosted.exlibrisgroup.com/primo-explore/search?tab=default_tab&amp;search_scope=EVERYTHING&amp;vid=01CRU&amp;lang=en_US&amp;offset=0&amp;query=any,contains,991003974709702656","Catalog Record")</f>
        <v/>
      </c>
      <c r="AT137">
        <f>HYPERLINK("http://www.worldcat.org/oclc/6445322","WorldCat Record")</f>
        <v/>
      </c>
      <c r="AU137" t="inlineStr">
        <is>
          <t>3318081:spa</t>
        </is>
      </c>
      <c r="AV137" t="inlineStr">
        <is>
          <t>6445322</t>
        </is>
      </c>
      <c r="AW137" t="inlineStr">
        <is>
          <t>991003974709702656</t>
        </is>
      </c>
      <c r="AX137" t="inlineStr">
        <is>
          <t>991003974709702656</t>
        </is>
      </c>
      <c r="AY137" t="inlineStr">
        <is>
          <t>2254850680002656</t>
        </is>
      </c>
      <c r="AZ137" t="inlineStr">
        <is>
          <t>BOOK</t>
        </is>
      </c>
      <c r="BC137" t="inlineStr">
        <is>
          <t>32285004694088</t>
        </is>
      </c>
      <c r="BD137" t="inlineStr">
        <is>
          <t>893624186</t>
        </is>
      </c>
    </row>
    <row r="138">
      <c r="A138" t="inlineStr">
        <is>
          <t>No</t>
        </is>
      </c>
      <c r="B138" t="inlineStr">
        <is>
          <t>P121 .M3 1972</t>
        </is>
      </c>
      <c r="C138" t="inlineStr">
        <is>
          <t>0                      P  0121000M  3           1972</t>
        </is>
      </c>
      <c r="D138" t="inlineStr">
        <is>
          <t>Elementos de lingüística general / Andre Martinet.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Martinet, André.</t>
        </is>
      </c>
      <c r="L138" t="inlineStr">
        <is>
          <t>Madrid : Gredos, 1972.</t>
        </is>
      </c>
      <c r="M138" t="inlineStr">
        <is>
          <t>1972</t>
        </is>
      </c>
      <c r="N138" t="inlineStr">
        <is>
          <t>2. ed.</t>
        </is>
      </c>
      <c r="O138" t="inlineStr">
        <is>
          <t>eng</t>
        </is>
      </c>
      <c r="P138" t="inlineStr">
        <is>
          <t xml:space="preserve">sp </t>
        </is>
      </c>
      <c r="Q138" t="inlineStr">
        <is>
          <t>Biblioteca románica hispánica. III, Manuales ; 13</t>
        </is>
      </c>
      <c r="R138" t="inlineStr">
        <is>
          <t xml:space="preserve">P  </t>
        </is>
      </c>
      <c r="S138" t="n">
        <v>1</v>
      </c>
      <c r="T138" t="n">
        <v>1</v>
      </c>
      <c r="U138" t="inlineStr">
        <is>
          <t>2003-05-01</t>
        </is>
      </c>
      <c r="V138" t="inlineStr">
        <is>
          <t>2003-05-01</t>
        </is>
      </c>
      <c r="W138" t="inlineStr">
        <is>
          <t>2003-05-01</t>
        </is>
      </c>
      <c r="X138" t="inlineStr">
        <is>
          <t>2003-05-01</t>
        </is>
      </c>
      <c r="Y138" t="n">
        <v>20</v>
      </c>
      <c r="Z138" t="n">
        <v>19</v>
      </c>
      <c r="AA138" t="n">
        <v>70</v>
      </c>
      <c r="AB138" t="n">
        <v>1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HYPERLINK("https://creighton-primo.hosted.exlibrisgroup.com/primo-explore/search?tab=default_tab&amp;search_scope=EVERYTHING&amp;vid=01CRU&amp;lang=en_US&amp;offset=0&amp;query=any,contains,991004044339702656","Catalog Record")</f>
        <v/>
      </c>
      <c r="AT138">
        <f>HYPERLINK("http://www.worldcat.org/oclc/1512974","WorldCat Record")</f>
        <v/>
      </c>
      <c r="AU138" t="inlineStr">
        <is>
          <t>4919417939:eng</t>
        </is>
      </c>
      <c r="AV138" t="inlineStr">
        <is>
          <t>1512974</t>
        </is>
      </c>
      <c r="AW138" t="inlineStr">
        <is>
          <t>991004044339702656</t>
        </is>
      </c>
      <c r="AX138" t="inlineStr">
        <is>
          <t>991004044339702656</t>
        </is>
      </c>
      <c r="AY138" t="inlineStr">
        <is>
          <t>2260542360002656</t>
        </is>
      </c>
      <c r="AZ138" t="inlineStr">
        <is>
          <t>BOOK</t>
        </is>
      </c>
      <c r="BC138" t="inlineStr">
        <is>
          <t>32285004682224</t>
        </is>
      </c>
      <c r="BD138" t="inlineStr">
        <is>
          <t>893324869</t>
        </is>
      </c>
    </row>
    <row r="139">
      <c r="A139" t="inlineStr">
        <is>
          <t>No</t>
        </is>
      </c>
      <c r="B139" t="inlineStr">
        <is>
          <t>P121 .P35</t>
        </is>
      </c>
      <c r="C139" t="inlineStr">
        <is>
          <t>0                      P  0121000P  35</t>
        </is>
      </c>
      <c r="D139" t="inlineStr">
        <is>
          <t>Invitation to linguistics : a basic introduction to the science of language / by Mario Pei.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Pei, Mario, 1901-1978.</t>
        </is>
      </c>
      <c r="L139" t="inlineStr">
        <is>
          <t>Garden City, N.Y. : Doubleday, 1965.</t>
        </is>
      </c>
      <c r="M139" t="inlineStr">
        <is>
          <t>1965</t>
        </is>
      </c>
      <c r="N139" t="inlineStr">
        <is>
          <t>[1st ed.]</t>
        </is>
      </c>
      <c r="O139" t="inlineStr">
        <is>
          <t>eng</t>
        </is>
      </c>
      <c r="P139" t="inlineStr">
        <is>
          <t>nyu</t>
        </is>
      </c>
      <c r="R139" t="inlineStr">
        <is>
          <t xml:space="preserve">P  </t>
        </is>
      </c>
      <c r="S139" t="n">
        <v>1</v>
      </c>
      <c r="T139" t="n">
        <v>1</v>
      </c>
      <c r="U139" t="inlineStr">
        <is>
          <t>2004-08-03</t>
        </is>
      </c>
      <c r="V139" t="inlineStr">
        <is>
          <t>2004-08-03</t>
        </is>
      </c>
      <c r="W139" t="inlineStr">
        <is>
          <t>1990-07-17</t>
        </is>
      </c>
      <c r="X139" t="inlineStr">
        <is>
          <t>1990-07-17</t>
        </is>
      </c>
      <c r="Y139" t="n">
        <v>906</v>
      </c>
      <c r="Z139" t="n">
        <v>824</v>
      </c>
      <c r="AA139" t="n">
        <v>902</v>
      </c>
      <c r="AB139" t="n">
        <v>8</v>
      </c>
      <c r="AC139" t="n">
        <v>9</v>
      </c>
      <c r="AD139" t="n">
        <v>21</v>
      </c>
      <c r="AE139" t="n">
        <v>27</v>
      </c>
      <c r="AF139" t="n">
        <v>7</v>
      </c>
      <c r="AG139" t="n">
        <v>10</v>
      </c>
      <c r="AH139" t="n">
        <v>5</v>
      </c>
      <c r="AI139" t="n">
        <v>6</v>
      </c>
      <c r="AJ139" t="n">
        <v>10</v>
      </c>
      <c r="AK139" t="n">
        <v>12</v>
      </c>
      <c r="AL139" t="n">
        <v>5</v>
      </c>
      <c r="AM139" t="n">
        <v>6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HYPERLINK("http://catalog.hathitrust.org/Record/001434902","HathiTrust Record")</f>
        <v/>
      </c>
      <c r="AS139">
        <f>HYPERLINK("https://creighton-primo.hosted.exlibrisgroup.com/primo-explore/search?tab=default_tab&amp;search_scope=EVERYTHING&amp;vid=01CRU&amp;lang=en_US&amp;offset=0&amp;query=any,contains,991002265219702656","Catalog Record")</f>
        <v/>
      </c>
      <c r="AT139">
        <f>HYPERLINK("http://www.worldcat.org/oclc/306666","WorldCat Record")</f>
        <v/>
      </c>
      <c r="AU139" t="inlineStr">
        <is>
          <t>196897234:eng</t>
        </is>
      </c>
      <c r="AV139" t="inlineStr">
        <is>
          <t>306666</t>
        </is>
      </c>
      <c r="AW139" t="inlineStr">
        <is>
          <t>991002265219702656</t>
        </is>
      </c>
      <c r="AX139" t="inlineStr">
        <is>
          <t>991002265219702656</t>
        </is>
      </c>
      <c r="AY139" t="inlineStr">
        <is>
          <t>2266108740002656</t>
        </is>
      </c>
      <c r="AZ139" t="inlineStr">
        <is>
          <t>BOOK</t>
        </is>
      </c>
      <c r="BC139" t="inlineStr">
        <is>
          <t>32285000232461</t>
        </is>
      </c>
      <c r="BD139" t="inlineStr">
        <is>
          <t>893244961</t>
        </is>
      </c>
    </row>
    <row r="140">
      <c r="A140" t="inlineStr">
        <is>
          <t>No</t>
        </is>
      </c>
      <c r="B140" t="inlineStr">
        <is>
          <t>P121 .P37</t>
        </is>
      </c>
      <c r="C140" t="inlineStr">
        <is>
          <t>0                      P  0121000P  37</t>
        </is>
      </c>
      <c r="D140" t="inlineStr">
        <is>
          <t>The story of language.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Yes</t>
        </is>
      </c>
      <c r="J140" t="inlineStr">
        <is>
          <t>0</t>
        </is>
      </c>
      <c r="K140" t="inlineStr">
        <is>
          <t>Pei, Mario, 1901-1978.</t>
        </is>
      </c>
      <c r="L140" t="inlineStr">
        <is>
          <t>Philadelphia, Lippincott Co. [1949]</t>
        </is>
      </c>
      <c r="M140" t="inlineStr">
        <is>
          <t>1949</t>
        </is>
      </c>
      <c r="N140" t="inlineStr">
        <is>
          <t>[1st ed.]</t>
        </is>
      </c>
      <c r="O140" t="inlineStr">
        <is>
          <t>eng</t>
        </is>
      </c>
      <c r="P140" t="inlineStr">
        <is>
          <t>pau</t>
        </is>
      </c>
      <c r="R140" t="inlineStr">
        <is>
          <t xml:space="preserve">P  </t>
        </is>
      </c>
      <c r="S140" t="n">
        <v>5</v>
      </c>
      <c r="T140" t="n">
        <v>5</v>
      </c>
      <c r="U140" t="inlineStr">
        <is>
          <t>2003-08-11</t>
        </is>
      </c>
      <c r="V140" t="inlineStr">
        <is>
          <t>2003-08-11</t>
        </is>
      </c>
      <c r="W140" t="inlineStr">
        <is>
          <t>1997-08-18</t>
        </is>
      </c>
      <c r="X140" t="inlineStr">
        <is>
          <t>1997-08-18</t>
        </is>
      </c>
      <c r="Y140" t="n">
        <v>871</v>
      </c>
      <c r="Z140" t="n">
        <v>801</v>
      </c>
      <c r="AA140" t="n">
        <v>2306</v>
      </c>
      <c r="AB140" t="n">
        <v>6</v>
      </c>
      <c r="AC140" t="n">
        <v>23</v>
      </c>
      <c r="AD140" t="n">
        <v>26</v>
      </c>
      <c r="AE140" t="n">
        <v>54</v>
      </c>
      <c r="AF140" t="n">
        <v>6</v>
      </c>
      <c r="AG140" t="n">
        <v>19</v>
      </c>
      <c r="AH140" t="n">
        <v>7</v>
      </c>
      <c r="AI140" t="n">
        <v>10</v>
      </c>
      <c r="AJ140" t="n">
        <v>15</v>
      </c>
      <c r="AK140" t="n">
        <v>23</v>
      </c>
      <c r="AL140" t="n">
        <v>3</v>
      </c>
      <c r="AM140" t="n">
        <v>11</v>
      </c>
      <c r="AN140" t="n">
        <v>1</v>
      </c>
      <c r="AO140" t="n">
        <v>2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HYPERLINK("http://catalog.hathitrust.org/Record/001462907","HathiTrust Record")</f>
        <v/>
      </c>
      <c r="AS140">
        <f>HYPERLINK("https://creighton-primo.hosted.exlibrisgroup.com/primo-explore/search?tab=default_tab&amp;search_scope=EVERYTHING&amp;vid=01CRU&amp;lang=en_US&amp;offset=0&amp;query=any,contains,991003458359702656","Catalog Record")</f>
        <v/>
      </c>
      <c r="AT140">
        <f>HYPERLINK("http://www.worldcat.org/oclc/998836","WorldCat Record")</f>
        <v/>
      </c>
      <c r="AU140" t="inlineStr">
        <is>
          <t>64634613:eng</t>
        </is>
      </c>
      <c r="AV140" t="inlineStr">
        <is>
          <t>998836</t>
        </is>
      </c>
      <c r="AW140" t="inlineStr">
        <is>
          <t>991003458359702656</t>
        </is>
      </c>
      <c r="AX140" t="inlineStr">
        <is>
          <t>991003458359702656</t>
        </is>
      </c>
      <c r="AY140" t="inlineStr">
        <is>
          <t>2271846140002656</t>
        </is>
      </c>
      <c r="AZ140" t="inlineStr">
        <is>
          <t>BOOK</t>
        </is>
      </c>
      <c r="BC140" t="inlineStr">
        <is>
          <t>32285003097093</t>
        </is>
      </c>
      <c r="BD140" t="inlineStr">
        <is>
          <t>893324085</t>
        </is>
      </c>
    </row>
    <row r="141">
      <c r="A141" t="inlineStr">
        <is>
          <t>No</t>
        </is>
      </c>
      <c r="B141" t="inlineStr">
        <is>
          <t>P121 .P37 1965</t>
        </is>
      </c>
      <c r="C141" t="inlineStr">
        <is>
          <t>0                      P  0121000P  37          1965</t>
        </is>
      </c>
      <c r="D141" t="inlineStr">
        <is>
          <t>The story of language, by Mario Pei.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Pei, Mario, 1901-1978.</t>
        </is>
      </c>
      <c r="L141" t="inlineStr">
        <is>
          <t>Philadelphia, Lippincott [1965]</t>
        </is>
      </c>
      <c r="M141" t="inlineStr">
        <is>
          <t>1965</t>
        </is>
      </c>
      <c r="N141" t="inlineStr">
        <is>
          <t>Rev. ed.</t>
        </is>
      </c>
      <c r="O141" t="inlineStr">
        <is>
          <t>eng</t>
        </is>
      </c>
      <c r="P141" t="inlineStr">
        <is>
          <t>pau</t>
        </is>
      </c>
      <c r="R141" t="inlineStr">
        <is>
          <t xml:space="preserve">P  </t>
        </is>
      </c>
      <c r="S141" t="n">
        <v>1</v>
      </c>
      <c r="T141" t="n">
        <v>1</v>
      </c>
      <c r="U141" t="inlineStr">
        <is>
          <t>2003-10-13</t>
        </is>
      </c>
      <c r="V141" t="inlineStr">
        <is>
          <t>2003-10-13</t>
        </is>
      </c>
      <c r="W141" t="inlineStr">
        <is>
          <t>1997-08-18</t>
        </is>
      </c>
      <c r="X141" t="inlineStr">
        <is>
          <t>1997-08-18</t>
        </is>
      </c>
      <c r="Y141" t="n">
        <v>1667</v>
      </c>
      <c r="Z141" t="n">
        <v>1578</v>
      </c>
      <c r="AA141" t="n">
        <v>2306</v>
      </c>
      <c r="AB141" t="n">
        <v>16</v>
      </c>
      <c r="AC141" t="n">
        <v>23</v>
      </c>
      <c r="AD141" t="n">
        <v>39</v>
      </c>
      <c r="AE141" t="n">
        <v>54</v>
      </c>
      <c r="AF141" t="n">
        <v>14</v>
      </c>
      <c r="AG141" t="n">
        <v>19</v>
      </c>
      <c r="AH141" t="n">
        <v>7</v>
      </c>
      <c r="AI141" t="n">
        <v>10</v>
      </c>
      <c r="AJ141" t="n">
        <v>15</v>
      </c>
      <c r="AK141" t="n">
        <v>23</v>
      </c>
      <c r="AL141" t="n">
        <v>9</v>
      </c>
      <c r="AM141" t="n">
        <v>11</v>
      </c>
      <c r="AN141" t="n">
        <v>1</v>
      </c>
      <c r="AO141" t="n">
        <v>2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HYPERLINK("http://catalog.hathitrust.org/Record/001193123","HathiTrust Record")</f>
        <v/>
      </c>
      <c r="AS141">
        <f>HYPERLINK("https://creighton-primo.hosted.exlibrisgroup.com/primo-explore/search?tab=default_tab&amp;search_scope=EVERYTHING&amp;vid=01CRU&amp;lang=en_US&amp;offset=0&amp;query=any,contains,991002265249702656","Catalog Record")</f>
        <v/>
      </c>
      <c r="AT141">
        <f>HYPERLINK("http://www.worldcat.org/oclc/306668","WorldCat Record")</f>
        <v/>
      </c>
      <c r="AU141" t="inlineStr">
        <is>
          <t>64634613:eng</t>
        </is>
      </c>
      <c r="AV141" t="inlineStr">
        <is>
          <t>306668</t>
        </is>
      </c>
      <c r="AW141" t="inlineStr">
        <is>
          <t>991002265249702656</t>
        </is>
      </c>
      <c r="AX141" t="inlineStr">
        <is>
          <t>991002265249702656</t>
        </is>
      </c>
      <c r="AY141" t="inlineStr">
        <is>
          <t>2266109240002656</t>
        </is>
      </c>
      <c r="AZ141" t="inlineStr">
        <is>
          <t>BOOK</t>
        </is>
      </c>
      <c r="BC141" t="inlineStr">
        <is>
          <t>32285003097101</t>
        </is>
      </c>
      <c r="BD141" t="inlineStr">
        <is>
          <t>893879688</t>
        </is>
      </c>
    </row>
    <row r="142">
      <c r="A142" t="inlineStr">
        <is>
          <t>No</t>
        </is>
      </c>
      <c r="B142" t="inlineStr">
        <is>
          <t>P121 .P4</t>
        </is>
      </c>
      <c r="C142" t="inlineStr">
        <is>
          <t>0                      P  0121000P  4</t>
        </is>
      </c>
      <c r="D142" t="inlineStr">
        <is>
          <t>Philology. By John Peile ...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Peile, John, 1838-1910.</t>
        </is>
      </c>
      <c r="L142" t="inlineStr">
        <is>
          <t>London, Macmillan and co., 1877.</t>
        </is>
      </c>
      <c r="M142" t="inlineStr">
        <is>
          <t>1877</t>
        </is>
      </c>
      <c r="N142" t="inlineStr">
        <is>
          <t>2d ed.</t>
        </is>
      </c>
      <c r="O142" t="inlineStr">
        <is>
          <t>eng</t>
        </is>
      </c>
      <c r="P142" t="inlineStr">
        <is>
          <t>enk</t>
        </is>
      </c>
      <c r="Q142" t="inlineStr">
        <is>
          <t>Literature primers; ed. by John Richard Green</t>
        </is>
      </c>
      <c r="R142" t="inlineStr">
        <is>
          <t xml:space="preserve">P  </t>
        </is>
      </c>
      <c r="S142" t="n">
        <v>2</v>
      </c>
      <c r="T142" t="n">
        <v>2</v>
      </c>
      <c r="U142" t="inlineStr">
        <is>
          <t>2004-08-03</t>
        </is>
      </c>
      <c r="V142" t="inlineStr">
        <is>
          <t>2004-08-03</t>
        </is>
      </c>
      <c r="W142" t="inlineStr">
        <is>
          <t>1997-08-18</t>
        </is>
      </c>
      <c r="X142" t="inlineStr">
        <is>
          <t>1997-08-18</t>
        </is>
      </c>
      <c r="Y142" t="n">
        <v>27</v>
      </c>
      <c r="Z142" t="n">
        <v>12</v>
      </c>
      <c r="AA142" t="n">
        <v>138</v>
      </c>
      <c r="AB142" t="n">
        <v>1</v>
      </c>
      <c r="AC142" t="n">
        <v>3</v>
      </c>
      <c r="AD142" t="n">
        <v>0</v>
      </c>
      <c r="AE142" t="n">
        <v>6</v>
      </c>
      <c r="AF142" t="n">
        <v>0</v>
      </c>
      <c r="AG142" t="n">
        <v>1</v>
      </c>
      <c r="AH142" t="n">
        <v>0</v>
      </c>
      <c r="AI142" t="n">
        <v>2</v>
      </c>
      <c r="AJ142" t="n">
        <v>0</v>
      </c>
      <c r="AK142" t="n">
        <v>3</v>
      </c>
      <c r="AL142" t="n">
        <v>0</v>
      </c>
      <c r="AM142" t="n">
        <v>2</v>
      </c>
      <c r="AN142" t="n">
        <v>0</v>
      </c>
      <c r="AO142" t="n">
        <v>0</v>
      </c>
      <c r="AP142" t="inlineStr">
        <is>
          <t>Yes</t>
        </is>
      </c>
      <c r="AQ142" t="inlineStr">
        <is>
          <t>No</t>
        </is>
      </c>
      <c r="AR142">
        <f>HYPERLINK("http://catalog.hathitrust.org/Record/001898152","HathiTrust Record")</f>
        <v/>
      </c>
      <c r="AS142">
        <f>HYPERLINK("https://creighton-primo.hosted.exlibrisgroup.com/primo-explore/search?tab=default_tab&amp;search_scope=EVERYTHING&amp;vid=01CRU&amp;lang=en_US&amp;offset=0&amp;query=any,contains,991000895339702656","Catalog Record")</f>
        <v/>
      </c>
      <c r="AT142">
        <f>HYPERLINK("http://www.worldcat.org/oclc/13973082","WorldCat Record")</f>
        <v/>
      </c>
      <c r="AU142" t="inlineStr">
        <is>
          <t>1596972:eng</t>
        </is>
      </c>
      <c r="AV142" t="inlineStr">
        <is>
          <t>13973082</t>
        </is>
      </c>
      <c r="AW142" t="inlineStr">
        <is>
          <t>991000895339702656</t>
        </is>
      </c>
      <c r="AX142" t="inlineStr">
        <is>
          <t>991000895339702656</t>
        </is>
      </c>
      <c r="AY142" t="inlineStr">
        <is>
          <t>2257539090002656</t>
        </is>
      </c>
      <c r="AZ142" t="inlineStr">
        <is>
          <t>BOOK</t>
        </is>
      </c>
      <c r="BC142" t="inlineStr">
        <is>
          <t>32285003097119</t>
        </is>
      </c>
      <c r="BD142" t="inlineStr">
        <is>
          <t>893339983</t>
        </is>
      </c>
    </row>
    <row r="143">
      <c r="A143" t="inlineStr">
        <is>
          <t>No</t>
        </is>
      </c>
      <c r="B143" t="inlineStr">
        <is>
          <t>P121 .P6818 1970</t>
        </is>
      </c>
      <c r="C143" t="inlineStr">
        <is>
          <t>0                      P  0121000P  6818        1970</t>
        </is>
      </c>
      <c r="D143" t="inlineStr">
        <is>
          <t>Lingüística moderna y filología hispánica / Bernard Pottier ; versión española de Martín Blanco Álvarez.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Pottier, Bernard.</t>
        </is>
      </c>
      <c r="L143" t="inlineStr">
        <is>
          <t>Madrid : Gredos, 1970.</t>
        </is>
      </c>
      <c r="M143" t="inlineStr">
        <is>
          <t>1970</t>
        </is>
      </c>
      <c r="N143" t="inlineStr">
        <is>
          <t>Reimp.</t>
        </is>
      </c>
      <c r="O143" t="inlineStr">
        <is>
          <t>spa</t>
        </is>
      </c>
      <c r="P143" t="inlineStr">
        <is>
          <t xml:space="preserve">sp </t>
        </is>
      </c>
      <c r="Q143" t="inlineStr">
        <is>
          <t>Biblioteca románica hispánica : 2. Estudios y ensayos ; 110</t>
        </is>
      </c>
      <c r="R143" t="inlineStr">
        <is>
          <t xml:space="preserve">P  </t>
        </is>
      </c>
      <c r="S143" t="n">
        <v>1</v>
      </c>
      <c r="T143" t="n">
        <v>1</v>
      </c>
      <c r="U143" t="inlineStr">
        <is>
          <t>2003-05-01</t>
        </is>
      </c>
      <c r="V143" t="inlineStr">
        <is>
          <t>2003-05-01</t>
        </is>
      </c>
      <c r="W143" t="inlineStr">
        <is>
          <t>2003-05-01</t>
        </is>
      </c>
      <c r="X143" t="inlineStr">
        <is>
          <t>2003-05-01</t>
        </is>
      </c>
      <c r="Y143" t="n">
        <v>91</v>
      </c>
      <c r="Z143" t="n">
        <v>69</v>
      </c>
      <c r="AA143" t="n">
        <v>69</v>
      </c>
      <c r="AB143" t="n">
        <v>2</v>
      </c>
      <c r="AC143" t="n">
        <v>2</v>
      </c>
      <c r="AD143" t="n">
        <v>6</v>
      </c>
      <c r="AE143" t="n">
        <v>6</v>
      </c>
      <c r="AF143" t="n">
        <v>2</v>
      </c>
      <c r="AG143" t="n">
        <v>2</v>
      </c>
      <c r="AH143" t="n">
        <v>1</v>
      </c>
      <c r="AI143" t="n">
        <v>1</v>
      </c>
      <c r="AJ143" t="n">
        <v>4</v>
      </c>
      <c r="AK143" t="n">
        <v>4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HYPERLINK("https://creighton-primo.hosted.exlibrisgroup.com/primo-explore/search?tab=default_tab&amp;search_scope=EVERYTHING&amp;vid=01CRU&amp;lang=en_US&amp;offset=0&amp;query=any,contains,991004044209702656","Catalog Record")</f>
        <v/>
      </c>
      <c r="AT143">
        <f>HYPERLINK("http://www.worldcat.org/oclc/1673480","WorldCat Record")</f>
        <v/>
      </c>
      <c r="AU143" t="inlineStr">
        <is>
          <t>10450300515:spa</t>
        </is>
      </c>
      <c r="AV143" t="inlineStr">
        <is>
          <t>1673480</t>
        </is>
      </c>
      <c r="AW143" t="inlineStr">
        <is>
          <t>991004044209702656</t>
        </is>
      </c>
      <c r="AX143" t="inlineStr">
        <is>
          <t>991004044209702656</t>
        </is>
      </c>
      <c r="AY143" t="inlineStr">
        <is>
          <t>2268542810002656</t>
        </is>
      </c>
      <c r="AZ143" t="inlineStr">
        <is>
          <t>BOOK</t>
        </is>
      </c>
      <c r="BC143" t="inlineStr">
        <is>
          <t>32285004682281</t>
        </is>
      </c>
      <c r="BD143" t="inlineStr">
        <is>
          <t>893525569</t>
        </is>
      </c>
    </row>
    <row r="144">
      <c r="A144" t="inlineStr">
        <is>
          <t>No</t>
        </is>
      </c>
      <c r="B144" t="inlineStr">
        <is>
          <t>P121 .R39 1983</t>
        </is>
      </c>
      <c r="C144" t="inlineStr">
        <is>
          <t>0                      P  0121000R  39          1983</t>
        </is>
      </c>
      <c r="D144" t="inlineStr">
        <is>
          <t>A first course in formal language theory / V.J. Rayward-Smith.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Rayward-Smith, V. J.</t>
        </is>
      </c>
      <c r="L144" t="inlineStr">
        <is>
          <t>Oxford : Blackwell Scientific, 1983.</t>
        </is>
      </c>
      <c r="M144" t="inlineStr">
        <is>
          <t>1983</t>
        </is>
      </c>
      <c r="O144" t="inlineStr">
        <is>
          <t>eng</t>
        </is>
      </c>
      <c r="P144" t="inlineStr">
        <is>
          <t>enk</t>
        </is>
      </c>
      <c r="Q144" t="inlineStr">
        <is>
          <t>Computer science texts</t>
        </is>
      </c>
      <c r="R144" t="inlineStr">
        <is>
          <t xml:space="preserve">P  </t>
        </is>
      </c>
      <c r="S144" t="n">
        <v>5</v>
      </c>
      <c r="T144" t="n">
        <v>5</v>
      </c>
      <c r="U144" t="inlineStr">
        <is>
          <t>1993-07-06</t>
        </is>
      </c>
      <c r="V144" t="inlineStr">
        <is>
          <t>1993-07-06</t>
        </is>
      </c>
      <c r="W144" t="inlineStr">
        <is>
          <t>1992-12-03</t>
        </is>
      </c>
      <c r="X144" t="inlineStr">
        <is>
          <t>1992-12-03</t>
        </is>
      </c>
      <c r="Y144" t="n">
        <v>208</v>
      </c>
      <c r="Z144" t="n">
        <v>120</v>
      </c>
      <c r="AA144" t="n">
        <v>129</v>
      </c>
      <c r="AB144" t="n">
        <v>1</v>
      </c>
      <c r="AC144" t="n">
        <v>1</v>
      </c>
      <c r="AD144" t="n">
        <v>8</v>
      </c>
      <c r="AE144" t="n">
        <v>8</v>
      </c>
      <c r="AF144" t="n">
        <v>3</v>
      </c>
      <c r="AG144" t="n">
        <v>3</v>
      </c>
      <c r="AH144" t="n">
        <v>1</v>
      </c>
      <c r="AI144" t="n">
        <v>1</v>
      </c>
      <c r="AJ144" t="n">
        <v>6</v>
      </c>
      <c r="AK144" t="n">
        <v>6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HYPERLINK("http://catalog.hathitrust.org/Record/000346844","HathiTrust Record")</f>
        <v/>
      </c>
      <c r="AS144">
        <f>HYPERLINK("https://creighton-primo.hosted.exlibrisgroup.com/primo-explore/search?tab=default_tab&amp;search_scope=EVERYTHING&amp;vid=01CRU&amp;lang=en_US&amp;offset=0&amp;query=any,contains,991000289419702656","Catalog Record")</f>
        <v/>
      </c>
      <c r="AT144">
        <f>HYPERLINK("http://www.worldcat.org/oclc/12666718","WorldCat Record")</f>
        <v/>
      </c>
      <c r="AU144" t="inlineStr">
        <is>
          <t>5427024:eng</t>
        </is>
      </c>
      <c r="AV144" t="inlineStr">
        <is>
          <t>12666718</t>
        </is>
      </c>
      <c r="AW144" t="inlineStr">
        <is>
          <t>991000289419702656</t>
        </is>
      </c>
      <c r="AX144" t="inlineStr">
        <is>
          <t>991000289419702656</t>
        </is>
      </c>
      <c r="AY144" t="inlineStr">
        <is>
          <t>2261194600002656</t>
        </is>
      </c>
      <c r="AZ144" t="inlineStr">
        <is>
          <t>BOOK</t>
        </is>
      </c>
      <c r="BB144" t="inlineStr">
        <is>
          <t>9780632011766</t>
        </is>
      </c>
      <c r="BC144" t="inlineStr">
        <is>
          <t>32285001412013</t>
        </is>
      </c>
      <c r="BD144" t="inlineStr">
        <is>
          <t>893351476</t>
        </is>
      </c>
    </row>
    <row r="145">
      <c r="A145" t="inlineStr">
        <is>
          <t>No</t>
        </is>
      </c>
      <c r="B145" t="inlineStr">
        <is>
          <t>P121 .S368 1945</t>
        </is>
      </c>
      <c r="C145" t="inlineStr">
        <is>
          <t>0                      P  0121000S  368         1945</t>
        </is>
      </c>
      <c r="D145" t="inlineStr">
        <is>
          <t>Curso de lingüística general / Ferdinand de Saussure ; publicado por Charles Bally y Albert Sechehaye con la colaboración de Albert Riedlinger ; traducción, prólogo y notas de Amado Alonso.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Saussure, Ferdinand de, 1857-1913.</t>
        </is>
      </c>
      <c r="L145" t="inlineStr">
        <is>
          <t>Buenos Aires : Editorial Losada, c1945.</t>
        </is>
      </c>
      <c r="M145" t="inlineStr">
        <is>
          <t>1945</t>
        </is>
      </c>
      <c r="O145" t="inlineStr">
        <is>
          <t>spa</t>
        </is>
      </c>
      <c r="P145" t="inlineStr">
        <is>
          <t xml:space="preserve">ag </t>
        </is>
      </c>
      <c r="Q145" t="inlineStr">
        <is>
          <t>Filosofía y teoría del lenguaje</t>
        </is>
      </c>
      <c r="R145" t="inlineStr">
        <is>
          <t xml:space="preserve">P  </t>
        </is>
      </c>
      <c r="S145" t="n">
        <v>1</v>
      </c>
      <c r="T145" t="n">
        <v>1</v>
      </c>
      <c r="U145" t="inlineStr">
        <is>
          <t>2007-07-24</t>
        </is>
      </c>
      <c r="V145" t="inlineStr">
        <is>
          <t>2007-07-24</t>
        </is>
      </c>
      <c r="W145" t="inlineStr">
        <is>
          <t>2003-05-01</t>
        </is>
      </c>
      <c r="X145" t="inlineStr">
        <is>
          <t>2003-05-01</t>
        </is>
      </c>
      <c r="Y145" t="n">
        <v>43</v>
      </c>
      <c r="Z145" t="n">
        <v>22</v>
      </c>
      <c r="AA145" t="n">
        <v>145</v>
      </c>
      <c r="AB145" t="n">
        <v>1</v>
      </c>
      <c r="AC145" t="n">
        <v>1</v>
      </c>
      <c r="AD145" t="n">
        <v>1</v>
      </c>
      <c r="AE145" t="n">
        <v>6</v>
      </c>
      <c r="AF145" t="n">
        <v>1</v>
      </c>
      <c r="AG145" t="n">
        <v>2</v>
      </c>
      <c r="AH145" t="n">
        <v>0</v>
      </c>
      <c r="AI145" t="n">
        <v>3</v>
      </c>
      <c r="AJ145" t="n">
        <v>1</v>
      </c>
      <c r="AK145" t="n">
        <v>4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HYPERLINK("https://creighton-primo.hosted.exlibrisgroup.com/primo-explore/search?tab=default_tab&amp;search_scope=EVERYTHING&amp;vid=01CRU&amp;lang=en_US&amp;offset=0&amp;query=any,contains,991004044629702656","Catalog Record")</f>
        <v/>
      </c>
      <c r="AT145">
        <f>HYPERLINK("http://www.worldcat.org/oclc/16888204","WorldCat Record")</f>
        <v/>
      </c>
      <c r="AU145" t="inlineStr">
        <is>
          <t>405129:spa</t>
        </is>
      </c>
      <c r="AV145" t="inlineStr">
        <is>
          <t>16888204</t>
        </is>
      </c>
      <c r="AW145" t="inlineStr">
        <is>
          <t>991004044629702656</t>
        </is>
      </c>
      <c r="AX145" t="inlineStr">
        <is>
          <t>991004044629702656</t>
        </is>
      </c>
      <c r="AY145" t="inlineStr">
        <is>
          <t>2254905660002656</t>
        </is>
      </c>
      <c r="AZ145" t="inlineStr">
        <is>
          <t>BOOK</t>
        </is>
      </c>
      <c r="BC145" t="inlineStr">
        <is>
          <t>32285004683198</t>
        </is>
      </c>
      <c r="BD145" t="inlineStr">
        <is>
          <t>893775535</t>
        </is>
      </c>
    </row>
    <row r="146">
      <c r="A146" t="inlineStr">
        <is>
          <t>No</t>
        </is>
      </c>
      <c r="B146" t="inlineStr">
        <is>
          <t>P121 .S4318 1974</t>
        </is>
      </c>
      <c r="C146" t="inlineStr">
        <is>
          <t>0                      P  0121000S  4318        1974</t>
        </is>
      </c>
      <c r="D146" t="inlineStr">
        <is>
          <t>La revolución de Chomsky en lingüistica / John Searle ; tr. Carlos Manzano.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Searle, John R.</t>
        </is>
      </c>
      <c r="L146" t="inlineStr">
        <is>
          <t>Barcelona : Anagrama, 1974.</t>
        </is>
      </c>
      <c r="M146" t="inlineStr">
        <is>
          <t>1974</t>
        </is>
      </c>
      <c r="N146" t="inlineStr">
        <is>
          <t>2a. ed.</t>
        </is>
      </c>
      <c r="O146" t="inlineStr">
        <is>
          <t>spa</t>
        </is>
      </c>
      <c r="P146" t="inlineStr">
        <is>
          <t xml:space="preserve">sp </t>
        </is>
      </c>
      <c r="Q146" t="inlineStr">
        <is>
          <t>Cuadernos Anagrama ; 54</t>
        </is>
      </c>
      <c r="R146" t="inlineStr">
        <is>
          <t xml:space="preserve">P  </t>
        </is>
      </c>
      <c r="S146" t="n">
        <v>1</v>
      </c>
      <c r="T146" t="n">
        <v>1</v>
      </c>
      <c r="U146" t="inlineStr">
        <is>
          <t>2009-06-23</t>
        </is>
      </c>
      <c r="V146" t="inlineStr">
        <is>
          <t>2009-06-23</t>
        </is>
      </c>
      <c r="W146" t="inlineStr">
        <is>
          <t>2003-05-01</t>
        </is>
      </c>
      <c r="X146" t="inlineStr">
        <is>
          <t>2003-05-01</t>
        </is>
      </c>
      <c r="Y146" t="n">
        <v>9</v>
      </c>
      <c r="Z146" t="n">
        <v>1</v>
      </c>
      <c r="AA146" t="n">
        <v>13</v>
      </c>
      <c r="AB146" t="n">
        <v>1</v>
      </c>
      <c r="AC146" t="n">
        <v>1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HYPERLINK("https://creighton-primo.hosted.exlibrisgroup.com/primo-explore/search?tab=default_tab&amp;search_scope=EVERYTHING&amp;vid=01CRU&amp;lang=en_US&amp;offset=0&amp;query=any,contains,991004044969702656","Catalog Record")</f>
        <v/>
      </c>
      <c r="AT146">
        <f>HYPERLINK("http://www.worldcat.org/oclc/42388678","WorldCat Record")</f>
        <v/>
      </c>
      <c r="AU146" t="inlineStr">
        <is>
          <t>422830426:spa</t>
        </is>
      </c>
      <c r="AV146" t="inlineStr">
        <is>
          <t>42388678</t>
        </is>
      </c>
      <c r="AW146" t="inlineStr">
        <is>
          <t>991004044969702656</t>
        </is>
      </c>
      <c r="AX146" t="inlineStr">
        <is>
          <t>991004044969702656</t>
        </is>
      </c>
      <c r="AY146" t="inlineStr">
        <is>
          <t>2265182440002656</t>
        </is>
      </c>
      <c r="AZ146" t="inlineStr">
        <is>
          <t>BOOK</t>
        </is>
      </c>
      <c r="BC146" t="inlineStr">
        <is>
          <t>32285004682232</t>
        </is>
      </c>
      <c r="BD146" t="inlineStr">
        <is>
          <t>893411045</t>
        </is>
      </c>
    </row>
    <row r="147">
      <c r="A147" t="inlineStr">
        <is>
          <t>No</t>
        </is>
      </c>
      <c r="B147" t="inlineStr">
        <is>
          <t>P121 .S9 1960</t>
        </is>
      </c>
      <c r="C147" t="inlineStr">
        <is>
          <t>0                      P  0121000S  9           1960</t>
        </is>
      </c>
      <c r="D147" t="inlineStr">
        <is>
          <t>Structure of language and its mathematical aspects : [proceedings / sponsored by American Mathematical Society, Association for Symbolic Logic, and Linguistic Society of America]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Symposium in Applied Mathematics (12th : 1960 : New York, N.Y.)</t>
        </is>
      </c>
      <c r="L147" t="inlineStr">
        <is>
          <t>Providence : American Mathematical Society, 1961.</t>
        </is>
      </c>
      <c r="M147" t="inlineStr">
        <is>
          <t>1961</t>
        </is>
      </c>
      <c r="O147" t="inlineStr">
        <is>
          <t>eng</t>
        </is>
      </c>
      <c r="P147" t="inlineStr">
        <is>
          <t>riu</t>
        </is>
      </c>
      <c r="Q147" t="inlineStr">
        <is>
          <t>Proceedings of symposia in applied mathematics ; v. 12</t>
        </is>
      </c>
      <c r="R147" t="inlineStr">
        <is>
          <t xml:space="preserve">P  </t>
        </is>
      </c>
      <c r="S147" t="n">
        <v>4</v>
      </c>
      <c r="T147" t="n">
        <v>4</v>
      </c>
      <c r="U147" t="inlineStr">
        <is>
          <t>1999-10-10</t>
        </is>
      </c>
      <c r="V147" t="inlineStr">
        <is>
          <t>1999-10-10</t>
        </is>
      </c>
      <c r="W147" t="inlineStr">
        <is>
          <t>1992-02-10</t>
        </is>
      </c>
      <c r="X147" t="inlineStr">
        <is>
          <t>1992-02-10</t>
        </is>
      </c>
      <c r="Y147" t="n">
        <v>346</v>
      </c>
      <c r="Z147" t="n">
        <v>277</v>
      </c>
      <c r="AA147" t="n">
        <v>311</v>
      </c>
      <c r="AB147" t="n">
        <v>3</v>
      </c>
      <c r="AC147" t="n">
        <v>3</v>
      </c>
      <c r="AD147" t="n">
        <v>12</v>
      </c>
      <c r="AE147" t="n">
        <v>13</v>
      </c>
      <c r="AF147" t="n">
        <v>1</v>
      </c>
      <c r="AG147" t="n">
        <v>2</v>
      </c>
      <c r="AH147" t="n">
        <v>5</v>
      </c>
      <c r="AI147" t="n">
        <v>6</v>
      </c>
      <c r="AJ147" t="n">
        <v>7</v>
      </c>
      <c r="AK147" t="n">
        <v>7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HYPERLINK("https://creighton-primo.hosted.exlibrisgroup.com/primo-explore/search?tab=default_tab&amp;search_scope=EVERYTHING&amp;vid=01CRU&amp;lang=en_US&amp;offset=0&amp;query=any,contains,991002330839702656","Catalog Record")</f>
        <v/>
      </c>
      <c r="AT147">
        <f>HYPERLINK("http://www.worldcat.org/oclc/322466","WorldCat Record")</f>
        <v/>
      </c>
      <c r="AU147" t="inlineStr">
        <is>
          <t>498920866:eng</t>
        </is>
      </c>
      <c r="AV147" t="inlineStr">
        <is>
          <t>322466</t>
        </is>
      </c>
      <c r="AW147" t="inlineStr">
        <is>
          <t>991002330839702656</t>
        </is>
      </c>
      <c r="AX147" t="inlineStr">
        <is>
          <t>991002330839702656</t>
        </is>
      </c>
      <c r="AY147" t="inlineStr">
        <is>
          <t>2257228980002656</t>
        </is>
      </c>
      <c r="AZ147" t="inlineStr">
        <is>
          <t>BOOK</t>
        </is>
      </c>
      <c r="BC147" t="inlineStr">
        <is>
          <t>32285000954551</t>
        </is>
      </c>
      <c r="BD147" t="inlineStr">
        <is>
          <t>893523478</t>
        </is>
      </c>
    </row>
    <row r="148">
      <c r="A148" t="inlineStr">
        <is>
          <t>No</t>
        </is>
      </c>
      <c r="B148" t="inlineStr">
        <is>
          <t>P121 .W22</t>
        </is>
      </c>
      <c r="C148" t="inlineStr">
        <is>
          <t>0                      P  0121000W  22</t>
        </is>
      </c>
      <c r="D148" t="inlineStr">
        <is>
          <t>Introduction to linguistics.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Wardhaugh, Ronald.</t>
        </is>
      </c>
      <c r="L148" t="inlineStr">
        <is>
          <t>New York, McGraw-Hill [1971, c1972]</t>
        </is>
      </c>
      <c r="M148" t="inlineStr">
        <is>
          <t>1971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  </t>
        </is>
      </c>
      <c r="S148" t="n">
        <v>8</v>
      </c>
      <c r="T148" t="n">
        <v>8</v>
      </c>
      <c r="U148" t="inlineStr">
        <is>
          <t>2010-08-07</t>
        </is>
      </c>
      <c r="V148" t="inlineStr">
        <is>
          <t>2010-08-07</t>
        </is>
      </c>
      <c r="W148" t="inlineStr">
        <is>
          <t>1997-08-18</t>
        </is>
      </c>
      <c r="X148" t="inlineStr">
        <is>
          <t>1997-08-18</t>
        </is>
      </c>
      <c r="Y148" t="n">
        <v>391</v>
      </c>
      <c r="Z148" t="n">
        <v>304</v>
      </c>
      <c r="AA148" t="n">
        <v>473</v>
      </c>
      <c r="AB148" t="n">
        <v>5</v>
      </c>
      <c r="AC148" t="n">
        <v>5</v>
      </c>
      <c r="AD148" t="n">
        <v>14</v>
      </c>
      <c r="AE148" t="n">
        <v>18</v>
      </c>
      <c r="AF148" t="n">
        <v>5</v>
      </c>
      <c r="AG148" t="n">
        <v>5</v>
      </c>
      <c r="AH148" t="n">
        <v>2</v>
      </c>
      <c r="AI148" t="n">
        <v>4</v>
      </c>
      <c r="AJ148" t="n">
        <v>5</v>
      </c>
      <c r="AK148" t="n">
        <v>8</v>
      </c>
      <c r="AL148" t="n">
        <v>4</v>
      </c>
      <c r="AM148" t="n">
        <v>4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HYPERLINK("http://catalog.hathitrust.org/Record/001180990","HathiTrust Record")</f>
        <v/>
      </c>
      <c r="AS148">
        <f>HYPERLINK("https://creighton-primo.hosted.exlibrisgroup.com/primo-explore/search?tab=default_tab&amp;search_scope=EVERYTHING&amp;vid=01CRU&amp;lang=en_US&amp;offset=0&amp;query=any,contains,991001294649702656","Catalog Record")</f>
        <v/>
      </c>
      <c r="AT148">
        <f>HYPERLINK("http://www.worldcat.org/oclc/218890","WorldCat Record")</f>
        <v/>
      </c>
      <c r="AU148" t="inlineStr">
        <is>
          <t>2999382154:eng</t>
        </is>
      </c>
      <c r="AV148" t="inlineStr">
        <is>
          <t>218890</t>
        </is>
      </c>
      <c r="AW148" t="inlineStr">
        <is>
          <t>991001294649702656</t>
        </is>
      </c>
      <c r="AX148" t="inlineStr">
        <is>
          <t>991001294649702656</t>
        </is>
      </c>
      <c r="AY148" t="inlineStr">
        <is>
          <t>2256260650002656</t>
        </is>
      </c>
      <c r="AZ148" t="inlineStr">
        <is>
          <t>BOOK</t>
        </is>
      </c>
      <c r="BB148" t="inlineStr">
        <is>
          <t>9780070681507</t>
        </is>
      </c>
      <c r="BC148" t="inlineStr">
        <is>
          <t>32285003097200</t>
        </is>
      </c>
      <c r="BD148" t="inlineStr">
        <is>
          <t>893334234</t>
        </is>
      </c>
    </row>
    <row r="149">
      <c r="A149" t="inlineStr">
        <is>
          <t>No</t>
        </is>
      </c>
      <c r="B149" t="inlineStr">
        <is>
          <t>P121 .W427 2000</t>
        </is>
      </c>
      <c r="C149" t="inlineStr">
        <is>
          <t>0                      P  0121000W  427         2000</t>
        </is>
      </c>
      <c r="D149" t="inlineStr">
        <is>
          <t>Theory of language / Steven E. Weisler, Slavko Milekic.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Weisler, Steven.</t>
        </is>
      </c>
      <c r="L149" t="inlineStr">
        <is>
          <t>Cambridge, Mass. : MIT Press, c2000.</t>
        </is>
      </c>
      <c r="M149" t="inlineStr">
        <is>
          <t>1999</t>
        </is>
      </c>
      <c r="O149" t="inlineStr">
        <is>
          <t>eng</t>
        </is>
      </c>
      <c r="P149" t="inlineStr">
        <is>
          <t>mau</t>
        </is>
      </c>
      <c r="R149" t="inlineStr">
        <is>
          <t xml:space="preserve">P  </t>
        </is>
      </c>
      <c r="S149" t="n">
        <v>5</v>
      </c>
      <c r="T149" t="n">
        <v>5</v>
      </c>
      <c r="U149" t="inlineStr">
        <is>
          <t>2003-08-11</t>
        </is>
      </c>
      <c r="V149" t="inlineStr">
        <is>
          <t>2003-08-11</t>
        </is>
      </c>
      <c r="W149" t="inlineStr">
        <is>
          <t>2002-09-26</t>
        </is>
      </c>
      <c r="X149" t="inlineStr">
        <is>
          <t>2002-09-26</t>
        </is>
      </c>
      <c r="Y149" t="n">
        <v>217</v>
      </c>
      <c r="Z149" t="n">
        <v>135</v>
      </c>
      <c r="AA149" t="n">
        <v>985</v>
      </c>
      <c r="AB149" t="n">
        <v>3</v>
      </c>
      <c r="AC149" t="n">
        <v>4</v>
      </c>
      <c r="AD149" t="n">
        <v>8</v>
      </c>
      <c r="AE149" t="n">
        <v>25</v>
      </c>
      <c r="AF149" t="n">
        <v>3</v>
      </c>
      <c r="AG149" t="n">
        <v>16</v>
      </c>
      <c r="AH149" t="n">
        <v>2</v>
      </c>
      <c r="AI149" t="n">
        <v>6</v>
      </c>
      <c r="AJ149" t="n">
        <v>3</v>
      </c>
      <c r="AK149" t="n">
        <v>9</v>
      </c>
      <c r="AL149" t="n">
        <v>2</v>
      </c>
      <c r="AM149" t="n">
        <v>3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HYPERLINK("https://creighton-primo.hosted.exlibrisgroup.com/primo-explore/search?tab=default_tab&amp;search_scope=EVERYTHING&amp;vid=01CRU&amp;lang=en_US&amp;offset=0&amp;query=any,contains,991003876769702656","Catalog Record")</f>
        <v/>
      </c>
      <c r="AT149">
        <f>HYPERLINK("http://www.worldcat.org/oclc/42061175","WorldCat Record")</f>
        <v/>
      </c>
      <c r="AU149" t="inlineStr">
        <is>
          <t>43768:eng</t>
        </is>
      </c>
      <c r="AV149" t="inlineStr">
        <is>
          <t>42061175</t>
        </is>
      </c>
      <c r="AW149" t="inlineStr">
        <is>
          <t>991003876769702656</t>
        </is>
      </c>
      <c r="AX149" t="inlineStr">
        <is>
          <t>991003876769702656</t>
        </is>
      </c>
      <c r="AY149" t="inlineStr">
        <is>
          <t>2263401700002656</t>
        </is>
      </c>
      <c r="AZ149" t="inlineStr">
        <is>
          <t>BOOK</t>
        </is>
      </c>
      <c r="BB149" t="inlineStr">
        <is>
          <t>9780262731256</t>
        </is>
      </c>
      <c r="BC149" t="inlineStr">
        <is>
          <t>32285004649629</t>
        </is>
      </c>
      <c r="BD149" t="inlineStr">
        <is>
          <t>893343146</t>
        </is>
      </c>
    </row>
    <row r="150">
      <c r="A150" t="inlineStr">
        <is>
          <t>No</t>
        </is>
      </c>
      <c r="B150" t="inlineStr">
        <is>
          <t>P123 .B3813 1968b</t>
        </is>
      </c>
      <c r="C150" t="inlineStr">
        <is>
          <t>0                      P  0123000B  3813        1968b</t>
        </is>
      </c>
      <c r="D150" t="inlineStr">
        <is>
          <t>Elements of semiology / Translated from the French by Annette Lavers and Colin Smith.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Barthes, Roland.</t>
        </is>
      </c>
      <c r="L150" t="inlineStr">
        <is>
          <t>New York : Hill and Wang, 1968.</t>
        </is>
      </c>
      <c r="M150" t="inlineStr">
        <is>
          <t>1968</t>
        </is>
      </c>
      <c r="N150" t="inlineStr">
        <is>
          <t>[1st American ed.]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P  </t>
        </is>
      </c>
      <c r="S150" t="n">
        <v>2</v>
      </c>
      <c r="T150" t="n">
        <v>2</v>
      </c>
      <c r="U150" t="inlineStr">
        <is>
          <t>2006-11-08</t>
        </is>
      </c>
      <c r="V150" t="inlineStr">
        <is>
          <t>2006-11-08</t>
        </is>
      </c>
      <c r="W150" t="inlineStr">
        <is>
          <t>1992-12-07</t>
        </is>
      </c>
      <c r="X150" t="inlineStr">
        <is>
          <t>1992-12-07</t>
        </is>
      </c>
      <c r="Y150" t="n">
        <v>715</v>
      </c>
      <c r="Z150" t="n">
        <v>588</v>
      </c>
      <c r="AA150" t="n">
        <v>686</v>
      </c>
      <c r="AB150" t="n">
        <v>5</v>
      </c>
      <c r="AC150" t="n">
        <v>5</v>
      </c>
      <c r="AD150" t="n">
        <v>34</v>
      </c>
      <c r="AE150" t="n">
        <v>36</v>
      </c>
      <c r="AF150" t="n">
        <v>14</v>
      </c>
      <c r="AG150" t="n">
        <v>15</v>
      </c>
      <c r="AH150" t="n">
        <v>9</v>
      </c>
      <c r="AI150" t="n">
        <v>9</v>
      </c>
      <c r="AJ150" t="n">
        <v>18</v>
      </c>
      <c r="AK150" t="n">
        <v>19</v>
      </c>
      <c r="AL150" t="n">
        <v>4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HYPERLINK("https://creighton-primo.hosted.exlibrisgroup.com/primo-explore/search?tab=default_tab&amp;search_scope=EVERYTHING&amp;vid=01CRU&amp;lang=en_US&amp;offset=0&amp;query=any,contains,991002806249702656","Catalog Record")</f>
        <v/>
      </c>
      <c r="AT150">
        <f>HYPERLINK("http://www.worldcat.org/oclc/449697","WorldCat Record")</f>
        <v/>
      </c>
      <c r="AU150" t="inlineStr">
        <is>
          <t>8908672310:eng</t>
        </is>
      </c>
      <c r="AV150" t="inlineStr">
        <is>
          <t>449697</t>
        </is>
      </c>
      <c r="AW150" t="inlineStr">
        <is>
          <t>991002806249702656</t>
        </is>
      </c>
      <c r="AX150" t="inlineStr">
        <is>
          <t>991002806249702656</t>
        </is>
      </c>
      <c r="AY150" t="inlineStr">
        <is>
          <t>2265433630002656</t>
        </is>
      </c>
      <c r="AZ150" t="inlineStr">
        <is>
          <t>BOOK</t>
        </is>
      </c>
      <c r="BC150" t="inlineStr">
        <is>
          <t>32285001465904</t>
        </is>
      </c>
      <c r="BD150" t="inlineStr">
        <is>
          <t>893498558</t>
        </is>
      </c>
    </row>
    <row r="151">
      <c r="A151" t="inlineStr">
        <is>
          <t>No</t>
        </is>
      </c>
      <c r="B151" t="inlineStr">
        <is>
          <t>P123 .D5</t>
        </is>
      </c>
      <c r="C151" t="inlineStr">
        <is>
          <t>0                      P  0123000D  5</t>
        </is>
      </c>
      <c r="D151" t="inlineStr">
        <is>
          <t>Directions for historical linguistics; a symposium. Edited by W. P. Lehmann and Yakov Malkiel.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L151" t="inlineStr">
        <is>
          <t>Austin, University of Texas Press [1968]</t>
        </is>
      </c>
      <c r="M151" t="inlineStr">
        <is>
          <t>1968</t>
        </is>
      </c>
      <c r="O151" t="inlineStr">
        <is>
          <t>eng</t>
        </is>
      </c>
      <c r="P151" t="inlineStr">
        <is>
          <t>txu</t>
        </is>
      </c>
      <c r="R151" t="inlineStr">
        <is>
          <t xml:space="preserve">P  </t>
        </is>
      </c>
      <c r="S151" t="n">
        <v>1</v>
      </c>
      <c r="T151" t="n">
        <v>1</v>
      </c>
      <c r="U151" t="inlineStr">
        <is>
          <t>1999-12-23</t>
        </is>
      </c>
      <c r="V151" t="inlineStr">
        <is>
          <t>1999-12-23</t>
        </is>
      </c>
      <c r="W151" t="inlineStr">
        <is>
          <t>1997-08-18</t>
        </is>
      </c>
      <c r="X151" t="inlineStr">
        <is>
          <t>1997-08-18</t>
        </is>
      </c>
      <c r="Y151" t="n">
        <v>603</v>
      </c>
      <c r="Z151" t="n">
        <v>484</v>
      </c>
      <c r="AA151" t="n">
        <v>496</v>
      </c>
      <c r="AB151" t="n">
        <v>5</v>
      </c>
      <c r="AC151" t="n">
        <v>5</v>
      </c>
      <c r="AD151" t="n">
        <v>22</v>
      </c>
      <c r="AE151" t="n">
        <v>22</v>
      </c>
      <c r="AF151" t="n">
        <v>5</v>
      </c>
      <c r="AG151" t="n">
        <v>5</v>
      </c>
      <c r="AH151" t="n">
        <v>5</v>
      </c>
      <c r="AI151" t="n">
        <v>5</v>
      </c>
      <c r="AJ151" t="n">
        <v>13</v>
      </c>
      <c r="AK151" t="n">
        <v>13</v>
      </c>
      <c r="AL151" t="n">
        <v>4</v>
      </c>
      <c r="AM151" t="n">
        <v>4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HYPERLINK("http://catalog.hathitrust.org/Record/000003695","HathiTrust Record")</f>
        <v/>
      </c>
      <c r="AS151">
        <f>HYPERLINK("https://creighton-primo.hosted.exlibrisgroup.com/primo-explore/search?tab=default_tab&amp;search_scope=EVERYTHING&amp;vid=01CRU&amp;lang=en_US&amp;offset=0&amp;query=any,contains,991005353489702656","Catalog Record")</f>
        <v/>
      </c>
      <c r="AT151">
        <f>HYPERLINK("http://www.worldcat.org/oclc/167749","WorldCat Record")</f>
        <v/>
      </c>
      <c r="AU151" t="inlineStr">
        <is>
          <t>836642553:eng</t>
        </is>
      </c>
      <c r="AV151" t="inlineStr">
        <is>
          <t>167749</t>
        </is>
      </c>
      <c r="AW151" t="inlineStr">
        <is>
          <t>991005353489702656</t>
        </is>
      </c>
      <c r="AX151" t="inlineStr">
        <is>
          <t>991005353489702656</t>
        </is>
      </c>
      <c r="AY151" t="inlineStr">
        <is>
          <t>2272706610002656</t>
        </is>
      </c>
      <c r="AZ151" t="inlineStr">
        <is>
          <t>BOOK</t>
        </is>
      </c>
      <c r="BC151" t="inlineStr">
        <is>
          <t>32285003097283</t>
        </is>
      </c>
      <c r="BD151" t="inlineStr">
        <is>
          <t>893412714</t>
        </is>
      </c>
    </row>
    <row r="152">
      <c r="A152" t="inlineStr">
        <is>
          <t>No</t>
        </is>
      </c>
      <c r="B152" t="inlineStr">
        <is>
          <t>P123 .H28</t>
        </is>
      </c>
      <c r="C152" t="inlineStr">
        <is>
          <t>0                      P  0123000H  28</t>
        </is>
      </c>
      <c r="D152" t="inlineStr">
        <is>
          <t>Mathematical structures of language / [by] Zellig Harris.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Harris, Zellig S. (Zellig Sabbettai), 1909-1992.</t>
        </is>
      </c>
      <c r="L152" t="inlineStr">
        <is>
          <t>New York : Interscience Publishers, [1968]</t>
        </is>
      </c>
      <c r="M152" t="inlineStr">
        <is>
          <t>1968</t>
        </is>
      </c>
      <c r="O152" t="inlineStr">
        <is>
          <t>eng</t>
        </is>
      </c>
      <c r="P152" t="inlineStr">
        <is>
          <t>nyu</t>
        </is>
      </c>
      <c r="Q152" t="inlineStr">
        <is>
          <t>Interscience tracts in pure and applied mathematics ; no. 21</t>
        </is>
      </c>
      <c r="R152" t="inlineStr">
        <is>
          <t xml:space="preserve">P  </t>
        </is>
      </c>
      <c r="S152" t="n">
        <v>4</v>
      </c>
      <c r="T152" t="n">
        <v>4</v>
      </c>
      <c r="U152" t="inlineStr">
        <is>
          <t>1999-10-10</t>
        </is>
      </c>
      <c r="V152" t="inlineStr">
        <is>
          <t>1999-10-10</t>
        </is>
      </c>
      <c r="W152" t="inlineStr">
        <is>
          <t>1992-02-10</t>
        </is>
      </c>
      <c r="X152" t="inlineStr">
        <is>
          <t>1992-02-10</t>
        </is>
      </c>
      <c r="Y152" t="n">
        <v>565</v>
      </c>
      <c r="Z152" t="n">
        <v>419</v>
      </c>
      <c r="AA152" t="n">
        <v>445</v>
      </c>
      <c r="AB152" t="n">
        <v>5</v>
      </c>
      <c r="AC152" t="n">
        <v>5</v>
      </c>
      <c r="AD152" t="n">
        <v>21</v>
      </c>
      <c r="AE152" t="n">
        <v>21</v>
      </c>
      <c r="AF152" t="n">
        <v>3</v>
      </c>
      <c r="AG152" t="n">
        <v>3</v>
      </c>
      <c r="AH152" t="n">
        <v>5</v>
      </c>
      <c r="AI152" t="n">
        <v>5</v>
      </c>
      <c r="AJ152" t="n">
        <v>13</v>
      </c>
      <c r="AK152" t="n">
        <v>13</v>
      </c>
      <c r="AL152" t="n">
        <v>4</v>
      </c>
      <c r="AM152" t="n">
        <v>4</v>
      </c>
      <c r="AN152" t="n">
        <v>1</v>
      </c>
      <c r="AO152" t="n">
        <v>1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HYPERLINK("http://catalog.hathitrust.org/Record/001181001","HathiTrust Record")</f>
        <v/>
      </c>
      <c r="AS152">
        <f>HYPERLINK("https://creighton-primo.hosted.exlibrisgroup.com/primo-explore/search?tab=default_tab&amp;search_scope=EVERYTHING&amp;vid=01CRU&amp;lang=en_US&amp;offset=0&amp;query=any,contains,991002777859702656","Catalog Record")</f>
        <v/>
      </c>
      <c r="AT152">
        <f>HYPERLINK("http://www.worldcat.org/oclc/439265","WorldCat Record")</f>
        <v/>
      </c>
      <c r="AU152" t="inlineStr">
        <is>
          <t>674462995:eng</t>
        </is>
      </c>
      <c r="AV152" t="inlineStr">
        <is>
          <t>439265</t>
        </is>
      </c>
      <c r="AW152" t="inlineStr">
        <is>
          <t>991002777859702656</t>
        </is>
      </c>
      <c r="AX152" t="inlineStr">
        <is>
          <t>991002777859702656</t>
        </is>
      </c>
      <c r="AY152" t="inlineStr">
        <is>
          <t>2266541420002656</t>
        </is>
      </c>
      <c r="AZ152" t="inlineStr">
        <is>
          <t>BOOK</t>
        </is>
      </c>
      <c r="BB152" t="inlineStr">
        <is>
          <t>9780470353165</t>
        </is>
      </c>
      <c r="BC152" t="inlineStr">
        <is>
          <t>32285000954544</t>
        </is>
      </c>
      <c r="BD152" t="inlineStr">
        <is>
          <t>893597863</t>
        </is>
      </c>
    </row>
    <row r="153">
      <c r="A153" t="inlineStr">
        <is>
          <t>No</t>
        </is>
      </c>
      <c r="B153" t="inlineStr">
        <is>
          <t>P123 .M22</t>
        </is>
      </c>
      <c r="C153" t="inlineStr">
        <is>
          <t>0                      P  0123000M  22</t>
        </is>
      </c>
      <c r="D153" t="inlineStr">
        <is>
          <t>Algebraic linguistics; analytical models.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Marcus, Solomon.</t>
        </is>
      </c>
      <c r="L153" t="inlineStr">
        <is>
          <t>New York, Academic Press, 1967.</t>
        </is>
      </c>
      <c r="M153" t="inlineStr">
        <is>
          <t>1967</t>
        </is>
      </c>
      <c r="O153" t="inlineStr">
        <is>
          <t>eng</t>
        </is>
      </c>
      <c r="P153" t="inlineStr">
        <is>
          <t>nyu</t>
        </is>
      </c>
      <c r="Q153" t="inlineStr">
        <is>
          <t>Mathematics in science and engineering ; v. 29</t>
        </is>
      </c>
      <c r="R153" t="inlineStr">
        <is>
          <t xml:space="preserve">P  </t>
        </is>
      </c>
      <c r="S153" t="n">
        <v>4</v>
      </c>
      <c r="T153" t="n">
        <v>4</v>
      </c>
      <c r="U153" t="inlineStr">
        <is>
          <t>1999-10-10</t>
        </is>
      </c>
      <c r="V153" t="inlineStr">
        <is>
          <t>1999-10-10</t>
        </is>
      </c>
      <c r="W153" t="inlineStr">
        <is>
          <t>1997-08-18</t>
        </is>
      </c>
      <c r="X153" t="inlineStr">
        <is>
          <t>1997-08-18</t>
        </is>
      </c>
      <c r="Y153" t="n">
        <v>369</v>
      </c>
      <c r="Z153" t="n">
        <v>250</v>
      </c>
      <c r="AA153" t="n">
        <v>297</v>
      </c>
      <c r="AB153" t="n">
        <v>1</v>
      </c>
      <c r="AC153" t="n">
        <v>2</v>
      </c>
      <c r="AD153" t="n">
        <v>10</v>
      </c>
      <c r="AE153" t="n">
        <v>13</v>
      </c>
      <c r="AF153" t="n">
        <v>1</v>
      </c>
      <c r="AG153" t="n">
        <v>2</v>
      </c>
      <c r="AH153" t="n">
        <v>3</v>
      </c>
      <c r="AI153" t="n">
        <v>4</v>
      </c>
      <c r="AJ153" t="n">
        <v>9</v>
      </c>
      <c r="AK153" t="n">
        <v>9</v>
      </c>
      <c r="AL153" t="n">
        <v>0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HYPERLINK("http://catalog.hathitrust.org/Record/001181011","HathiTrust Record")</f>
        <v/>
      </c>
      <c r="AS153">
        <f>HYPERLINK("https://creighton-primo.hosted.exlibrisgroup.com/primo-explore/search?tab=default_tab&amp;search_scope=EVERYTHING&amp;vid=01CRU&amp;lang=en_US&amp;offset=0&amp;query=any,contains,991003414219702656","Catalog Record")</f>
        <v/>
      </c>
      <c r="AT153">
        <f>HYPERLINK("http://www.worldcat.org/oclc/952809","WorldCat Record")</f>
        <v/>
      </c>
      <c r="AU153" t="inlineStr">
        <is>
          <t>1896352:eng</t>
        </is>
      </c>
      <c r="AV153" t="inlineStr">
        <is>
          <t>952809</t>
        </is>
      </c>
      <c r="AW153" t="inlineStr">
        <is>
          <t>991003414219702656</t>
        </is>
      </c>
      <c r="AX153" t="inlineStr">
        <is>
          <t>991003414219702656</t>
        </is>
      </c>
      <c r="AY153" t="inlineStr">
        <is>
          <t>2261471040002656</t>
        </is>
      </c>
      <c r="AZ153" t="inlineStr">
        <is>
          <t>BOOK</t>
        </is>
      </c>
      <c r="BC153" t="inlineStr">
        <is>
          <t>32285003097333</t>
        </is>
      </c>
      <c r="BD153" t="inlineStr">
        <is>
          <t>893717631</t>
        </is>
      </c>
    </row>
    <row r="154">
      <c r="A154" t="inlineStr">
        <is>
          <t>No</t>
        </is>
      </c>
      <c r="B154" t="inlineStr">
        <is>
          <t>P123 .T45</t>
        </is>
      </c>
      <c r="C154" t="inlineStr">
        <is>
          <t>0                      P  0123000T  45</t>
        </is>
      </c>
      <c r="D154" t="inlineStr">
        <is>
          <t>Texas studies in bilingualism ; Spanish, French, German, Czech, Polish, Sorbian, and Norwegian in the Southwest, with a concluding chapter on code-switching and modes of speaking in American Swedish ; edited by Glenn G. Gilbert.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Berlin : de Gruyter, 1970.</t>
        </is>
      </c>
      <c r="M154" t="inlineStr">
        <is>
          <t>1970</t>
        </is>
      </c>
      <c r="O154" t="inlineStr">
        <is>
          <t>eng</t>
        </is>
      </c>
      <c r="P154" t="inlineStr">
        <is>
          <t>___</t>
        </is>
      </c>
      <c r="Q154" t="inlineStr">
        <is>
          <t>Studia linguistica Germanica ; 3</t>
        </is>
      </c>
      <c r="R154" t="inlineStr">
        <is>
          <t xml:space="preserve">P  </t>
        </is>
      </c>
      <c r="S154" t="n">
        <v>6</v>
      </c>
      <c r="T154" t="n">
        <v>6</v>
      </c>
      <c r="U154" t="inlineStr">
        <is>
          <t>2001-04-17</t>
        </is>
      </c>
      <c r="V154" t="inlineStr">
        <is>
          <t>2001-04-17</t>
        </is>
      </c>
      <c r="W154" t="inlineStr">
        <is>
          <t>1990-03-01</t>
        </is>
      </c>
      <c r="X154" t="inlineStr">
        <is>
          <t>1990-03-01</t>
        </is>
      </c>
      <c r="Y154" t="n">
        <v>292</v>
      </c>
      <c r="Z154" t="n">
        <v>190</v>
      </c>
      <c r="AA154" t="n">
        <v>211</v>
      </c>
      <c r="AB154" t="n">
        <v>3</v>
      </c>
      <c r="AC154" t="n">
        <v>3</v>
      </c>
      <c r="AD154" t="n">
        <v>8</v>
      </c>
      <c r="AE154" t="n">
        <v>8</v>
      </c>
      <c r="AF154" t="n">
        <v>1</v>
      </c>
      <c r="AG154" t="n">
        <v>1</v>
      </c>
      <c r="AH154" t="n">
        <v>2</v>
      </c>
      <c r="AI154" t="n">
        <v>2</v>
      </c>
      <c r="AJ154" t="n">
        <v>4</v>
      </c>
      <c r="AK154" t="n">
        <v>4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HYPERLINK("http://catalog.hathitrust.org/Record/001679269","HathiTrust Record")</f>
        <v/>
      </c>
      <c r="AS154">
        <f>HYPERLINK("https://creighton-primo.hosted.exlibrisgroup.com/primo-explore/search?tab=default_tab&amp;search_scope=EVERYTHING&amp;vid=01CRU&amp;lang=en_US&amp;offset=0&amp;query=any,contains,991000649029702656","Catalog Record")</f>
        <v/>
      </c>
      <c r="AT154">
        <f>HYPERLINK("http://www.worldcat.org/oclc/112424","WorldCat Record")</f>
        <v/>
      </c>
      <c r="AU154" t="inlineStr">
        <is>
          <t>865042425:eng</t>
        </is>
      </c>
      <c r="AV154" t="inlineStr">
        <is>
          <t>112424</t>
        </is>
      </c>
      <c r="AW154" t="inlineStr">
        <is>
          <t>991000649029702656</t>
        </is>
      </c>
      <c r="AX154" t="inlineStr">
        <is>
          <t>991000649029702656</t>
        </is>
      </c>
      <c r="AY154" t="inlineStr">
        <is>
          <t>2268182660002656</t>
        </is>
      </c>
      <c r="AZ154" t="inlineStr">
        <is>
          <t>BOOK</t>
        </is>
      </c>
      <c r="BC154" t="inlineStr">
        <is>
          <t>32285000075027</t>
        </is>
      </c>
      <c r="BD154" t="inlineStr">
        <is>
          <t>893897080</t>
        </is>
      </c>
    </row>
    <row r="155">
      <c r="A155" t="inlineStr">
        <is>
          <t>No</t>
        </is>
      </c>
      <c r="B155" t="inlineStr">
        <is>
          <t>P129 .C67 2003</t>
        </is>
      </c>
      <c r="C155" t="inlineStr">
        <is>
          <t>0                      P  0129000C  67          2003</t>
        </is>
      </c>
      <c r="D155" t="inlineStr">
        <is>
          <t>Controversies in applied linguistics / edited by Barbara Seidlhofer.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L155" t="inlineStr">
        <is>
          <t>Oxford : Oxford University Press, 2003.</t>
        </is>
      </c>
      <c r="M155" t="inlineStr">
        <is>
          <t>2003</t>
        </is>
      </c>
      <c r="O155" t="inlineStr">
        <is>
          <t>eng</t>
        </is>
      </c>
      <c r="P155" t="inlineStr">
        <is>
          <t>enk</t>
        </is>
      </c>
      <c r="Q155" t="inlineStr">
        <is>
          <t>Oxford applied linguistics</t>
        </is>
      </c>
      <c r="R155" t="inlineStr">
        <is>
          <t xml:space="preserve">P  </t>
        </is>
      </c>
      <c r="S155" t="n">
        <v>1</v>
      </c>
      <c r="T155" t="n">
        <v>1</v>
      </c>
      <c r="U155" t="inlineStr">
        <is>
          <t>2006-05-04</t>
        </is>
      </c>
      <c r="V155" t="inlineStr">
        <is>
          <t>2006-05-04</t>
        </is>
      </c>
      <c r="W155" t="inlineStr">
        <is>
          <t>2006-03-08</t>
        </is>
      </c>
      <c r="X155" t="inlineStr">
        <is>
          <t>2006-03-08</t>
        </is>
      </c>
      <c r="Y155" t="n">
        <v>234</v>
      </c>
      <c r="Z155" t="n">
        <v>71</v>
      </c>
      <c r="AA155" t="n">
        <v>73</v>
      </c>
      <c r="AB155" t="n">
        <v>1</v>
      </c>
      <c r="AC155" t="n">
        <v>1</v>
      </c>
      <c r="AD155" t="n">
        <v>3</v>
      </c>
      <c r="AE155" t="n">
        <v>3</v>
      </c>
      <c r="AF155" t="n">
        <v>1</v>
      </c>
      <c r="AG155" t="n">
        <v>1</v>
      </c>
      <c r="AH155" t="n">
        <v>1</v>
      </c>
      <c r="AI155" t="n">
        <v>1</v>
      </c>
      <c r="AJ155" t="n">
        <v>2</v>
      </c>
      <c r="AK155" t="n">
        <v>2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HYPERLINK("http://catalog.hathitrust.org/Record/007147358","HathiTrust Record")</f>
        <v/>
      </c>
      <c r="AS155">
        <f>HYPERLINK("https://creighton-primo.hosted.exlibrisgroup.com/primo-explore/search?tab=default_tab&amp;search_scope=EVERYTHING&amp;vid=01CRU&amp;lang=en_US&amp;offset=0&amp;query=any,contains,991004762979702656","Catalog Record")</f>
        <v/>
      </c>
      <c r="AT155">
        <f>HYPERLINK("http://www.worldcat.org/oclc/52573263","WorldCat Record")</f>
        <v/>
      </c>
      <c r="AU155" t="inlineStr">
        <is>
          <t>661179:eng</t>
        </is>
      </c>
      <c r="AV155" t="inlineStr">
        <is>
          <t>52573263</t>
        </is>
      </c>
      <c r="AW155" t="inlineStr">
        <is>
          <t>991004762979702656</t>
        </is>
      </c>
      <c r="AX155" t="inlineStr">
        <is>
          <t>991004762979702656</t>
        </is>
      </c>
      <c r="AY155" t="inlineStr">
        <is>
          <t>2256522170002656</t>
        </is>
      </c>
      <c r="AZ155" t="inlineStr">
        <is>
          <t>BOOK</t>
        </is>
      </c>
      <c r="BB155" t="inlineStr">
        <is>
          <t>9780194374446</t>
        </is>
      </c>
      <c r="BC155" t="inlineStr">
        <is>
          <t>32285005185409</t>
        </is>
      </c>
      <c r="BD155" t="inlineStr">
        <is>
          <t>893700642</t>
        </is>
      </c>
    </row>
    <row r="156">
      <c r="A156" t="inlineStr">
        <is>
          <t>No</t>
        </is>
      </c>
      <c r="B156" t="inlineStr">
        <is>
          <t>P130.5 .G44 1983</t>
        </is>
      </c>
      <c r="C156" t="inlineStr">
        <is>
          <t>0                      P  0130500G  44          1983</t>
        </is>
      </c>
      <c r="D156" t="inlineStr">
        <is>
          <t>Gegenwärtige Tendenzen der Kontaktlinguistik = Current trends in contact linguistics / P.H. Nelde (ed.).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Bonn : Dümmler, 1983.</t>
        </is>
      </c>
      <c r="M156" t="inlineStr">
        <is>
          <t>1983</t>
        </is>
      </c>
      <c r="O156" t="inlineStr">
        <is>
          <t>ger</t>
        </is>
      </c>
      <c r="P156" t="inlineStr">
        <is>
          <t xml:space="preserve">gw </t>
        </is>
      </c>
      <c r="Q156" t="inlineStr">
        <is>
          <t>Plurilingua ; 1</t>
        </is>
      </c>
      <c r="R156" t="inlineStr">
        <is>
          <t xml:space="preserve">P  </t>
        </is>
      </c>
      <c r="S156" t="n">
        <v>4</v>
      </c>
      <c r="T156" t="n">
        <v>4</v>
      </c>
      <c r="U156" t="inlineStr">
        <is>
          <t>2005-04-26</t>
        </is>
      </c>
      <c r="V156" t="inlineStr">
        <is>
          <t>2005-04-26</t>
        </is>
      </c>
      <c r="W156" t="inlineStr">
        <is>
          <t>1993-04-01</t>
        </is>
      </c>
      <c r="X156" t="inlineStr">
        <is>
          <t>1993-04-01</t>
        </is>
      </c>
      <c r="Y156" t="n">
        <v>82</v>
      </c>
      <c r="Z156" t="n">
        <v>38</v>
      </c>
      <c r="AA156" t="n">
        <v>40</v>
      </c>
      <c r="AB156" t="n">
        <v>1</v>
      </c>
      <c r="AC156" t="n">
        <v>1</v>
      </c>
      <c r="AD156" t="n">
        <v>1</v>
      </c>
      <c r="AE156" t="n">
        <v>1</v>
      </c>
      <c r="AF156" t="n">
        <v>0</v>
      </c>
      <c r="AG156" t="n">
        <v>0</v>
      </c>
      <c r="AH156" t="n">
        <v>1</v>
      </c>
      <c r="AI156" t="n">
        <v>1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HYPERLINK("http://catalog.hathitrust.org/Record/000492653","HathiTrust Record")</f>
        <v/>
      </c>
      <c r="AS156">
        <f>HYPERLINK("https://creighton-primo.hosted.exlibrisgroup.com/primo-explore/search?tab=default_tab&amp;search_scope=EVERYTHING&amp;vid=01CRU&amp;lang=en_US&amp;offset=0&amp;query=any,contains,991000442589702656","Catalog Record")</f>
        <v/>
      </c>
      <c r="AT156">
        <f>HYPERLINK("http://www.worldcat.org/oclc/10826048","WorldCat Record")</f>
        <v/>
      </c>
      <c r="AU156" t="inlineStr">
        <is>
          <t>479057292:ger</t>
        </is>
      </c>
      <c r="AV156" t="inlineStr">
        <is>
          <t>10826048</t>
        </is>
      </c>
      <c r="AW156" t="inlineStr">
        <is>
          <t>991000442589702656</t>
        </is>
      </c>
      <c r="AX156" t="inlineStr">
        <is>
          <t>991000442589702656</t>
        </is>
      </c>
      <c r="AY156" t="inlineStr">
        <is>
          <t>2268177010002656</t>
        </is>
      </c>
      <c r="AZ156" t="inlineStr">
        <is>
          <t>BOOK</t>
        </is>
      </c>
      <c r="BB156" t="inlineStr">
        <is>
          <t>9783427640110</t>
        </is>
      </c>
      <c r="BC156" t="inlineStr">
        <is>
          <t>32285001613602</t>
        </is>
      </c>
      <c r="BD156" t="inlineStr">
        <is>
          <t>893508776</t>
        </is>
      </c>
    </row>
    <row r="157">
      <c r="A157" t="inlineStr">
        <is>
          <t>No</t>
        </is>
      </c>
      <c r="B157" t="inlineStr">
        <is>
          <t>P131 .G76</t>
        </is>
      </c>
      <c r="C157" t="inlineStr">
        <is>
          <t>0                      P  0131000G  76</t>
        </is>
      </c>
      <c r="D157" t="inlineStr">
        <is>
          <t>Über den Ursprung der Sprache; gelesen in der Preussischen Akademie der Wissenschaften am 9. January 1851. Mit einem Nachwort von M. Rassem.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Grimm, Jacob, 1785-1863.</t>
        </is>
      </c>
      <c r="L157" t="inlineStr">
        <is>
          <t>[Wiesbaden] Insel Verlag [1958]</t>
        </is>
      </c>
      <c r="M157" t="inlineStr">
        <is>
          <t>1958</t>
        </is>
      </c>
      <c r="O157" t="inlineStr">
        <is>
          <t>ger</t>
        </is>
      </c>
      <c r="P157" t="inlineStr">
        <is>
          <t xml:space="preserve">gw </t>
        </is>
      </c>
      <c r="Q157" t="inlineStr">
        <is>
          <t>Insel Bücherei, 120</t>
        </is>
      </c>
      <c r="R157" t="inlineStr">
        <is>
          <t xml:space="preserve">P  </t>
        </is>
      </c>
      <c r="S157" t="n">
        <v>1</v>
      </c>
      <c r="T157" t="n">
        <v>1</v>
      </c>
      <c r="U157" t="inlineStr">
        <is>
          <t>2008-03-11</t>
        </is>
      </c>
      <c r="V157" t="inlineStr">
        <is>
          <t>2008-03-11</t>
        </is>
      </c>
      <c r="W157" t="inlineStr">
        <is>
          <t>1997-08-18</t>
        </is>
      </c>
      <c r="X157" t="inlineStr">
        <is>
          <t>1997-08-18</t>
        </is>
      </c>
      <c r="Y157" t="n">
        <v>43</v>
      </c>
      <c r="Z157" t="n">
        <v>24</v>
      </c>
      <c r="AA157" t="n">
        <v>24</v>
      </c>
      <c r="AB157" t="n">
        <v>1</v>
      </c>
      <c r="AC157" t="n">
        <v>1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HYPERLINK("https://creighton-primo.hosted.exlibrisgroup.com/primo-explore/search?tab=default_tab&amp;search_scope=EVERYTHING&amp;vid=01CRU&amp;lang=en_US&amp;offset=0&amp;query=any,contains,991004401009702656","Catalog Record")</f>
        <v/>
      </c>
      <c r="AT157">
        <f>HYPERLINK("http://www.worldcat.org/oclc/3300947","WorldCat Record")</f>
        <v/>
      </c>
      <c r="AU157" t="inlineStr">
        <is>
          <t>4020307729:ger</t>
        </is>
      </c>
      <c r="AV157" t="inlineStr">
        <is>
          <t>3300947</t>
        </is>
      </c>
      <c r="AW157" t="inlineStr">
        <is>
          <t>991004401009702656</t>
        </is>
      </c>
      <c r="AX157" t="inlineStr">
        <is>
          <t>991004401009702656</t>
        </is>
      </c>
      <c r="AY157" t="inlineStr">
        <is>
          <t>2266251290002656</t>
        </is>
      </c>
      <c r="AZ157" t="inlineStr">
        <is>
          <t>BOOK</t>
        </is>
      </c>
      <c r="BC157" t="inlineStr">
        <is>
          <t>32285003097432</t>
        </is>
      </c>
      <c r="BD157" t="inlineStr">
        <is>
          <t>893718859</t>
        </is>
      </c>
    </row>
    <row r="158">
      <c r="A158" t="inlineStr">
        <is>
          <t>No</t>
        </is>
      </c>
      <c r="B158" t="inlineStr">
        <is>
          <t>P131 .H62</t>
        </is>
      </c>
      <c r="C158" t="inlineStr">
        <is>
          <t>0                      P  0131000H  62</t>
        </is>
      </c>
      <c r="D158" t="inlineStr">
        <is>
          <t>The origin of speech / by Charles D. Hockett.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Hockett, Charles D.</t>
        </is>
      </c>
      <c r="L158" t="inlineStr">
        <is>
          <t>San Francisco : W.H. Freeman, 1960.</t>
        </is>
      </c>
      <c r="M158" t="inlineStr">
        <is>
          <t>1960</t>
        </is>
      </c>
      <c r="O158" t="inlineStr">
        <is>
          <t>eng</t>
        </is>
      </c>
      <c r="P158" t="inlineStr">
        <is>
          <t xml:space="preserve">xx </t>
        </is>
      </c>
      <c r="R158" t="inlineStr">
        <is>
          <t xml:space="preserve">P  </t>
        </is>
      </c>
      <c r="S158" t="n">
        <v>0</v>
      </c>
      <c r="T158" t="n">
        <v>0</v>
      </c>
      <c r="U158" t="inlineStr">
        <is>
          <t>2006-02-10</t>
        </is>
      </c>
      <c r="V158" t="inlineStr">
        <is>
          <t>2006-02-10</t>
        </is>
      </c>
      <c r="W158" t="inlineStr">
        <is>
          <t>1997-08-18</t>
        </is>
      </c>
      <c r="X158" t="inlineStr">
        <is>
          <t>1997-08-18</t>
        </is>
      </c>
      <c r="Y158" t="n">
        <v>18</v>
      </c>
      <c r="Z158" t="n">
        <v>12</v>
      </c>
      <c r="AA158" t="n">
        <v>12</v>
      </c>
      <c r="AB158" t="n">
        <v>1</v>
      </c>
      <c r="AC158" t="n">
        <v>1</v>
      </c>
      <c r="AD158" t="n">
        <v>1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1</v>
      </c>
      <c r="AL158" t="n">
        <v>0</v>
      </c>
      <c r="AM158" t="n">
        <v>0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HYPERLINK("https://creighton-primo.hosted.exlibrisgroup.com/primo-explore/search?tab=default_tab&amp;search_scope=EVERYTHING&amp;vid=01CRU&amp;lang=en_US&amp;offset=0&amp;query=any,contains,991004631419702656","Catalog Record")</f>
        <v/>
      </c>
      <c r="AT158">
        <f>HYPERLINK("http://www.worldcat.org/oclc/4374819","WorldCat Record")</f>
        <v/>
      </c>
      <c r="AU158" t="inlineStr">
        <is>
          <t>2908738848:eng</t>
        </is>
      </c>
      <c r="AV158" t="inlineStr">
        <is>
          <t>4374819</t>
        </is>
      </c>
      <c r="AW158" t="inlineStr">
        <is>
          <t>991004631419702656</t>
        </is>
      </c>
      <c r="AX158" t="inlineStr">
        <is>
          <t>991004631419702656</t>
        </is>
      </c>
      <c r="AY158" t="inlineStr">
        <is>
          <t>2264098390002656</t>
        </is>
      </c>
      <c r="AZ158" t="inlineStr">
        <is>
          <t>BOOK</t>
        </is>
      </c>
      <c r="BC158" t="inlineStr">
        <is>
          <t>32285003097440</t>
        </is>
      </c>
      <c r="BD158" t="inlineStr">
        <is>
          <t>893325582</t>
        </is>
      </c>
    </row>
    <row r="159">
      <c r="A159" t="inlineStr">
        <is>
          <t>No</t>
        </is>
      </c>
      <c r="B159" t="inlineStr">
        <is>
          <t>P131 .R6</t>
        </is>
      </c>
      <c r="C159" t="inlineStr">
        <is>
          <t>0                      P  0131000R  6</t>
        </is>
      </c>
      <c r="D159" t="inlineStr">
        <is>
          <t>Primitive speech and English.</t>
        </is>
      </c>
      <c r="F159" t="inlineStr">
        <is>
          <t>Yes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Rosenman, J.</t>
        </is>
      </c>
      <c r="L159" t="inlineStr">
        <is>
          <t>Austin, San Felipe Press [1969]</t>
        </is>
      </c>
      <c r="M159" t="inlineStr">
        <is>
          <t>1969</t>
        </is>
      </c>
      <c r="O159" t="inlineStr">
        <is>
          <t>eng</t>
        </is>
      </c>
      <c r="P159" t="inlineStr">
        <is>
          <t>txu</t>
        </is>
      </c>
      <c r="R159" t="inlineStr">
        <is>
          <t xml:space="preserve">P  </t>
        </is>
      </c>
      <c r="S159" t="n">
        <v>2</v>
      </c>
      <c r="T159" t="n">
        <v>2</v>
      </c>
      <c r="U159" t="inlineStr">
        <is>
          <t>1998-11-17</t>
        </is>
      </c>
      <c r="V159" t="inlineStr">
        <is>
          <t>1998-11-17</t>
        </is>
      </c>
      <c r="W159" t="inlineStr">
        <is>
          <t>1997-08-18</t>
        </is>
      </c>
      <c r="X159" t="inlineStr">
        <is>
          <t>1997-08-18</t>
        </is>
      </c>
      <c r="Y159" t="n">
        <v>193</v>
      </c>
      <c r="Z159" t="n">
        <v>183</v>
      </c>
      <c r="AA159" t="n">
        <v>280</v>
      </c>
      <c r="AB159" t="n">
        <v>3</v>
      </c>
      <c r="AC159" t="n">
        <v>3</v>
      </c>
      <c r="AD159" t="n">
        <v>12</v>
      </c>
      <c r="AE159" t="n">
        <v>16</v>
      </c>
      <c r="AF159" t="n">
        <v>3</v>
      </c>
      <c r="AG159" t="n">
        <v>6</v>
      </c>
      <c r="AH159" t="n">
        <v>2</v>
      </c>
      <c r="AI159" t="n">
        <v>3</v>
      </c>
      <c r="AJ159" t="n">
        <v>7</v>
      </c>
      <c r="AK159" t="n">
        <v>9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HYPERLINK("http://catalog.hathitrust.org/Record/007882988","HathiTrust Record")</f>
        <v/>
      </c>
      <c r="AS159">
        <f>HYPERLINK("https://creighton-primo.hosted.exlibrisgroup.com/primo-explore/search?tab=default_tab&amp;search_scope=EVERYTHING&amp;vid=01CRU&amp;lang=en_US&amp;offset=0&amp;query=any,contains,991003244279702656","Catalog Record")</f>
        <v/>
      </c>
      <c r="AT159">
        <f>HYPERLINK("http://www.worldcat.org/oclc/767259","WorldCat Record")</f>
        <v/>
      </c>
      <c r="AU159" t="inlineStr">
        <is>
          <t>1521100:eng</t>
        </is>
      </c>
      <c r="AV159" t="inlineStr">
        <is>
          <t>767259</t>
        </is>
      </c>
      <c r="AW159" t="inlineStr">
        <is>
          <t>991003244279702656</t>
        </is>
      </c>
      <c r="AX159" t="inlineStr">
        <is>
          <t>991003244279702656</t>
        </is>
      </c>
      <c r="AY159" t="inlineStr">
        <is>
          <t>2267287350002656</t>
        </is>
      </c>
      <c r="AZ159" t="inlineStr">
        <is>
          <t>BOOK</t>
        </is>
      </c>
      <c r="BC159" t="inlineStr">
        <is>
          <t>32285003097457</t>
        </is>
      </c>
      <c r="BD159" t="inlineStr">
        <is>
          <t>893530996</t>
        </is>
      </c>
    </row>
    <row r="160">
      <c r="A160" t="inlineStr">
        <is>
          <t>No</t>
        </is>
      </c>
      <c r="B160" t="inlineStr">
        <is>
          <t>P132 .L53 1984</t>
        </is>
      </c>
      <c r="C160" t="inlineStr">
        <is>
          <t>0                      P  0132000L  53          1984</t>
        </is>
      </c>
      <c r="D160" t="inlineStr">
        <is>
          <t>The biology and evolution of language / Philip Lieberman.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Lieberman, Philip.</t>
        </is>
      </c>
      <c r="L160" t="inlineStr">
        <is>
          <t>Cambridge, Mass. : Harvard University Press, 1984.</t>
        </is>
      </c>
      <c r="M160" t="inlineStr">
        <is>
          <t>1984</t>
        </is>
      </c>
      <c r="O160" t="inlineStr">
        <is>
          <t>eng</t>
        </is>
      </c>
      <c r="P160" t="inlineStr">
        <is>
          <t>mau</t>
        </is>
      </c>
      <c r="R160" t="inlineStr">
        <is>
          <t xml:space="preserve">P  </t>
        </is>
      </c>
      <c r="S160" t="n">
        <v>11</v>
      </c>
      <c r="T160" t="n">
        <v>11</v>
      </c>
      <c r="U160" t="inlineStr">
        <is>
          <t>2007-02-05</t>
        </is>
      </c>
      <c r="V160" t="inlineStr">
        <is>
          <t>2007-02-05</t>
        </is>
      </c>
      <c r="W160" t="inlineStr">
        <is>
          <t>1990-08-13</t>
        </is>
      </c>
      <c r="X160" t="inlineStr">
        <is>
          <t>1990-08-13</t>
        </is>
      </c>
      <c r="Y160" t="n">
        <v>653</v>
      </c>
      <c r="Z160" t="n">
        <v>442</v>
      </c>
      <c r="AA160" t="n">
        <v>448</v>
      </c>
      <c r="AB160" t="n">
        <v>5</v>
      </c>
      <c r="AC160" t="n">
        <v>5</v>
      </c>
      <c r="AD160" t="n">
        <v>25</v>
      </c>
      <c r="AE160" t="n">
        <v>25</v>
      </c>
      <c r="AF160" t="n">
        <v>9</v>
      </c>
      <c r="AG160" t="n">
        <v>9</v>
      </c>
      <c r="AH160" t="n">
        <v>8</v>
      </c>
      <c r="AI160" t="n">
        <v>8</v>
      </c>
      <c r="AJ160" t="n">
        <v>10</v>
      </c>
      <c r="AK160" t="n">
        <v>10</v>
      </c>
      <c r="AL160" t="n">
        <v>4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HYPERLINK("http://catalog.hathitrust.org/Record/000323377","HathiTrust Record")</f>
        <v/>
      </c>
      <c r="AS160">
        <f>HYPERLINK("https://creighton-primo.hosted.exlibrisgroup.com/primo-explore/search?tab=default_tab&amp;search_scope=EVERYTHING&amp;vid=01CRU&amp;lang=en_US&amp;offset=0&amp;query=any,contains,991000306409702656","Catalog Record")</f>
        <v/>
      </c>
      <c r="AT160">
        <f>HYPERLINK("http://www.worldcat.org/oclc/10071298","WorldCat Record")</f>
        <v/>
      </c>
      <c r="AU160" t="inlineStr">
        <is>
          <t>3047139:eng</t>
        </is>
      </c>
      <c r="AV160" t="inlineStr">
        <is>
          <t>10071298</t>
        </is>
      </c>
      <c r="AW160" t="inlineStr">
        <is>
          <t>991000306409702656</t>
        </is>
      </c>
      <c r="AX160" t="inlineStr">
        <is>
          <t>991000306409702656</t>
        </is>
      </c>
      <c r="AY160" t="inlineStr">
        <is>
          <t>2264938710002656</t>
        </is>
      </c>
      <c r="AZ160" t="inlineStr">
        <is>
          <t>BOOK</t>
        </is>
      </c>
      <c r="BB160" t="inlineStr">
        <is>
          <t>9780674074125</t>
        </is>
      </c>
      <c r="BC160" t="inlineStr">
        <is>
          <t>32285000273283</t>
        </is>
      </c>
      <c r="BD160" t="inlineStr">
        <is>
          <t>893407080</t>
        </is>
      </c>
    </row>
    <row r="161">
      <c r="A161" t="inlineStr">
        <is>
          <t>No</t>
        </is>
      </c>
      <c r="B161" t="inlineStr">
        <is>
          <t>P136 .C6</t>
        </is>
      </c>
      <c r="C161" t="inlineStr">
        <is>
          <t>0                      P  0136000C  6</t>
        </is>
      </c>
      <c r="D161" t="inlineStr">
        <is>
          <t>Cognitive development and the acquisition of language, edited by Timothy E. Moore.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L161" t="inlineStr">
        <is>
          <t>New York, Academic Press, 1973.</t>
        </is>
      </c>
      <c r="M161" t="inlineStr">
        <is>
          <t>1973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P  </t>
        </is>
      </c>
      <c r="S161" t="n">
        <v>6</v>
      </c>
      <c r="T161" t="n">
        <v>6</v>
      </c>
      <c r="U161" t="inlineStr">
        <is>
          <t>2003-10-12</t>
        </is>
      </c>
      <c r="V161" t="inlineStr">
        <is>
          <t>2003-10-12</t>
        </is>
      </c>
      <c r="W161" t="inlineStr">
        <is>
          <t>1997-08-18</t>
        </is>
      </c>
      <c r="X161" t="inlineStr">
        <is>
          <t>1997-08-18</t>
        </is>
      </c>
      <c r="Y161" t="n">
        <v>860</v>
      </c>
      <c r="Z161" t="n">
        <v>612</v>
      </c>
      <c r="AA161" t="n">
        <v>649</v>
      </c>
      <c r="AB161" t="n">
        <v>5</v>
      </c>
      <c r="AC161" t="n">
        <v>6</v>
      </c>
      <c r="AD161" t="n">
        <v>29</v>
      </c>
      <c r="AE161" t="n">
        <v>31</v>
      </c>
      <c r="AF161" t="n">
        <v>11</v>
      </c>
      <c r="AG161" t="n">
        <v>12</v>
      </c>
      <c r="AH161" t="n">
        <v>6</v>
      </c>
      <c r="AI161" t="n">
        <v>7</v>
      </c>
      <c r="AJ161" t="n">
        <v>17</v>
      </c>
      <c r="AK161" t="n">
        <v>17</v>
      </c>
      <c r="AL161" t="n">
        <v>3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HYPERLINK("http://catalog.hathitrust.org/Record/000430934","HathiTrust Record")</f>
        <v/>
      </c>
      <c r="AS161">
        <f>HYPERLINK("https://creighton-primo.hosted.exlibrisgroup.com/primo-explore/search?tab=default_tab&amp;search_scope=EVERYTHING&amp;vid=01CRU&amp;lang=en_US&amp;offset=0&amp;query=any,contains,991003205209702656","Catalog Record")</f>
        <v/>
      </c>
      <c r="AT161">
        <f>HYPERLINK("http://www.worldcat.org/oclc/730529","WorldCat Record")</f>
        <v/>
      </c>
      <c r="AU161" t="inlineStr">
        <is>
          <t>111705128:eng</t>
        </is>
      </c>
      <c r="AV161" t="inlineStr">
        <is>
          <t>730529</t>
        </is>
      </c>
      <c r="AW161" t="inlineStr">
        <is>
          <t>991003205209702656</t>
        </is>
      </c>
      <c r="AX161" t="inlineStr">
        <is>
          <t>991003205209702656</t>
        </is>
      </c>
      <c r="AY161" t="inlineStr">
        <is>
          <t>2270486930002656</t>
        </is>
      </c>
      <c r="AZ161" t="inlineStr">
        <is>
          <t>BOOK</t>
        </is>
      </c>
      <c r="BB161" t="inlineStr">
        <is>
          <t>9780125058506</t>
        </is>
      </c>
      <c r="BC161" t="inlineStr">
        <is>
          <t>32285003097473</t>
        </is>
      </c>
      <c r="BD161" t="inlineStr">
        <is>
          <t>893434741</t>
        </is>
      </c>
    </row>
    <row r="162">
      <c r="A162" t="inlineStr">
        <is>
          <t>No</t>
        </is>
      </c>
      <c r="B162" t="inlineStr">
        <is>
          <t>P140 .C76 1997</t>
        </is>
      </c>
      <c r="C162" t="inlineStr">
        <is>
          <t>0                      P  0140000C  76          1997</t>
        </is>
      </c>
      <c r="D162" t="inlineStr">
        <is>
          <t>An introduction to historical linguistics / Terry Crowley.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Crowley, Terry.</t>
        </is>
      </c>
      <c r="L162" t="inlineStr">
        <is>
          <t>Auckland ; New York : Oxford University Press, 1997.</t>
        </is>
      </c>
      <c r="M162" t="inlineStr">
        <is>
          <t>1997</t>
        </is>
      </c>
      <c r="N162" t="inlineStr">
        <is>
          <t>3rd ed.</t>
        </is>
      </c>
      <c r="O162" t="inlineStr">
        <is>
          <t>eng</t>
        </is>
      </c>
      <c r="P162" t="inlineStr">
        <is>
          <t xml:space="preserve">nz </t>
        </is>
      </c>
      <c r="R162" t="inlineStr">
        <is>
          <t xml:space="preserve">P  </t>
        </is>
      </c>
      <c r="S162" t="n">
        <v>3</v>
      </c>
      <c r="T162" t="n">
        <v>3</v>
      </c>
      <c r="U162" t="inlineStr">
        <is>
          <t>2007-05-11</t>
        </is>
      </c>
      <c r="V162" t="inlineStr">
        <is>
          <t>2007-05-11</t>
        </is>
      </c>
      <c r="W162" t="inlineStr">
        <is>
          <t>1998-06-09</t>
        </is>
      </c>
      <c r="X162" t="inlineStr">
        <is>
          <t>1998-06-09</t>
        </is>
      </c>
      <c r="Y162" t="n">
        <v>235</v>
      </c>
      <c r="Z162" t="n">
        <v>126</v>
      </c>
      <c r="AA162" t="n">
        <v>296</v>
      </c>
      <c r="AB162" t="n">
        <v>2</v>
      </c>
      <c r="AC162" t="n">
        <v>3</v>
      </c>
      <c r="AD162" t="n">
        <v>2</v>
      </c>
      <c r="AE162" t="n">
        <v>13</v>
      </c>
      <c r="AF162" t="n">
        <v>0</v>
      </c>
      <c r="AG162" t="n">
        <v>4</v>
      </c>
      <c r="AH162" t="n">
        <v>1</v>
      </c>
      <c r="AI162" t="n">
        <v>4</v>
      </c>
      <c r="AJ162" t="n">
        <v>1</v>
      </c>
      <c r="AK162" t="n">
        <v>8</v>
      </c>
      <c r="AL162" t="n">
        <v>1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HYPERLINK("http://catalog.hathitrust.org/Record/007136389","HathiTrust Record")</f>
        <v/>
      </c>
      <c r="AS162">
        <f>HYPERLINK("https://creighton-primo.hosted.exlibrisgroup.com/primo-explore/search?tab=default_tab&amp;search_scope=EVERYTHING&amp;vid=01CRU&amp;lang=en_US&amp;offset=0&amp;query=any,contains,991002909149702656","Catalog Record")</f>
        <v/>
      </c>
      <c r="AT162">
        <f>HYPERLINK("http://www.worldcat.org/oclc/38453089","WorldCat Record")</f>
        <v/>
      </c>
      <c r="AU162" t="inlineStr">
        <is>
          <t>19250263:eng</t>
        </is>
      </c>
      <c r="AV162" t="inlineStr">
        <is>
          <t>38453089</t>
        </is>
      </c>
      <c r="AW162" t="inlineStr">
        <is>
          <t>991002909149702656</t>
        </is>
      </c>
      <c r="AX162" t="inlineStr">
        <is>
          <t>991002909149702656</t>
        </is>
      </c>
      <c r="AY162" t="inlineStr">
        <is>
          <t>2261492090002656</t>
        </is>
      </c>
      <c r="AZ162" t="inlineStr">
        <is>
          <t>BOOK</t>
        </is>
      </c>
      <c r="BB162" t="inlineStr">
        <is>
          <t>9780195583786</t>
        </is>
      </c>
      <c r="BC162" t="inlineStr">
        <is>
          <t>32285003413787</t>
        </is>
      </c>
      <c r="BD162" t="inlineStr">
        <is>
          <t>893717071</t>
        </is>
      </c>
    </row>
    <row r="163">
      <c r="A163" t="inlineStr">
        <is>
          <t>No</t>
        </is>
      </c>
      <c r="B163" t="inlineStr">
        <is>
          <t>P140 .S34 2001</t>
        </is>
      </c>
      <c r="C163" t="inlineStr">
        <is>
          <t>0                      P  0140000S  34          2001</t>
        </is>
      </c>
      <c r="D163" t="inlineStr">
        <is>
          <t>Historical linguistics / Herbert Schendl.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Schendl, Herbert.</t>
        </is>
      </c>
      <c r="L163" t="inlineStr">
        <is>
          <t>Oxford : Oxford University Press, 2001.</t>
        </is>
      </c>
      <c r="M163" t="inlineStr">
        <is>
          <t>2001</t>
        </is>
      </c>
      <c r="O163" t="inlineStr">
        <is>
          <t>eng</t>
        </is>
      </c>
      <c r="P163" t="inlineStr">
        <is>
          <t>enk</t>
        </is>
      </c>
      <c r="Q163" t="inlineStr">
        <is>
          <t>Oxford introductions to language study</t>
        </is>
      </c>
      <c r="R163" t="inlineStr">
        <is>
          <t xml:space="preserve">P  </t>
        </is>
      </c>
      <c r="S163" t="n">
        <v>4</v>
      </c>
      <c r="T163" t="n">
        <v>4</v>
      </c>
      <c r="U163" t="inlineStr">
        <is>
          <t>2010-05-06</t>
        </is>
      </c>
      <c r="V163" t="inlineStr">
        <is>
          <t>2010-05-06</t>
        </is>
      </c>
      <c r="W163" t="inlineStr">
        <is>
          <t>2006-03-08</t>
        </is>
      </c>
      <c r="X163" t="inlineStr">
        <is>
          <t>2006-03-08</t>
        </is>
      </c>
      <c r="Y163" t="n">
        <v>144</v>
      </c>
      <c r="Z163" t="n">
        <v>58</v>
      </c>
      <c r="AA163" t="n">
        <v>59</v>
      </c>
      <c r="AB163" t="n">
        <v>1</v>
      </c>
      <c r="AC163" t="n">
        <v>1</v>
      </c>
      <c r="AD163" t="n">
        <v>3</v>
      </c>
      <c r="AE163" t="n">
        <v>3</v>
      </c>
      <c r="AF163" t="n">
        <v>3</v>
      </c>
      <c r="AG163" t="n">
        <v>3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HYPERLINK("http://catalog.hathitrust.org/Record/004193395","HathiTrust Record")</f>
        <v/>
      </c>
      <c r="AS163">
        <f>HYPERLINK("https://creighton-primo.hosted.exlibrisgroup.com/primo-explore/search?tab=default_tab&amp;search_scope=EVERYTHING&amp;vid=01CRU&amp;lang=en_US&amp;offset=0&amp;query=any,contains,991004763009702656","Catalog Record")</f>
        <v/>
      </c>
      <c r="AT163">
        <f>HYPERLINK("http://www.worldcat.org/oclc/47063571","WorldCat Record")</f>
        <v/>
      </c>
      <c r="AU163" t="inlineStr">
        <is>
          <t>35988067:eng</t>
        </is>
      </c>
      <c r="AV163" t="inlineStr">
        <is>
          <t>47063571</t>
        </is>
      </c>
      <c r="AW163" t="inlineStr">
        <is>
          <t>991004763009702656</t>
        </is>
      </c>
      <c r="AX163" t="inlineStr">
        <is>
          <t>991004763009702656</t>
        </is>
      </c>
      <c r="AY163" t="inlineStr">
        <is>
          <t>2272288130002656</t>
        </is>
      </c>
      <c r="AZ163" t="inlineStr">
        <is>
          <t>BOOK</t>
        </is>
      </c>
      <c r="BB163" t="inlineStr">
        <is>
          <t>9780194372381</t>
        </is>
      </c>
      <c r="BC163" t="inlineStr">
        <is>
          <t>32285005185326</t>
        </is>
      </c>
      <c r="BD163" t="inlineStr">
        <is>
          <t>893229797</t>
        </is>
      </c>
    </row>
    <row r="164">
      <c r="A164" t="inlineStr">
        <is>
          <t>No</t>
        </is>
      </c>
      <c r="B164" t="inlineStr">
        <is>
          <t>P142 .L3</t>
        </is>
      </c>
      <c r="C164" t="inlineStr">
        <is>
          <t>0                      P  0142000L  3</t>
        </is>
      </c>
      <c r="D164" t="inlineStr">
        <is>
          <t>On explaining language change / Roger Lass.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Lass, Roger.</t>
        </is>
      </c>
      <c r="L164" t="inlineStr">
        <is>
          <t>Cambridge [Eng.] ; New York : Cambridge University Press, 1980.</t>
        </is>
      </c>
      <c r="M164" t="inlineStr">
        <is>
          <t>1980</t>
        </is>
      </c>
      <c r="O164" t="inlineStr">
        <is>
          <t>eng</t>
        </is>
      </c>
      <c r="P164" t="inlineStr">
        <is>
          <t>enk</t>
        </is>
      </c>
      <c r="Q164" t="inlineStr">
        <is>
          <t>Cambridge studies in linguistics ; 27</t>
        </is>
      </c>
      <c r="R164" t="inlineStr">
        <is>
          <t xml:space="preserve">P  </t>
        </is>
      </c>
      <c r="S164" t="n">
        <v>3</v>
      </c>
      <c r="T164" t="n">
        <v>3</v>
      </c>
      <c r="U164" t="inlineStr">
        <is>
          <t>2008-04-01</t>
        </is>
      </c>
      <c r="V164" t="inlineStr">
        <is>
          <t>2008-04-01</t>
        </is>
      </c>
      <c r="W164" t="inlineStr">
        <is>
          <t>1993-04-01</t>
        </is>
      </c>
      <c r="X164" t="inlineStr">
        <is>
          <t>1993-04-01</t>
        </is>
      </c>
      <c r="Y164" t="n">
        <v>417</v>
      </c>
      <c r="Z164" t="n">
        <v>244</v>
      </c>
      <c r="AA164" t="n">
        <v>250</v>
      </c>
      <c r="AB164" t="n">
        <v>3</v>
      </c>
      <c r="AC164" t="n">
        <v>3</v>
      </c>
      <c r="AD164" t="n">
        <v>11</v>
      </c>
      <c r="AE164" t="n">
        <v>11</v>
      </c>
      <c r="AF164" t="n">
        <v>1</v>
      </c>
      <c r="AG164" t="n">
        <v>1</v>
      </c>
      <c r="AH164" t="n">
        <v>4</v>
      </c>
      <c r="AI164" t="n">
        <v>4</v>
      </c>
      <c r="AJ164" t="n">
        <v>7</v>
      </c>
      <c r="AK164" t="n">
        <v>7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HYPERLINK("https://creighton-primo.hosted.exlibrisgroup.com/primo-explore/search?tab=default_tab&amp;search_scope=EVERYTHING&amp;vid=01CRU&amp;lang=en_US&amp;offset=0&amp;query=any,contains,991004939469702656","Catalog Record")</f>
        <v/>
      </c>
      <c r="AT164">
        <f>HYPERLINK("http://www.worldcat.org/oclc/6168502","WorldCat Record")</f>
        <v/>
      </c>
      <c r="AU164" t="inlineStr">
        <is>
          <t>9380952880:eng</t>
        </is>
      </c>
      <c r="AV164" t="inlineStr">
        <is>
          <t>6168502</t>
        </is>
      </c>
      <c r="AW164" t="inlineStr">
        <is>
          <t>991004939469702656</t>
        </is>
      </c>
      <c r="AX164" t="inlineStr">
        <is>
          <t>991004939469702656</t>
        </is>
      </c>
      <c r="AY164" t="inlineStr">
        <is>
          <t>2260583370002656</t>
        </is>
      </c>
      <c r="AZ164" t="inlineStr">
        <is>
          <t>BOOK</t>
        </is>
      </c>
      <c r="BB164" t="inlineStr">
        <is>
          <t>9780521228367</t>
        </is>
      </c>
      <c r="BC164" t="inlineStr">
        <is>
          <t>32285001613693</t>
        </is>
      </c>
      <c r="BD164" t="inlineStr">
        <is>
          <t>893688392</t>
        </is>
      </c>
    </row>
    <row r="165">
      <c r="A165" t="inlineStr">
        <is>
          <t>No</t>
        </is>
      </c>
      <c r="B165" t="inlineStr">
        <is>
          <t>P142 .L54 1999</t>
        </is>
      </c>
      <c r="C165" t="inlineStr">
        <is>
          <t>0                      P  0142000L  54          1999</t>
        </is>
      </c>
      <c r="D165" t="inlineStr">
        <is>
          <t>The development of language : acquisition, change, and evolution / David Lightfoot.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Lightfoot, David.</t>
        </is>
      </c>
      <c r="L165" t="inlineStr">
        <is>
          <t>Malden, Mass. : Blackwell Publishers, 1999.</t>
        </is>
      </c>
      <c r="M165" t="inlineStr">
        <is>
          <t>1999</t>
        </is>
      </c>
      <c r="O165" t="inlineStr">
        <is>
          <t>eng</t>
        </is>
      </c>
      <c r="P165" t="inlineStr">
        <is>
          <t>mau</t>
        </is>
      </c>
      <c r="Q165" t="inlineStr">
        <is>
          <t>Blackwell/Maryland lectures in language and cognition ; 1</t>
        </is>
      </c>
      <c r="R165" t="inlineStr">
        <is>
          <t xml:space="preserve">P  </t>
        </is>
      </c>
      <c r="S165" t="n">
        <v>7</v>
      </c>
      <c r="T165" t="n">
        <v>7</v>
      </c>
      <c r="U165" t="inlineStr">
        <is>
          <t>2007-06-19</t>
        </is>
      </c>
      <c r="V165" t="inlineStr">
        <is>
          <t>2007-06-19</t>
        </is>
      </c>
      <c r="W165" t="inlineStr">
        <is>
          <t>2001-04-18</t>
        </is>
      </c>
      <c r="X165" t="inlineStr">
        <is>
          <t>2001-04-18</t>
        </is>
      </c>
      <c r="Y165" t="n">
        <v>408</v>
      </c>
      <c r="Z165" t="n">
        <v>257</v>
      </c>
      <c r="AA165" t="n">
        <v>261</v>
      </c>
      <c r="AB165" t="n">
        <v>3</v>
      </c>
      <c r="AC165" t="n">
        <v>3</v>
      </c>
      <c r="AD165" t="n">
        <v>12</v>
      </c>
      <c r="AE165" t="n">
        <v>12</v>
      </c>
      <c r="AF165" t="n">
        <v>2</v>
      </c>
      <c r="AG165" t="n">
        <v>2</v>
      </c>
      <c r="AH165" t="n">
        <v>5</v>
      </c>
      <c r="AI165" t="n">
        <v>5</v>
      </c>
      <c r="AJ165" t="n">
        <v>5</v>
      </c>
      <c r="AK165" t="n">
        <v>5</v>
      </c>
      <c r="AL165" t="n">
        <v>2</v>
      </c>
      <c r="AM165" t="n">
        <v>2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HYPERLINK("https://creighton-primo.hosted.exlibrisgroup.com/primo-explore/search?tab=default_tab&amp;search_scope=EVERYTHING&amp;vid=01CRU&amp;lang=en_US&amp;offset=0&amp;query=any,contains,991003481579702656","Catalog Record")</f>
        <v/>
      </c>
      <c r="AT165">
        <f>HYPERLINK("http://www.worldcat.org/oclc/39269660","WorldCat Record")</f>
        <v/>
      </c>
      <c r="AU165" t="inlineStr">
        <is>
          <t>292439361:eng</t>
        </is>
      </c>
      <c r="AV165" t="inlineStr">
        <is>
          <t>39269660</t>
        </is>
      </c>
      <c r="AW165" t="inlineStr">
        <is>
          <t>991003481579702656</t>
        </is>
      </c>
      <c r="AX165" t="inlineStr">
        <is>
          <t>991003481579702656</t>
        </is>
      </c>
      <c r="AY165" t="inlineStr">
        <is>
          <t>2260347670002656</t>
        </is>
      </c>
      <c r="AZ165" t="inlineStr">
        <is>
          <t>BOOK</t>
        </is>
      </c>
      <c r="BB165" t="inlineStr">
        <is>
          <t>9780631210597</t>
        </is>
      </c>
      <c r="BC165" t="inlineStr">
        <is>
          <t>32285004313382</t>
        </is>
      </c>
      <c r="BD165" t="inlineStr">
        <is>
          <t>893428832</t>
        </is>
      </c>
    </row>
    <row r="166">
      <c r="A166" t="inlineStr">
        <is>
          <t>No</t>
        </is>
      </c>
      <c r="B166" t="inlineStr">
        <is>
          <t>P143 .B66 1994</t>
        </is>
      </c>
      <c r="C166" t="inlineStr">
        <is>
          <t>0                      P  0143000B  66          1994</t>
        </is>
      </c>
      <c r="D166" t="inlineStr">
        <is>
          <t>The Nostratic macrofamily : a study in distant linguistic relationship / by Allan R. Bomhard, John C. Kerns.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Bomhard, Allan R.</t>
        </is>
      </c>
      <c r="L166" t="inlineStr">
        <is>
          <t>Berlin ; New York : Mouton de Gruyter, 1994.</t>
        </is>
      </c>
      <c r="M166" t="inlineStr">
        <is>
          <t>1994</t>
        </is>
      </c>
      <c r="O166" t="inlineStr">
        <is>
          <t>eng</t>
        </is>
      </c>
      <c r="P166" t="inlineStr">
        <is>
          <t xml:space="preserve">gw </t>
        </is>
      </c>
      <c r="Q166" t="inlineStr">
        <is>
          <t>Trends in linguistics. Studies and monographs ; 74</t>
        </is>
      </c>
      <c r="R166" t="inlineStr">
        <is>
          <t xml:space="preserve">P  </t>
        </is>
      </c>
      <c r="S166" t="n">
        <v>1</v>
      </c>
      <c r="T166" t="n">
        <v>1</v>
      </c>
      <c r="U166" t="inlineStr">
        <is>
          <t>2007-05-16</t>
        </is>
      </c>
      <c r="V166" t="inlineStr">
        <is>
          <t>2007-05-16</t>
        </is>
      </c>
      <c r="W166" t="inlineStr">
        <is>
          <t>2007-05-16</t>
        </is>
      </c>
      <c r="X166" t="inlineStr">
        <is>
          <t>2007-05-16</t>
        </is>
      </c>
      <c r="Y166" t="n">
        <v>163</v>
      </c>
      <c r="Z166" t="n">
        <v>91</v>
      </c>
      <c r="AA166" t="n">
        <v>107</v>
      </c>
      <c r="AB166" t="n">
        <v>1</v>
      </c>
      <c r="AC166" t="n">
        <v>1</v>
      </c>
      <c r="AD166" t="n">
        <v>3</v>
      </c>
      <c r="AE166" t="n">
        <v>3</v>
      </c>
      <c r="AF166" t="n">
        <v>0</v>
      </c>
      <c r="AG166" t="n">
        <v>0</v>
      </c>
      <c r="AH166" t="n">
        <v>0</v>
      </c>
      <c r="AI166" t="n">
        <v>0</v>
      </c>
      <c r="AJ166" t="n">
        <v>3</v>
      </c>
      <c r="AK166" t="n">
        <v>3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HYPERLINK("https://creighton-primo.hosted.exlibrisgroup.com/primo-explore/search?tab=default_tab&amp;search_scope=EVERYTHING&amp;vid=01CRU&amp;lang=en_US&amp;offset=0&amp;query=any,contains,991005057109702656","Catalog Record")</f>
        <v/>
      </c>
      <c r="AT166">
        <f>HYPERLINK("http://www.worldcat.org/oclc/29668003","WorldCat Record")</f>
        <v/>
      </c>
      <c r="AU166" t="inlineStr">
        <is>
          <t>806412883:eng</t>
        </is>
      </c>
      <c r="AV166" t="inlineStr">
        <is>
          <t>29668003</t>
        </is>
      </c>
      <c r="AW166" t="inlineStr">
        <is>
          <t>991005057109702656</t>
        </is>
      </c>
      <c r="AX166" t="inlineStr">
        <is>
          <t>991005057109702656</t>
        </is>
      </c>
      <c r="AY166" t="inlineStr">
        <is>
          <t>2271188330002656</t>
        </is>
      </c>
      <c r="AZ166" t="inlineStr">
        <is>
          <t>BOOK</t>
        </is>
      </c>
      <c r="BB166" t="inlineStr">
        <is>
          <t>9783110139006</t>
        </is>
      </c>
      <c r="BC166" t="inlineStr">
        <is>
          <t>32285005313092</t>
        </is>
      </c>
      <c r="BD166" t="inlineStr">
        <is>
          <t>893613054</t>
        </is>
      </c>
    </row>
    <row r="167">
      <c r="A167" t="inlineStr">
        <is>
          <t>No</t>
        </is>
      </c>
      <c r="B167" t="inlineStr">
        <is>
          <t>P143 .N667 1999</t>
        </is>
      </c>
      <c r="C167" t="inlineStr">
        <is>
          <t>0                      P  0143000N  667         1999</t>
        </is>
      </c>
      <c r="D167" t="inlineStr">
        <is>
          <t>Nostratic : examining a linguistic macrofamily / edited by Colin Renfrew &amp; Daniel Nettle.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Cambridge : McDonald Institute for Archaeological Research, University of Cambridge ; Oakville, CT : David Brown Book Co. [distributor], c1999.</t>
        </is>
      </c>
      <c r="M167" t="inlineStr">
        <is>
          <t>1999</t>
        </is>
      </c>
      <c r="O167" t="inlineStr">
        <is>
          <t>eng</t>
        </is>
      </c>
      <c r="P167" t="inlineStr">
        <is>
          <t>enk</t>
        </is>
      </c>
      <c r="Q167" t="inlineStr">
        <is>
          <t>Papers in the prehistory of languages, 1461-331X</t>
        </is>
      </c>
      <c r="R167" t="inlineStr">
        <is>
          <t xml:space="preserve">P  </t>
        </is>
      </c>
      <c r="S167" t="n">
        <v>1</v>
      </c>
      <c r="T167" t="n">
        <v>1</v>
      </c>
      <c r="U167" t="inlineStr">
        <is>
          <t>2007-05-21</t>
        </is>
      </c>
      <c r="V167" t="inlineStr">
        <is>
          <t>2007-05-21</t>
        </is>
      </c>
      <c r="W167" t="inlineStr">
        <is>
          <t>2007-05-21</t>
        </is>
      </c>
      <c r="X167" t="inlineStr">
        <is>
          <t>2007-05-21</t>
        </is>
      </c>
      <c r="Y167" t="n">
        <v>111</v>
      </c>
      <c r="Z167" t="n">
        <v>65</v>
      </c>
      <c r="AA167" t="n">
        <v>68</v>
      </c>
      <c r="AB167" t="n">
        <v>1</v>
      </c>
      <c r="AC167" t="n">
        <v>1</v>
      </c>
      <c r="AD167" t="n">
        <v>3</v>
      </c>
      <c r="AE167" t="n">
        <v>3</v>
      </c>
      <c r="AF167" t="n">
        <v>0</v>
      </c>
      <c r="AG167" t="n">
        <v>0</v>
      </c>
      <c r="AH167" t="n">
        <v>3</v>
      </c>
      <c r="AI167" t="n">
        <v>3</v>
      </c>
      <c r="AJ167" t="n">
        <v>1</v>
      </c>
      <c r="AK167" t="n">
        <v>1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HYPERLINK("http://catalog.hathitrust.org/Record/004060920","HathiTrust Record")</f>
        <v/>
      </c>
      <c r="AS167">
        <f>HYPERLINK("https://creighton-primo.hosted.exlibrisgroup.com/primo-explore/search?tab=default_tab&amp;search_scope=EVERYTHING&amp;vid=01CRU&amp;lang=en_US&amp;offset=0&amp;query=any,contains,991005057139702656","Catalog Record")</f>
        <v/>
      </c>
      <c r="AT167">
        <f>HYPERLINK("http://www.worldcat.org/oclc/42316235","WorldCat Record")</f>
        <v/>
      </c>
      <c r="AU167" t="inlineStr">
        <is>
          <t>905474820:eng</t>
        </is>
      </c>
      <c r="AV167" t="inlineStr">
        <is>
          <t>42316235</t>
        </is>
      </c>
      <c r="AW167" t="inlineStr">
        <is>
          <t>991005057139702656</t>
        </is>
      </c>
      <c r="AX167" t="inlineStr">
        <is>
          <t>991005057139702656</t>
        </is>
      </c>
      <c r="AY167" t="inlineStr">
        <is>
          <t>2260333080002656</t>
        </is>
      </c>
      <c r="AZ167" t="inlineStr">
        <is>
          <t>BOOK</t>
        </is>
      </c>
      <c r="BB167" t="inlineStr">
        <is>
          <t>9781902937007</t>
        </is>
      </c>
      <c r="BC167" t="inlineStr">
        <is>
          <t>32285005313100</t>
        </is>
      </c>
      <c r="BD167" t="inlineStr">
        <is>
          <t>893430771</t>
        </is>
      </c>
    </row>
    <row r="168">
      <c r="A168" t="inlineStr">
        <is>
          <t>No</t>
        </is>
      </c>
      <c r="B168" t="inlineStr">
        <is>
          <t>P146 .H3 1977c</t>
        </is>
      </c>
      <c r="C168" t="inlineStr">
        <is>
          <t>0                      P  0146000H  3           1977c</t>
        </is>
      </c>
      <c r="D168" t="inlineStr">
        <is>
          <t>Structuralism &amp; semiotics / Terence Hawkes.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Hawkes, Terence.</t>
        </is>
      </c>
      <c r="L168" t="inlineStr">
        <is>
          <t>Berkeley : University of California Press, c1977.</t>
        </is>
      </c>
      <c r="M168" t="inlineStr">
        <is>
          <t>1977</t>
        </is>
      </c>
      <c r="O168" t="inlineStr">
        <is>
          <t>eng</t>
        </is>
      </c>
      <c r="P168" t="inlineStr">
        <is>
          <t>cau</t>
        </is>
      </c>
      <c r="Q168" t="inlineStr">
        <is>
          <t>Campus ; 189</t>
        </is>
      </c>
      <c r="R168" t="inlineStr">
        <is>
          <t xml:space="preserve">P  </t>
        </is>
      </c>
      <c r="S168" t="n">
        <v>4</v>
      </c>
      <c r="T168" t="n">
        <v>4</v>
      </c>
      <c r="U168" t="inlineStr">
        <is>
          <t>1999-06-01</t>
        </is>
      </c>
      <c r="V168" t="inlineStr">
        <is>
          <t>1999-06-01</t>
        </is>
      </c>
      <c r="W168" t="inlineStr">
        <is>
          <t>1997-08-18</t>
        </is>
      </c>
      <c r="X168" t="inlineStr">
        <is>
          <t>1997-08-18</t>
        </is>
      </c>
      <c r="Y168" t="n">
        <v>245</v>
      </c>
      <c r="Z168" t="n">
        <v>188</v>
      </c>
      <c r="AA168" t="n">
        <v>971</v>
      </c>
      <c r="AB168" t="n">
        <v>2</v>
      </c>
      <c r="AC168" t="n">
        <v>7</v>
      </c>
      <c r="AD168" t="n">
        <v>10</v>
      </c>
      <c r="AE168" t="n">
        <v>47</v>
      </c>
      <c r="AF168" t="n">
        <v>3</v>
      </c>
      <c r="AG168" t="n">
        <v>18</v>
      </c>
      <c r="AH168" t="n">
        <v>1</v>
      </c>
      <c r="AI168" t="n">
        <v>10</v>
      </c>
      <c r="AJ168" t="n">
        <v>7</v>
      </c>
      <c r="AK168" t="n">
        <v>25</v>
      </c>
      <c r="AL168" t="n">
        <v>1</v>
      </c>
      <c r="AM168" t="n">
        <v>6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HYPERLINK("https://creighton-primo.hosted.exlibrisgroup.com/primo-explore/search?tab=default_tab&amp;search_scope=EVERYTHING&amp;vid=01CRU&amp;lang=en_US&amp;offset=0&amp;query=any,contains,991004483419702656","Catalog Record")</f>
        <v/>
      </c>
      <c r="AT168">
        <f>HYPERLINK("http://www.worldcat.org/oclc/3631141","WorldCat Record")</f>
        <v/>
      </c>
      <c r="AU168" t="inlineStr">
        <is>
          <t>695763:eng</t>
        </is>
      </c>
      <c r="AV168" t="inlineStr">
        <is>
          <t>3631141</t>
        </is>
      </c>
      <c r="AW168" t="inlineStr">
        <is>
          <t>991004483419702656</t>
        </is>
      </c>
      <c r="AX168" t="inlineStr">
        <is>
          <t>991004483419702656</t>
        </is>
      </c>
      <c r="AY168" t="inlineStr">
        <is>
          <t>2258765570002656</t>
        </is>
      </c>
      <c r="AZ168" t="inlineStr">
        <is>
          <t>BOOK</t>
        </is>
      </c>
      <c r="BB168" t="inlineStr">
        <is>
          <t>9780520034228</t>
        </is>
      </c>
      <c r="BC168" t="inlineStr">
        <is>
          <t>32285003097507</t>
        </is>
      </c>
      <c r="BD168" t="inlineStr">
        <is>
          <t>893687784</t>
        </is>
      </c>
    </row>
    <row r="169">
      <c r="A169" t="inlineStr">
        <is>
          <t>No</t>
        </is>
      </c>
      <c r="B169" t="inlineStr">
        <is>
          <t>P147 .M8</t>
        </is>
      </c>
      <c r="C169" t="inlineStr">
        <is>
          <t>0                      P  0147000M  8</t>
        </is>
      </c>
      <c r="D169" t="inlineStr">
        <is>
          <t>The strategy of linguistics : papers on the theory and methodology of axiomatic functionalism / Jan W. F. Mulder and Sándor G. J. Hervey.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Mulder, Jan W. F.</t>
        </is>
      </c>
      <c r="L169" t="inlineStr">
        <is>
          <t>Edinburgh : Scottish Academic Press, c1980.</t>
        </is>
      </c>
      <c r="M169" t="inlineStr">
        <is>
          <t>1980</t>
        </is>
      </c>
      <c r="O169" t="inlineStr">
        <is>
          <t>eng</t>
        </is>
      </c>
      <c r="P169" t="inlineStr">
        <is>
          <t>stk</t>
        </is>
      </c>
      <c r="R169" t="inlineStr">
        <is>
          <t xml:space="preserve">P  </t>
        </is>
      </c>
      <c r="S169" t="n">
        <v>1</v>
      </c>
      <c r="T169" t="n">
        <v>1</v>
      </c>
      <c r="U169" t="inlineStr">
        <is>
          <t>1998-10-16</t>
        </is>
      </c>
      <c r="V169" t="inlineStr">
        <is>
          <t>1998-10-16</t>
        </is>
      </c>
      <c r="W169" t="inlineStr">
        <is>
          <t>1993-04-01</t>
        </is>
      </c>
      <c r="X169" t="inlineStr">
        <is>
          <t>1993-04-01</t>
        </is>
      </c>
      <c r="Y169" t="n">
        <v>192</v>
      </c>
      <c r="Z169" t="n">
        <v>119</v>
      </c>
      <c r="AA169" t="n">
        <v>120</v>
      </c>
      <c r="AB169" t="n">
        <v>3</v>
      </c>
      <c r="AC169" t="n">
        <v>3</v>
      </c>
      <c r="AD169" t="n">
        <v>5</v>
      </c>
      <c r="AE169" t="n">
        <v>5</v>
      </c>
      <c r="AF169" t="n">
        <v>0</v>
      </c>
      <c r="AG169" t="n">
        <v>0</v>
      </c>
      <c r="AH169" t="n">
        <v>2</v>
      </c>
      <c r="AI169" t="n">
        <v>2</v>
      </c>
      <c r="AJ169" t="n">
        <v>3</v>
      </c>
      <c r="AK169" t="n">
        <v>3</v>
      </c>
      <c r="AL169" t="n">
        <v>2</v>
      </c>
      <c r="AM169" t="n">
        <v>2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HYPERLINK("http://catalog.hathitrust.org/Record/000696703","HathiTrust Record")</f>
        <v/>
      </c>
      <c r="AS169">
        <f>HYPERLINK("https://creighton-primo.hosted.exlibrisgroup.com/primo-explore/search?tab=default_tab&amp;search_scope=EVERYTHING&amp;vid=01CRU&amp;lang=en_US&amp;offset=0&amp;query=any,contains,991004966839702656","Catalog Record")</f>
        <v/>
      </c>
      <c r="AT169">
        <f>HYPERLINK("http://www.worldcat.org/oclc/6340054","WorldCat Record")</f>
        <v/>
      </c>
      <c r="AU169" t="inlineStr">
        <is>
          <t>234507136:eng</t>
        </is>
      </c>
      <c r="AV169" t="inlineStr">
        <is>
          <t>6340054</t>
        </is>
      </c>
      <c r="AW169" t="inlineStr">
        <is>
          <t>991004966839702656</t>
        </is>
      </c>
      <c r="AX169" t="inlineStr">
        <is>
          <t>991004966839702656</t>
        </is>
      </c>
      <c r="AY169" t="inlineStr">
        <is>
          <t>2255674340002656</t>
        </is>
      </c>
      <c r="AZ169" t="inlineStr">
        <is>
          <t>BOOK</t>
        </is>
      </c>
      <c r="BB169" t="inlineStr">
        <is>
          <t>9780707302485</t>
        </is>
      </c>
      <c r="BC169" t="inlineStr">
        <is>
          <t>32285001613701</t>
        </is>
      </c>
      <c r="BD169" t="inlineStr">
        <is>
          <t>893694559</t>
        </is>
      </c>
    </row>
    <row r="170">
      <c r="A170" t="inlineStr">
        <is>
          <t>No</t>
        </is>
      </c>
      <c r="B170" t="inlineStr">
        <is>
          <t>P151 .J25 1997</t>
        </is>
      </c>
      <c r="C170" t="inlineStr">
        <is>
          <t>0                      P  0151000J  25          1997</t>
        </is>
      </c>
      <c r="D170" t="inlineStr">
        <is>
          <t>The architecture of the language faculty / Ray Jackendoff.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Jackendoff, Ray, 1945-</t>
        </is>
      </c>
      <c r="L170" t="inlineStr">
        <is>
          <t>Cambridge, Mass. : MIT Press, c1997.</t>
        </is>
      </c>
      <c r="M170" t="inlineStr">
        <is>
          <t>1997</t>
        </is>
      </c>
      <c r="O170" t="inlineStr">
        <is>
          <t>eng</t>
        </is>
      </c>
      <c r="P170" t="inlineStr">
        <is>
          <t>mau</t>
        </is>
      </c>
      <c r="Q170" t="inlineStr">
        <is>
          <t>Linguistic inquiry monographs ; 28</t>
        </is>
      </c>
      <c r="R170" t="inlineStr">
        <is>
          <t xml:space="preserve">P  </t>
        </is>
      </c>
      <c r="S170" t="n">
        <v>1</v>
      </c>
      <c r="T170" t="n">
        <v>1</v>
      </c>
      <c r="U170" t="inlineStr">
        <is>
          <t>2004-05-20</t>
        </is>
      </c>
      <c r="V170" t="inlineStr">
        <is>
          <t>2004-05-20</t>
        </is>
      </c>
      <c r="W170" t="inlineStr">
        <is>
          <t>1999-03-22</t>
        </is>
      </c>
      <c r="X170" t="inlineStr">
        <is>
          <t>1999-03-22</t>
        </is>
      </c>
      <c r="Y170" t="n">
        <v>332</v>
      </c>
      <c r="Z170" t="n">
        <v>195</v>
      </c>
      <c r="AA170" t="n">
        <v>196</v>
      </c>
      <c r="AB170" t="n">
        <v>3</v>
      </c>
      <c r="AC170" t="n">
        <v>3</v>
      </c>
      <c r="AD170" t="n">
        <v>11</v>
      </c>
      <c r="AE170" t="n">
        <v>11</v>
      </c>
      <c r="AF170" t="n">
        <v>4</v>
      </c>
      <c r="AG170" t="n">
        <v>4</v>
      </c>
      <c r="AH170" t="n">
        <v>3</v>
      </c>
      <c r="AI170" t="n">
        <v>3</v>
      </c>
      <c r="AJ170" t="n">
        <v>6</v>
      </c>
      <c r="AK170" t="n">
        <v>6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HYPERLINK("https://creighton-primo.hosted.exlibrisgroup.com/primo-explore/search?tab=default_tab&amp;search_scope=EVERYTHING&amp;vid=01CRU&amp;lang=en_US&amp;offset=0&amp;query=any,contains,991002665969702656","Catalog Record")</f>
        <v/>
      </c>
      <c r="AT170">
        <f>HYPERLINK("http://www.worldcat.org/oclc/34875958","WorldCat Record")</f>
        <v/>
      </c>
      <c r="AU170" t="inlineStr">
        <is>
          <t>39754035:eng</t>
        </is>
      </c>
      <c r="AV170" t="inlineStr">
        <is>
          <t>34875958</t>
        </is>
      </c>
      <c r="AW170" t="inlineStr">
        <is>
          <t>991002665969702656</t>
        </is>
      </c>
      <c r="AX170" t="inlineStr">
        <is>
          <t>991002665969702656</t>
        </is>
      </c>
      <c r="AY170" t="inlineStr">
        <is>
          <t>2270507350002656</t>
        </is>
      </c>
      <c r="AZ170" t="inlineStr">
        <is>
          <t>BOOK</t>
        </is>
      </c>
      <c r="BB170" t="inlineStr">
        <is>
          <t>9780262100595</t>
        </is>
      </c>
      <c r="BC170" t="inlineStr">
        <is>
          <t>32285003534517</t>
        </is>
      </c>
      <c r="BD170" t="inlineStr">
        <is>
          <t>893251494</t>
        </is>
      </c>
    </row>
    <row r="171">
      <c r="A171" t="inlineStr">
        <is>
          <t>No</t>
        </is>
      </c>
      <c r="B171" t="inlineStr">
        <is>
          <t>P151 .P3313</t>
        </is>
      </c>
      <c r="C171" t="inlineStr">
        <is>
          <t>0                      P  0151000P  3313</t>
        </is>
      </c>
      <c r="D171" t="inlineStr">
        <is>
          <t>Essentials of grammar / Domenico Parisi, Francesco Antinucci ; translated by Elizabeth Bates.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Parisi, Domenico.</t>
        </is>
      </c>
      <c r="L171" t="inlineStr">
        <is>
          <t>New York : Academic Press, c1976.</t>
        </is>
      </c>
      <c r="M171" t="inlineStr">
        <is>
          <t>1976</t>
        </is>
      </c>
      <c r="O171" t="inlineStr">
        <is>
          <t>eng</t>
        </is>
      </c>
      <c r="P171" t="inlineStr">
        <is>
          <t>nyu</t>
        </is>
      </c>
      <c r="Q171" t="inlineStr">
        <is>
          <t>Language, thought, and culture</t>
        </is>
      </c>
      <c r="R171" t="inlineStr">
        <is>
          <t xml:space="preserve">P  </t>
        </is>
      </c>
      <c r="S171" t="n">
        <v>4</v>
      </c>
      <c r="T171" t="n">
        <v>4</v>
      </c>
      <c r="U171" t="inlineStr">
        <is>
          <t>2007-04-09</t>
        </is>
      </c>
      <c r="V171" t="inlineStr">
        <is>
          <t>2007-04-09</t>
        </is>
      </c>
      <c r="W171" t="inlineStr">
        <is>
          <t>1997-08-18</t>
        </is>
      </c>
      <c r="X171" t="inlineStr">
        <is>
          <t>1997-08-18</t>
        </is>
      </c>
      <c r="Y171" t="n">
        <v>374</v>
      </c>
      <c r="Z171" t="n">
        <v>266</v>
      </c>
      <c r="AA171" t="n">
        <v>273</v>
      </c>
      <c r="AB171" t="n">
        <v>2</v>
      </c>
      <c r="AC171" t="n">
        <v>2</v>
      </c>
      <c r="AD171" t="n">
        <v>13</v>
      </c>
      <c r="AE171" t="n">
        <v>13</v>
      </c>
      <c r="AF171" t="n">
        <v>3</v>
      </c>
      <c r="AG171" t="n">
        <v>3</v>
      </c>
      <c r="AH171" t="n">
        <v>5</v>
      </c>
      <c r="AI171" t="n">
        <v>5</v>
      </c>
      <c r="AJ171" t="n">
        <v>8</v>
      </c>
      <c r="AK171" t="n">
        <v>8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HYPERLINK("http://catalog.hathitrust.org/Record/000709570","HathiTrust Record")</f>
        <v/>
      </c>
      <c r="AS171">
        <f>HYPERLINK("https://creighton-primo.hosted.exlibrisgroup.com/primo-explore/search?tab=default_tab&amp;search_scope=EVERYTHING&amp;vid=01CRU&amp;lang=en_US&amp;offset=0&amp;query=any,contains,991004046129702656","Catalog Record")</f>
        <v/>
      </c>
      <c r="AT171">
        <f>HYPERLINK("http://www.worldcat.org/oclc/2201922","WorldCat Record")</f>
        <v/>
      </c>
      <c r="AU171" t="inlineStr">
        <is>
          <t>4495004835:eng</t>
        </is>
      </c>
      <c r="AV171" t="inlineStr">
        <is>
          <t>2201922</t>
        </is>
      </c>
      <c r="AW171" t="inlineStr">
        <is>
          <t>991004046129702656</t>
        </is>
      </c>
      <c r="AX171" t="inlineStr">
        <is>
          <t>991004046129702656</t>
        </is>
      </c>
      <c r="AY171" t="inlineStr">
        <is>
          <t>2255930030002656</t>
        </is>
      </c>
      <c r="AZ171" t="inlineStr">
        <is>
          <t>BOOK</t>
        </is>
      </c>
      <c r="BB171" t="inlineStr">
        <is>
          <t>9780125446501</t>
        </is>
      </c>
      <c r="BC171" t="inlineStr">
        <is>
          <t>32285003097564</t>
        </is>
      </c>
      <c r="BD171" t="inlineStr">
        <is>
          <t>893423315</t>
        </is>
      </c>
    </row>
    <row r="172">
      <c r="A172" t="inlineStr">
        <is>
          <t>No</t>
        </is>
      </c>
      <c r="B172" t="inlineStr">
        <is>
          <t>P151 .P66 1994</t>
        </is>
      </c>
      <c r="C172" t="inlineStr">
        <is>
          <t>0                      P  0151000P  66          1994</t>
        </is>
      </c>
      <c r="D172" t="inlineStr">
        <is>
          <t>Structures and categories for the representation of meaning / Timothy C. Potts.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Potts, Timothy C.</t>
        </is>
      </c>
      <c r="L172" t="inlineStr">
        <is>
          <t>Cambridge ; New York, NY, USA : Cambridge University Press, 1994.</t>
        </is>
      </c>
      <c r="M172" t="inlineStr">
        <is>
          <t>1994</t>
        </is>
      </c>
      <c r="O172" t="inlineStr">
        <is>
          <t>eng</t>
        </is>
      </c>
      <c r="P172" t="inlineStr">
        <is>
          <t>enk</t>
        </is>
      </c>
      <c r="R172" t="inlineStr">
        <is>
          <t xml:space="preserve">P  </t>
        </is>
      </c>
      <c r="S172" t="n">
        <v>1</v>
      </c>
      <c r="T172" t="n">
        <v>1</v>
      </c>
      <c r="U172" t="inlineStr">
        <is>
          <t>2004-05-20</t>
        </is>
      </c>
      <c r="V172" t="inlineStr">
        <is>
          <t>2004-05-20</t>
        </is>
      </c>
      <c r="W172" t="inlineStr">
        <is>
          <t>1996-12-02</t>
        </is>
      </c>
      <c r="X172" t="inlineStr">
        <is>
          <t>1996-12-02</t>
        </is>
      </c>
      <c r="Y172" t="n">
        <v>296</v>
      </c>
      <c r="Z172" t="n">
        <v>203</v>
      </c>
      <c r="AA172" t="n">
        <v>217</v>
      </c>
      <c r="AB172" t="n">
        <v>3</v>
      </c>
      <c r="AC172" t="n">
        <v>3</v>
      </c>
      <c r="AD172" t="n">
        <v>11</v>
      </c>
      <c r="AE172" t="n">
        <v>11</v>
      </c>
      <c r="AF172" t="n">
        <v>1</v>
      </c>
      <c r="AG172" t="n">
        <v>1</v>
      </c>
      <c r="AH172" t="n">
        <v>4</v>
      </c>
      <c r="AI172" t="n">
        <v>4</v>
      </c>
      <c r="AJ172" t="n">
        <v>6</v>
      </c>
      <c r="AK172" t="n">
        <v>6</v>
      </c>
      <c r="AL172" t="n">
        <v>2</v>
      </c>
      <c r="AM172" t="n">
        <v>2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HYPERLINK("https://creighton-primo.hosted.exlibrisgroup.com/primo-explore/search?tab=default_tab&amp;search_scope=EVERYTHING&amp;vid=01CRU&amp;lang=en_US&amp;offset=0&amp;query=any,contains,991002154669702656","Catalog Record")</f>
        <v/>
      </c>
      <c r="AT172">
        <f>HYPERLINK("http://www.worldcat.org/oclc/27768981","WorldCat Record")</f>
        <v/>
      </c>
      <c r="AU172" t="inlineStr">
        <is>
          <t>343087:eng</t>
        </is>
      </c>
      <c r="AV172" t="inlineStr">
        <is>
          <t>27768981</t>
        </is>
      </c>
      <c r="AW172" t="inlineStr">
        <is>
          <t>991002154669702656</t>
        </is>
      </c>
      <c r="AX172" t="inlineStr">
        <is>
          <t>991002154669702656</t>
        </is>
      </c>
      <c r="AY172" t="inlineStr">
        <is>
          <t>2267926000002656</t>
        </is>
      </c>
      <c r="AZ172" t="inlineStr">
        <is>
          <t>BOOK</t>
        </is>
      </c>
      <c r="BB172" t="inlineStr">
        <is>
          <t>9780521434812</t>
        </is>
      </c>
      <c r="BC172" t="inlineStr">
        <is>
          <t>32285002387131</t>
        </is>
      </c>
      <c r="BD172" t="inlineStr">
        <is>
          <t>893603251</t>
        </is>
      </c>
    </row>
    <row r="173">
      <c r="A173" t="inlineStr">
        <is>
          <t>No</t>
        </is>
      </c>
      <c r="B173" t="inlineStr">
        <is>
          <t>P151 .R68 1971</t>
        </is>
      </c>
      <c r="C173" t="inlineStr">
        <is>
          <t>0                      P  0151000R  68          1971</t>
        </is>
      </c>
      <c r="D173" t="inlineStr">
        <is>
          <t>Ancient &amp; mediaeval grammatical theory in Europe; with particular reference to modern linguistic doctrine [by] R. H. Robins.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Robins, R. H. (Robert Henry)</t>
        </is>
      </c>
      <c r="L173" t="inlineStr">
        <is>
          <t>Port Washington, N.Y., Kennikat Press [1971]</t>
        </is>
      </c>
      <c r="M173" t="inlineStr">
        <is>
          <t>1971</t>
        </is>
      </c>
      <c r="O173" t="inlineStr">
        <is>
          <t>eng</t>
        </is>
      </c>
      <c r="P173" t="inlineStr">
        <is>
          <t>nyu</t>
        </is>
      </c>
      <c r="Q173" t="inlineStr">
        <is>
          <t>Kennikat classics series</t>
        </is>
      </c>
      <c r="R173" t="inlineStr">
        <is>
          <t xml:space="preserve">P  </t>
        </is>
      </c>
      <c r="S173" t="n">
        <v>2</v>
      </c>
      <c r="T173" t="n">
        <v>2</v>
      </c>
      <c r="U173" t="inlineStr">
        <is>
          <t>1999-12-23</t>
        </is>
      </c>
      <c r="V173" t="inlineStr">
        <is>
          <t>1999-12-23</t>
        </is>
      </c>
      <c r="W173" t="inlineStr">
        <is>
          <t>1997-08-18</t>
        </is>
      </c>
      <c r="X173" t="inlineStr">
        <is>
          <t>1997-08-18</t>
        </is>
      </c>
      <c r="Y173" t="n">
        <v>241</v>
      </c>
      <c r="Z173" t="n">
        <v>206</v>
      </c>
      <c r="AA173" t="n">
        <v>393</v>
      </c>
      <c r="AB173" t="n">
        <v>2</v>
      </c>
      <c r="AC173" t="n">
        <v>4</v>
      </c>
      <c r="AD173" t="n">
        <v>8</v>
      </c>
      <c r="AE173" t="n">
        <v>25</v>
      </c>
      <c r="AF173" t="n">
        <v>1</v>
      </c>
      <c r="AG173" t="n">
        <v>5</v>
      </c>
      <c r="AH173" t="n">
        <v>3</v>
      </c>
      <c r="AI173" t="n">
        <v>8</v>
      </c>
      <c r="AJ173" t="n">
        <v>4</v>
      </c>
      <c r="AK173" t="n">
        <v>14</v>
      </c>
      <c r="AL173" t="n">
        <v>1</v>
      </c>
      <c r="AM173" t="n">
        <v>3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HYPERLINK("http://catalog.hathitrust.org/Record/004428831","HathiTrust Record")</f>
        <v/>
      </c>
      <c r="AS173">
        <f>HYPERLINK("https://creighton-primo.hosted.exlibrisgroup.com/primo-explore/search?tab=default_tab&amp;search_scope=EVERYTHING&amp;vid=01CRU&amp;lang=en_US&amp;offset=0&amp;query=any,contains,991005353259702656","Catalog Record")</f>
        <v/>
      </c>
      <c r="AT173">
        <f>HYPERLINK("http://www.worldcat.org/oclc/108362","WorldCat Record")</f>
        <v/>
      </c>
      <c r="AU173" t="inlineStr">
        <is>
          <t>4132217:eng</t>
        </is>
      </c>
      <c r="AV173" t="inlineStr">
        <is>
          <t>108362</t>
        </is>
      </c>
      <c r="AW173" t="inlineStr">
        <is>
          <t>991005353259702656</t>
        </is>
      </c>
      <c r="AX173" t="inlineStr">
        <is>
          <t>991005353259702656</t>
        </is>
      </c>
      <c r="AY173" t="inlineStr">
        <is>
          <t>2262468280002656</t>
        </is>
      </c>
      <c r="AZ173" t="inlineStr">
        <is>
          <t>BOOK</t>
        </is>
      </c>
      <c r="BB173" t="inlineStr">
        <is>
          <t>9780804612029</t>
        </is>
      </c>
      <c r="BC173" t="inlineStr">
        <is>
          <t>32285003097572</t>
        </is>
      </c>
      <c r="BD173" t="inlineStr">
        <is>
          <t>893248770</t>
        </is>
      </c>
    </row>
    <row r="174">
      <c r="A174" t="inlineStr">
        <is>
          <t>No</t>
        </is>
      </c>
      <c r="B174" t="inlineStr">
        <is>
          <t>P158 .H65 1987</t>
        </is>
      </c>
      <c r="C174" t="inlineStr">
        <is>
          <t>0                      P  0158000H  65          1987</t>
        </is>
      </c>
      <c r="D174" t="inlineStr">
        <is>
          <t>Generative grammar / Geoffrey Horrocks.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Horrocks, Geoffrey C.</t>
        </is>
      </c>
      <c r="L174" t="inlineStr">
        <is>
          <t>London ; New York : Longman, 1987.</t>
        </is>
      </c>
      <c r="M174" t="inlineStr">
        <is>
          <t>1987</t>
        </is>
      </c>
      <c r="O174" t="inlineStr">
        <is>
          <t>eng</t>
        </is>
      </c>
      <c r="P174" t="inlineStr">
        <is>
          <t>enk</t>
        </is>
      </c>
      <c r="Q174" t="inlineStr">
        <is>
          <t>Longman linguistics library</t>
        </is>
      </c>
      <c r="R174" t="inlineStr">
        <is>
          <t xml:space="preserve">P  </t>
        </is>
      </c>
      <c r="S174" t="n">
        <v>1</v>
      </c>
      <c r="T174" t="n">
        <v>1</v>
      </c>
      <c r="U174" t="inlineStr">
        <is>
          <t>1993-06-24</t>
        </is>
      </c>
      <c r="V174" t="inlineStr">
        <is>
          <t>1993-06-24</t>
        </is>
      </c>
      <c r="W174" t="inlineStr">
        <is>
          <t>1993-04-01</t>
        </is>
      </c>
      <c r="X174" t="inlineStr">
        <is>
          <t>1993-04-01</t>
        </is>
      </c>
      <c r="Y174" t="n">
        <v>427</v>
      </c>
      <c r="Z174" t="n">
        <v>250</v>
      </c>
      <c r="AA174" t="n">
        <v>270</v>
      </c>
      <c r="AB174" t="n">
        <v>2</v>
      </c>
      <c r="AC174" t="n">
        <v>2</v>
      </c>
      <c r="AD174" t="n">
        <v>8</v>
      </c>
      <c r="AE174" t="n">
        <v>8</v>
      </c>
      <c r="AF174" t="n">
        <v>2</v>
      </c>
      <c r="AG174" t="n">
        <v>2</v>
      </c>
      <c r="AH174" t="n">
        <v>1</v>
      </c>
      <c r="AI174" t="n">
        <v>1</v>
      </c>
      <c r="AJ174" t="n">
        <v>6</v>
      </c>
      <c r="AK174" t="n">
        <v>6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HYPERLINK("http://catalog.hathitrust.org/Record/000876120","HathiTrust Record")</f>
        <v/>
      </c>
      <c r="AS174">
        <f>HYPERLINK("https://creighton-primo.hosted.exlibrisgroup.com/primo-explore/search?tab=default_tab&amp;search_scope=EVERYTHING&amp;vid=01CRU&amp;lang=en_US&amp;offset=0&amp;query=any,contains,991000938889702656","Catalog Record")</f>
        <v/>
      </c>
      <c r="AT174">
        <f>HYPERLINK("http://www.worldcat.org/oclc/14379012","WorldCat Record")</f>
        <v/>
      </c>
      <c r="AU174" t="inlineStr">
        <is>
          <t>143818408:eng</t>
        </is>
      </c>
      <c r="AV174" t="inlineStr">
        <is>
          <t>14379012</t>
        </is>
      </c>
      <c r="AW174" t="inlineStr">
        <is>
          <t>991000938889702656</t>
        </is>
      </c>
      <c r="AX174" t="inlineStr">
        <is>
          <t>991000938889702656</t>
        </is>
      </c>
      <c r="AY174" t="inlineStr">
        <is>
          <t>2261628310002656</t>
        </is>
      </c>
      <c r="AZ174" t="inlineStr">
        <is>
          <t>BOOK</t>
        </is>
      </c>
      <c r="BB174" t="inlineStr">
        <is>
          <t>9780582291317</t>
        </is>
      </c>
      <c r="BC174" t="inlineStr">
        <is>
          <t>32285001613750</t>
        </is>
      </c>
      <c r="BD174" t="inlineStr">
        <is>
          <t>893708849</t>
        </is>
      </c>
    </row>
    <row r="175">
      <c r="A175" t="inlineStr">
        <is>
          <t>No</t>
        </is>
      </c>
      <c r="B175" t="inlineStr">
        <is>
          <t>P201 .A4 1969</t>
        </is>
      </c>
      <c r="C175" t="inlineStr">
        <is>
          <t>0                      P  0201000A  4           1969</t>
        </is>
      </c>
      <c r="D175" t="inlineStr">
        <is>
          <t>Gramaatica estructural : segaun la escuela de Copenhague y con especial atenciaon a la lengua espaanola / Emilio Alarcos Llorach.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Alarcos Llorach, Emilio.</t>
        </is>
      </c>
      <c r="L175" t="inlineStr">
        <is>
          <t>Madrid : Editorial Gredos, [1969]</t>
        </is>
      </c>
      <c r="M175" t="inlineStr">
        <is>
          <t>1969</t>
        </is>
      </c>
      <c r="O175" t="inlineStr">
        <is>
          <t>spa</t>
        </is>
      </c>
      <c r="P175" t="inlineStr">
        <is>
          <t xml:space="preserve">sp </t>
        </is>
      </c>
      <c r="Q175" t="inlineStr">
        <is>
          <t>Biblioteca romaanica hispaanica. 3. Manuales ; 3</t>
        </is>
      </c>
      <c r="R175" t="inlineStr">
        <is>
          <t xml:space="preserve">P  </t>
        </is>
      </c>
      <c r="S175" t="n">
        <v>1</v>
      </c>
      <c r="T175" t="n">
        <v>1</v>
      </c>
      <c r="U175" t="inlineStr">
        <is>
          <t>2004-08-05</t>
        </is>
      </c>
      <c r="V175" t="inlineStr">
        <is>
          <t>2004-08-05</t>
        </is>
      </c>
      <c r="W175" t="inlineStr">
        <is>
          <t>2004-08-05</t>
        </is>
      </c>
      <c r="X175" t="inlineStr">
        <is>
          <t>2004-08-05</t>
        </is>
      </c>
      <c r="Y175" t="n">
        <v>167</v>
      </c>
      <c r="Z175" t="n">
        <v>117</v>
      </c>
      <c r="AA175" t="n">
        <v>270</v>
      </c>
      <c r="AB175" t="n">
        <v>2</v>
      </c>
      <c r="AC175" t="n">
        <v>2</v>
      </c>
      <c r="AD175" t="n">
        <v>5</v>
      </c>
      <c r="AE175" t="n">
        <v>9</v>
      </c>
      <c r="AF175" t="n">
        <v>0</v>
      </c>
      <c r="AG175" t="n">
        <v>1</v>
      </c>
      <c r="AH175" t="n">
        <v>1</v>
      </c>
      <c r="AI175" t="n">
        <v>3</v>
      </c>
      <c r="AJ175" t="n">
        <v>4</v>
      </c>
      <c r="AK175" t="n">
        <v>7</v>
      </c>
      <c r="AL175" t="n">
        <v>1</v>
      </c>
      <c r="AM175" t="n">
        <v>1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HYPERLINK("https://creighton-primo.hosted.exlibrisgroup.com/primo-explore/search?tab=default_tab&amp;search_scope=EVERYTHING&amp;vid=01CRU&amp;lang=en_US&amp;offset=0&amp;query=any,contains,991004338499702656","Catalog Record")</f>
        <v/>
      </c>
      <c r="AT175">
        <f>HYPERLINK("http://www.worldcat.org/oclc/318331","WorldCat Record")</f>
        <v/>
      </c>
      <c r="AU175" t="inlineStr">
        <is>
          <t>1392377:spa</t>
        </is>
      </c>
      <c r="AV175" t="inlineStr">
        <is>
          <t>318331</t>
        </is>
      </c>
      <c r="AW175" t="inlineStr">
        <is>
          <t>991004338499702656</t>
        </is>
      </c>
      <c r="AX175" t="inlineStr">
        <is>
          <t>991004338499702656</t>
        </is>
      </c>
      <c r="AY175" t="inlineStr">
        <is>
          <t>2270562210002656</t>
        </is>
      </c>
      <c r="AZ175" t="inlineStr">
        <is>
          <t>BOOK</t>
        </is>
      </c>
      <c r="BC175" t="inlineStr">
        <is>
          <t>32285004928742</t>
        </is>
      </c>
      <c r="BD175" t="inlineStr">
        <is>
          <t>893506729</t>
        </is>
      </c>
    </row>
    <row r="176">
      <c r="A176" t="inlineStr">
        <is>
          <t>No</t>
        </is>
      </c>
      <c r="B176" t="inlineStr">
        <is>
          <t>P201 .B64</t>
        </is>
      </c>
      <c r="C176" t="inlineStr">
        <is>
          <t>0                      P  0201000B  64</t>
        </is>
      </c>
      <c r="D176" t="inlineStr">
        <is>
          <t>Aspects of language [by] Dwight Bolinger.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Bolinger, Dwight, 1907-1992.</t>
        </is>
      </c>
      <c r="L176" t="inlineStr">
        <is>
          <t>New York, Harcourt, Brace &amp; World [1968]</t>
        </is>
      </c>
      <c r="M176" t="inlineStr">
        <is>
          <t>1968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P  </t>
        </is>
      </c>
      <c r="S176" t="n">
        <v>1</v>
      </c>
      <c r="T176" t="n">
        <v>1</v>
      </c>
      <c r="U176" t="inlineStr">
        <is>
          <t>2002-04-14</t>
        </is>
      </c>
      <c r="V176" t="inlineStr">
        <is>
          <t>2002-04-14</t>
        </is>
      </c>
      <c r="W176" t="inlineStr">
        <is>
          <t>1997-08-18</t>
        </is>
      </c>
      <c r="X176" t="inlineStr">
        <is>
          <t>1997-08-18</t>
        </is>
      </c>
      <c r="Y176" t="n">
        <v>1046</v>
      </c>
      <c r="Z176" t="n">
        <v>850</v>
      </c>
      <c r="AA176" t="n">
        <v>1068</v>
      </c>
      <c r="AB176" t="n">
        <v>8</v>
      </c>
      <c r="AC176" t="n">
        <v>9</v>
      </c>
      <c r="AD176" t="n">
        <v>31</v>
      </c>
      <c r="AE176" t="n">
        <v>37</v>
      </c>
      <c r="AF176" t="n">
        <v>9</v>
      </c>
      <c r="AG176" t="n">
        <v>12</v>
      </c>
      <c r="AH176" t="n">
        <v>7</v>
      </c>
      <c r="AI176" t="n">
        <v>9</v>
      </c>
      <c r="AJ176" t="n">
        <v>18</v>
      </c>
      <c r="AK176" t="n">
        <v>21</v>
      </c>
      <c r="AL176" t="n">
        <v>6</v>
      </c>
      <c r="AM176" t="n">
        <v>6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HYPERLINK("http://catalog.hathitrust.org/Record/001181047","HathiTrust Record")</f>
        <v/>
      </c>
      <c r="AS176">
        <f>HYPERLINK("https://creighton-primo.hosted.exlibrisgroup.com/primo-explore/search?tab=default_tab&amp;search_scope=EVERYTHING&amp;vid=01CRU&amp;lang=en_US&amp;offset=0&amp;query=any,contains,991001676919702656","Catalog Record")</f>
        <v/>
      </c>
      <c r="AT176">
        <f>HYPERLINK("http://www.worldcat.org/oclc/234219","WorldCat Record")</f>
        <v/>
      </c>
      <c r="AU176" t="inlineStr">
        <is>
          <t>413701:eng</t>
        </is>
      </c>
      <c r="AV176" t="inlineStr">
        <is>
          <t>234219</t>
        </is>
      </c>
      <c r="AW176" t="inlineStr">
        <is>
          <t>991001676919702656</t>
        </is>
      </c>
      <c r="AX176" t="inlineStr">
        <is>
          <t>991001676919702656</t>
        </is>
      </c>
      <c r="AY176" t="inlineStr">
        <is>
          <t>2257590810002656</t>
        </is>
      </c>
      <c r="AZ176" t="inlineStr">
        <is>
          <t>BOOK</t>
        </is>
      </c>
      <c r="BC176" t="inlineStr">
        <is>
          <t>32285003097630</t>
        </is>
      </c>
      <c r="BD176" t="inlineStr">
        <is>
          <t>893444758</t>
        </is>
      </c>
    </row>
    <row r="177">
      <c r="A177" t="inlineStr">
        <is>
          <t>No</t>
        </is>
      </c>
      <c r="B177" t="inlineStr">
        <is>
          <t>P211 .D55</t>
        </is>
      </c>
      <c r="C177" t="inlineStr">
        <is>
          <t>0                      P  0211000D  55</t>
        </is>
      </c>
      <c r="D177" t="inlineStr">
        <is>
          <t>Writing.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Diringer, David, 1900-1975.</t>
        </is>
      </c>
      <c r="L177" t="inlineStr">
        <is>
          <t>New York : Praeger, [1962]</t>
        </is>
      </c>
      <c r="M177" t="inlineStr">
        <is>
          <t>1962</t>
        </is>
      </c>
      <c r="O177" t="inlineStr">
        <is>
          <t>eng</t>
        </is>
      </c>
      <c r="P177" t="inlineStr">
        <is>
          <t>nyu</t>
        </is>
      </c>
      <c r="Q177" t="inlineStr">
        <is>
          <t>Ancient peoples and places ; v. 25</t>
        </is>
      </c>
      <c r="R177" t="inlineStr">
        <is>
          <t xml:space="preserve">P  </t>
        </is>
      </c>
      <c r="S177" t="n">
        <v>3</v>
      </c>
      <c r="T177" t="n">
        <v>3</v>
      </c>
      <c r="U177" t="inlineStr">
        <is>
          <t>1996-09-15</t>
        </is>
      </c>
      <c r="V177" t="inlineStr">
        <is>
          <t>1996-09-15</t>
        </is>
      </c>
      <c r="W177" t="inlineStr">
        <is>
          <t>1994-12-16</t>
        </is>
      </c>
      <c r="X177" t="inlineStr">
        <is>
          <t>1994-12-16</t>
        </is>
      </c>
      <c r="Y177" t="n">
        <v>839</v>
      </c>
      <c r="Z177" t="n">
        <v>808</v>
      </c>
      <c r="AA177" t="n">
        <v>914</v>
      </c>
      <c r="AB177" t="n">
        <v>4</v>
      </c>
      <c r="AC177" t="n">
        <v>4</v>
      </c>
      <c r="AD177" t="n">
        <v>26</v>
      </c>
      <c r="AE177" t="n">
        <v>30</v>
      </c>
      <c r="AF177" t="n">
        <v>8</v>
      </c>
      <c r="AG177" t="n">
        <v>9</v>
      </c>
      <c r="AH177" t="n">
        <v>9</v>
      </c>
      <c r="AI177" t="n">
        <v>9</v>
      </c>
      <c r="AJ177" t="n">
        <v>17</v>
      </c>
      <c r="AK177" t="n">
        <v>21</v>
      </c>
      <c r="AL177" t="n">
        <v>3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R177">
        <f>HYPERLINK("http://catalog.hathitrust.org/Record/001181059","HathiTrust Record")</f>
        <v/>
      </c>
      <c r="AS177">
        <f>HYPERLINK("https://creighton-primo.hosted.exlibrisgroup.com/primo-explore/search?tab=default_tab&amp;search_scope=EVERYTHING&amp;vid=01CRU&amp;lang=en_US&amp;offset=0&amp;query=any,contains,991002271419702656","Catalog Record")</f>
        <v/>
      </c>
      <c r="AT177">
        <f>HYPERLINK("http://www.worldcat.org/oclc/308353","WorldCat Record")</f>
        <v/>
      </c>
      <c r="AU177" t="inlineStr">
        <is>
          <t>104131850:eng</t>
        </is>
      </c>
      <c r="AV177" t="inlineStr">
        <is>
          <t>308353</t>
        </is>
      </c>
      <c r="AW177" t="inlineStr">
        <is>
          <t>991002271419702656</t>
        </is>
      </c>
      <c r="AX177" t="inlineStr">
        <is>
          <t>991002271419702656</t>
        </is>
      </c>
      <c r="AY177" t="inlineStr">
        <is>
          <t>2266263480002656</t>
        </is>
      </c>
      <c r="AZ177" t="inlineStr">
        <is>
          <t>BOOK</t>
        </is>
      </c>
      <c r="BC177" t="inlineStr">
        <is>
          <t>32285001983740</t>
        </is>
      </c>
      <c r="BD177" t="inlineStr">
        <is>
          <t>893691413</t>
        </is>
      </c>
    </row>
    <row r="178">
      <c r="A178" t="inlineStr">
        <is>
          <t>No</t>
        </is>
      </c>
      <c r="B178" t="inlineStr">
        <is>
          <t>P211 .G664 2000</t>
        </is>
      </c>
      <c r="C178" t="inlineStr">
        <is>
          <t>0                      P  0211000G  664         2000</t>
        </is>
      </c>
      <c r="D178" t="inlineStr">
        <is>
          <t>The power of the written tradition / Jack Goody.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Goody, Jack.</t>
        </is>
      </c>
      <c r="L178" t="inlineStr">
        <is>
          <t>Washington : Smithsonian Institution Press, c2000.</t>
        </is>
      </c>
      <c r="M178" t="inlineStr">
        <is>
          <t>2000</t>
        </is>
      </c>
      <c r="O178" t="inlineStr">
        <is>
          <t>eng</t>
        </is>
      </c>
      <c r="P178" t="inlineStr">
        <is>
          <t>dcu</t>
        </is>
      </c>
      <c r="Q178" t="inlineStr">
        <is>
          <t>Smithsonian series in ethnographic inquiry</t>
        </is>
      </c>
      <c r="R178" t="inlineStr">
        <is>
          <t xml:space="preserve">P  </t>
        </is>
      </c>
      <c r="S178" t="n">
        <v>8</v>
      </c>
      <c r="T178" t="n">
        <v>8</v>
      </c>
      <c r="U178" t="inlineStr">
        <is>
          <t>2007-03-06</t>
        </is>
      </c>
      <c r="V178" t="inlineStr">
        <is>
          <t>2007-03-06</t>
        </is>
      </c>
      <c r="W178" t="inlineStr">
        <is>
          <t>2001-10-29</t>
        </is>
      </c>
      <c r="X178" t="inlineStr">
        <is>
          <t>2001-10-29</t>
        </is>
      </c>
      <c r="Y178" t="n">
        <v>542</v>
      </c>
      <c r="Z178" t="n">
        <v>428</v>
      </c>
      <c r="AA178" t="n">
        <v>984</v>
      </c>
      <c r="AB178" t="n">
        <v>4</v>
      </c>
      <c r="AC178" t="n">
        <v>4</v>
      </c>
      <c r="AD178" t="n">
        <v>23</v>
      </c>
      <c r="AE178" t="n">
        <v>27</v>
      </c>
      <c r="AF178" t="n">
        <v>6</v>
      </c>
      <c r="AG178" t="n">
        <v>10</v>
      </c>
      <c r="AH178" t="n">
        <v>7</v>
      </c>
      <c r="AI178" t="n">
        <v>8</v>
      </c>
      <c r="AJ178" t="n">
        <v>12</v>
      </c>
      <c r="AK178" t="n">
        <v>12</v>
      </c>
      <c r="AL178" t="n">
        <v>3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HYPERLINK("https://creighton-primo.hosted.exlibrisgroup.com/primo-explore/search?tab=default_tab&amp;search_scope=EVERYTHING&amp;vid=01CRU&amp;lang=en_US&amp;offset=0&amp;query=any,contains,991003645179702656","Catalog Record")</f>
        <v/>
      </c>
      <c r="AT178">
        <f>HYPERLINK("http://www.worldcat.org/oclc/41960159","WorldCat Record")</f>
        <v/>
      </c>
      <c r="AU178" t="inlineStr">
        <is>
          <t>1048634:eng</t>
        </is>
      </c>
      <c r="AV178" t="inlineStr">
        <is>
          <t>41960159</t>
        </is>
      </c>
      <c r="AW178" t="inlineStr">
        <is>
          <t>991003645179702656</t>
        </is>
      </c>
      <c r="AX178" t="inlineStr">
        <is>
          <t>991003645179702656</t>
        </is>
      </c>
      <c r="AY178" t="inlineStr">
        <is>
          <t>2257844080002656</t>
        </is>
      </c>
      <c r="AZ178" t="inlineStr">
        <is>
          <t>BOOK</t>
        </is>
      </c>
      <c r="BB178" t="inlineStr">
        <is>
          <t>9781560989622</t>
        </is>
      </c>
      <c r="BC178" t="inlineStr">
        <is>
          <t>32285004416029</t>
        </is>
      </c>
      <c r="BD178" t="inlineStr">
        <is>
          <t>893592722</t>
        </is>
      </c>
    </row>
    <row r="179">
      <c r="A179" t="inlineStr">
        <is>
          <t>No</t>
        </is>
      </c>
      <c r="B179" t="inlineStr">
        <is>
          <t>P211 .H38</t>
        </is>
      </c>
      <c r="C179" t="inlineStr">
        <is>
          <t>0                      P  0211000H  38</t>
        </is>
      </c>
      <c r="D179" t="inlineStr">
        <is>
          <t>Origins of western literacy : four lectures delivered at the Ontario Institute for Studies in Education, Toronto, March 25, 26, 27, 28, 1974 / Eric A. Havelock.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Havelock, Eric A. (Eric Alfred), 1903-1988.</t>
        </is>
      </c>
      <c r="L179" t="inlineStr">
        <is>
          <t>Toronto : Ontario Institute for Studies in Education, c1976.</t>
        </is>
      </c>
      <c r="M179" t="inlineStr">
        <is>
          <t>1976</t>
        </is>
      </c>
      <c r="O179" t="inlineStr">
        <is>
          <t>eng</t>
        </is>
      </c>
      <c r="P179" t="inlineStr">
        <is>
          <t>onc</t>
        </is>
      </c>
      <c r="Q179" t="inlineStr">
        <is>
          <t>Monograph series (Ontario Institute for Studies in Education) ; 14</t>
        </is>
      </c>
      <c r="R179" t="inlineStr">
        <is>
          <t xml:space="preserve">P  </t>
        </is>
      </c>
      <c r="S179" t="n">
        <v>2</v>
      </c>
      <c r="T179" t="n">
        <v>2</v>
      </c>
      <c r="U179" t="inlineStr">
        <is>
          <t>1994-07-07</t>
        </is>
      </c>
      <c r="V179" t="inlineStr">
        <is>
          <t>1994-07-07</t>
        </is>
      </c>
      <c r="W179" t="inlineStr">
        <is>
          <t>1992-06-18</t>
        </is>
      </c>
      <c r="X179" t="inlineStr">
        <is>
          <t>1992-06-18</t>
        </is>
      </c>
      <c r="Y179" t="n">
        <v>264</v>
      </c>
      <c r="Z179" t="n">
        <v>184</v>
      </c>
      <c r="AA179" t="n">
        <v>187</v>
      </c>
      <c r="AB179" t="n">
        <v>2</v>
      </c>
      <c r="AC179" t="n">
        <v>2</v>
      </c>
      <c r="AD179" t="n">
        <v>12</v>
      </c>
      <c r="AE179" t="n">
        <v>12</v>
      </c>
      <c r="AF179" t="n">
        <v>3</v>
      </c>
      <c r="AG179" t="n">
        <v>3</v>
      </c>
      <c r="AH179" t="n">
        <v>1</v>
      </c>
      <c r="AI179" t="n">
        <v>1</v>
      </c>
      <c r="AJ179" t="n">
        <v>9</v>
      </c>
      <c r="AK179" t="n">
        <v>9</v>
      </c>
      <c r="AL179" t="n">
        <v>1</v>
      </c>
      <c r="AM179" t="n">
        <v>1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HYPERLINK("http://catalog.hathitrust.org/Record/000732524","HathiTrust Record")</f>
        <v/>
      </c>
      <c r="AS179">
        <f>HYPERLINK("https://creighton-primo.hosted.exlibrisgroup.com/primo-explore/search?tab=default_tab&amp;search_scope=EVERYTHING&amp;vid=01CRU&amp;lang=en_US&amp;offset=0&amp;query=any,contains,991004137769702656","Catalog Record")</f>
        <v/>
      </c>
      <c r="AT179">
        <f>HYPERLINK("http://www.worldcat.org/oclc/2491440","WorldCat Record")</f>
        <v/>
      </c>
      <c r="AU179" t="inlineStr">
        <is>
          <t>363863524:eng</t>
        </is>
      </c>
      <c r="AV179" t="inlineStr">
        <is>
          <t>2491440</t>
        </is>
      </c>
      <c r="AW179" t="inlineStr">
        <is>
          <t>991004137769702656</t>
        </is>
      </c>
      <c r="AX179" t="inlineStr">
        <is>
          <t>991004137769702656</t>
        </is>
      </c>
      <c r="AY179" t="inlineStr">
        <is>
          <t>2256174910002656</t>
        </is>
      </c>
      <c r="AZ179" t="inlineStr">
        <is>
          <t>BOOK</t>
        </is>
      </c>
      <c r="BC179" t="inlineStr">
        <is>
          <t>32285001132298</t>
        </is>
      </c>
      <c r="BD179" t="inlineStr">
        <is>
          <t>893519283</t>
        </is>
      </c>
    </row>
    <row r="180">
      <c r="A180" t="inlineStr">
        <is>
          <t>No</t>
        </is>
      </c>
      <c r="B180" t="inlineStr">
        <is>
          <t>P211 .M16 1975</t>
        </is>
      </c>
      <c r="C180" t="inlineStr">
        <is>
          <t>0                      P  0211000M  16          1975</t>
        </is>
      </c>
      <c r="D180" t="inlineStr">
        <is>
          <t>The antiquity of the Greek alphabet and the early Phoenician scripts / by P. Kyle McCarter, Jr. --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McCarter, P. Kyle (Peter Kyle), 1945-</t>
        </is>
      </c>
      <c r="L180" t="inlineStr">
        <is>
          <t>Missoula, Mont. : Published by Scholars Press for Harvard Semitic Museum, c1975.</t>
        </is>
      </c>
      <c r="M180" t="inlineStr">
        <is>
          <t>1975</t>
        </is>
      </c>
      <c r="O180" t="inlineStr">
        <is>
          <t>eng</t>
        </is>
      </c>
      <c r="P180" t="inlineStr">
        <is>
          <t>mtu</t>
        </is>
      </c>
      <c r="Q180" t="inlineStr">
        <is>
          <t>Harvard Semitic monographs ; no. 9</t>
        </is>
      </c>
      <c r="R180" t="inlineStr">
        <is>
          <t xml:space="preserve">P  </t>
        </is>
      </c>
      <c r="S180" t="n">
        <v>4</v>
      </c>
      <c r="T180" t="n">
        <v>4</v>
      </c>
      <c r="U180" t="inlineStr">
        <is>
          <t>2002-09-24</t>
        </is>
      </c>
      <c r="V180" t="inlineStr">
        <is>
          <t>2002-09-24</t>
        </is>
      </c>
      <c r="W180" t="inlineStr">
        <is>
          <t>1993-04-01</t>
        </is>
      </c>
      <c r="X180" t="inlineStr">
        <is>
          <t>1993-04-01</t>
        </is>
      </c>
      <c r="Y180" t="n">
        <v>198</v>
      </c>
      <c r="Z180" t="n">
        <v>155</v>
      </c>
      <c r="AA180" t="n">
        <v>162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3</v>
      </c>
      <c r="AI180" t="n">
        <v>3</v>
      </c>
      <c r="AJ180" t="n">
        <v>1</v>
      </c>
      <c r="AK180" t="n">
        <v>1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HYPERLINK("https://creighton-primo.hosted.exlibrisgroup.com/primo-explore/search?tab=default_tab&amp;search_scope=EVERYTHING&amp;vid=01CRU&amp;lang=en_US&amp;offset=0&amp;query=any,contains,991004055389702656","Catalog Record")</f>
        <v/>
      </c>
      <c r="AT180">
        <f>HYPERLINK("http://www.worldcat.org/oclc/2224902","WorldCat Record")</f>
        <v/>
      </c>
      <c r="AU180" t="inlineStr">
        <is>
          <t>4393261:eng</t>
        </is>
      </c>
      <c r="AV180" t="inlineStr">
        <is>
          <t>2224902</t>
        </is>
      </c>
      <c r="AW180" t="inlineStr">
        <is>
          <t>991004055389702656</t>
        </is>
      </c>
      <c r="AX180" t="inlineStr">
        <is>
          <t>991004055389702656</t>
        </is>
      </c>
      <c r="AY180" t="inlineStr">
        <is>
          <t>2259056680002656</t>
        </is>
      </c>
      <c r="AZ180" t="inlineStr">
        <is>
          <t>BOOK</t>
        </is>
      </c>
      <c r="BB180" t="inlineStr">
        <is>
          <t>9780891300663</t>
        </is>
      </c>
      <c r="BC180" t="inlineStr">
        <is>
          <t>32285001613784</t>
        </is>
      </c>
      <c r="BD180" t="inlineStr">
        <is>
          <t>893627957</t>
        </is>
      </c>
    </row>
    <row r="181">
      <c r="A181" t="inlineStr">
        <is>
          <t>No</t>
        </is>
      </c>
      <c r="B181" t="inlineStr">
        <is>
          <t>P211 .N29 1987</t>
        </is>
      </c>
      <c r="C181" t="inlineStr">
        <is>
          <t>0                      P  0211000N  29          1987</t>
        </is>
      </c>
      <c r="D181" t="inlineStr">
        <is>
          <t>Early history of the alphabet : an introduction to West Semitic epigraphy and palaeography / by Joseph Naveh.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Naveh, Joseph.</t>
        </is>
      </c>
      <c r="L181" t="inlineStr">
        <is>
          <t>Jerusalem : Magnes Press, Hebrew University ; Leiden : E.J. Brill, 1987</t>
        </is>
      </c>
      <c r="M181" t="inlineStr">
        <is>
          <t>1987</t>
        </is>
      </c>
      <c r="N181" t="inlineStr">
        <is>
          <t>2nd rev. ed.</t>
        </is>
      </c>
      <c r="O181" t="inlineStr">
        <is>
          <t>eng</t>
        </is>
      </c>
      <c r="P181" t="inlineStr">
        <is>
          <t xml:space="preserve">is </t>
        </is>
      </c>
      <c r="R181" t="inlineStr">
        <is>
          <t xml:space="preserve">P  </t>
        </is>
      </c>
      <c r="S181" t="n">
        <v>1</v>
      </c>
      <c r="T181" t="n">
        <v>1</v>
      </c>
      <c r="U181" t="inlineStr">
        <is>
          <t>2009-05-28</t>
        </is>
      </c>
      <c r="V181" t="inlineStr">
        <is>
          <t>2009-05-28</t>
        </is>
      </c>
      <c r="W181" t="inlineStr">
        <is>
          <t>2009-05-28</t>
        </is>
      </c>
      <c r="X181" t="inlineStr">
        <is>
          <t>2009-05-28</t>
        </is>
      </c>
      <c r="Y181" t="n">
        <v>81</v>
      </c>
      <c r="Z181" t="n">
        <v>59</v>
      </c>
      <c r="AA181" t="n">
        <v>296</v>
      </c>
      <c r="AB181" t="n">
        <v>1</v>
      </c>
      <c r="AC181" t="n">
        <v>1</v>
      </c>
      <c r="AD181" t="n">
        <v>6</v>
      </c>
      <c r="AE181" t="n">
        <v>14</v>
      </c>
      <c r="AF181" t="n">
        <v>5</v>
      </c>
      <c r="AG181" t="n">
        <v>8</v>
      </c>
      <c r="AH181" t="n">
        <v>0</v>
      </c>
      <c r="AI181" t="n">
        <v>2</v>
      </c>
      <c r="AJ181" t="n">
        <v>3</v>
      </c>
      <c r="AK181" t="n">
        <v>9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HYPERLINK("https://creighton-primo.hosted.exlibrisgroup.com/primo-explore/search?tab=default_tab&amp;search_scope=EVERYTHING&amp;vid=01CRU&amp;lang=en_US&amp;offset=0&amp;query=any,contains,991005319719702656","Catalog Record")</f>
        <v/>
      </c>
      <c r="AT181">
        <f>HYPERLINK("http://www.worldcat.org/oclc/18592857","WorldCat Record")</f>
        <v/>
      </c>
      <c r="AU181" t="inlineStr">
        <is>
          <t>395019:eng</t>
        </is>
      </c>
      <c r="AV181" t="inlineStr">
        <is>
          <t>18592857</t>
        </is>
      </c>
      <c r="AW181" t="inlineStr">
        <is>
          <t>991005319719702656</t>
        </is>
      </c>
      <c r="AX181" t="inlineStr">
        <is>
          <t>991005319719702656</t>
        </is>
      </c>
      <c r="AY181" t="inlineStr">
        <is>
          <t>2261363590002656</t>
        </is>
      </c>
      <c r="AZ181" t="inlineStr">
        <is>
          <t>BOOK</t>
        </is>
      </c>
      <c r="BC181" t="inlineStr">
        <is>
          <t>32285005533194</t>
        </is>
      </c>
      <c r="BD181" t="inlineStr">
        <is>
          <t>893527299</t>
        </is>
      </c>
    </row>
    <row r="182">
      <c r="A182" t="inlineStr">
        <is>
          <t>No</t>
        </is>
      </c>
      <c r="B182" t="inlineStr">
        <is>
          <t>P211 .O25 1965</t>
        </is>
      </c>
      <c r="C182" t="inlineStr">
        <is>
          <t>0                      P  0211000O  25          1965</t>
        </is>
      </c>
      <c r="D182" t="inlineStr">
        <is>
          <t>Writing, man's great invention / by J. Hambleton Ober.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Ober, J. Hambleton.</t>
        </is>
      </c>
      <c r="L182" t="inlineStr">
        <is>
          <t>Baltimore : Peabody Institute, [1965]</t>
        </is>
      </c>
      <c r="M182" t="inlineStr">
        <is>
          <t>1965</t>
        </is>
      </c>
      <c r="O182" t="inlineStr">
        <is>
          <t>eng</t>
        </is>
      </c>
      <c r="P182" t="inlineStr">
        <is>
          <t>mdu</t>
        </is>
      </c>
      <c r="R182" t="inlineStr">
        <is>
          <t xml:space="preserve">P  </t>
        </is>
      </c>
      <c r="S182" t="n">
        <v>3</v>
      </c>
      <c r="T182" t="n">
        <v>3</v>
      </c>
      <c r="U182" t="inlineStr">
        <is>
          <t>1994-12-12</t>
        </is>
      </c>
      <c r="V182" t="inlineStr">
        <is>
          <t>1994-12-12</t>
        </is>
      </c>
      <c r="W182" t="inlineStr">
        <is>
          <t>1993-01-28</t>
        </is>
      </c>
      <c r="X182" t="inlineStr">
        <is>
          <t>1993-01-28</t>
        </is>
      </c>
      <c r="Y182" t="n">
        <v>269</v>
      </c>
      <c r="Z182" t="n">
        <v>256</v>
      </c>
      <c r="AA182" t="n">
        <v>262</v>
      </c>
      <c r="AB182" t="n">
        <v>3</v>
      </c>
      <c r="AC182" t="n">
        <v>3</v>
      </c>
      <c r="AD182" t="n">
        <v>7</v>
      </c>
      <c r="AE182" t="n">
        <v>7</v>
      </c>
      <c r="AF182" t="n">
        <v>2</v>
      </c>
      <c r="AG182" t="n">
        <v>2</v>
      </c>
      <c r="AH182" t="n">
        <v>1</v>
      </c>
      <c r="AI182" t="n">
        <v>1</v>
      </c>
      <c r="AJ182" t="n">
        <v>4</v>
      </c>
      <c r="AK182" t="n">
        <v>4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HYPERLINK("http://catalog.hathitrust.org/Record/001768089","HathiTrust Record")</f>
        <v/>
      </c>
      <c r="AS182">
        <f>HYPERLINK("https://creighton-primo.hosted.exlibrisgroup.com/primo-explore/search?tab=default_tab&amp;search_scope=EVERYTHING&amp;vid=01CRU&amp;lang=en_US&amp;offset=0&amp;query=any,contains,991003629259702656","Catalog Record")</f>
        <v/>
      </c>
      <c r="AT182">
        <f>HYPERLINK("http://www.worldcat.org/oclc/1219677","WorldCat Record")</f>
        <v/>
      </c>
      <c r="AU182" t="inlineStr">
        <is>
          <t>2114192:eng</t>
        </is>
      </c>
      <c r="AV182" t="inlineStr">
        <is>
          <t>1219677</t>
        </is>
      </c>
      <c r="AW182" t="inlineStr">
        <is>
          <t>991003629259702656</t>
        </is>
      </c>
      <c r="AX182" t="inlineStr">
        <is>
          <t>991003629259702656</t>
        </is>
      </c>
      <c r="AY182" t="inlineStr">
        <is>
          <t>2271669840002656</t>
        </is>
      </c>
      <c r="AZ182" t="inlineStr">
        <is>
          <t>BOOK</t>
        </is>
      </c>
      <c r="BC182" t="inlineStr">
        <is>
          <t>32285001489011</t>
        </is>
      </c>
      <c r="BD182" t="inlineStr">
        <is>
          <t>893228252</t>
        </is>
      </c>
    </row>
    <row r="183">
      <c r="A183" t="inlineStr">
        <is>
          <t>No</t>
        </is>
      </c>
      <c r="B183" t="inlineStr">
        <is>
          <t>P211 .O913 1999</t>
        </is>
      </c>
      <c r="C183" t="inlineStr">
        <is>
          <t>0                      P  0211000O  913         1999</t>
        </is>
      </c>
      <c r="D183" t="inlineStr">
        <is>
          <t>Mysteries of the alphabet : the origins of writing / Marc-Alain Ouaknin ; translated from the French by Josephine Bacon.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Ouaknin, Marc-Alain.</t>
        </is>
      </c>
      <c r="L183" t="inlineStr">
        <is>
          <t>New York : Abbeville Press, c1999.</t>
        </is>
      </c>
      <c r="M183" t="inlineStr">
        <is>
          <t>1999</t>
        </is>
      </c>
      <c r="N183" t="inlineStr">
        <is>
          <t>1st ed.</t>
        </is>
      </c>
      <c r="O183" t="inlineStr">
        <is>
          <t>eng</t>
        </is>
      </c>
      <c r="P183" t="inlineStr">
        <is>
          <t>nyu</t>
        </is>
      </c>
      <c r="R183" t="inlineStr">
        <is>
          <t xml:space="preserve">P  </t>
        </is>
      </c>
      <c r="S183" t="n">
        <v>3</v>
      </c>
      <c r="T183" t="n">
        <v>3</v>
      </c>
      <c r="U183" t="inlineStr">
        <is>
          <t>2007-03-29</t>
        </is>
      </c>
      <c r="V183" t="inlineStr">
        <is>
          <t>2007-03-29</t>
        </is>
      </c>
      <c r="W183" t="inlineStr">
        <is>
          <t>2000-08-01</t>
        </is>
      </c>
      <c r="X183" t="inlineStr">
        <is>
          <t>2000-08-01</t>
        </is>
      </c>
      <c r="Y183" t="n">
        <v>881</v>
      </c>
      <c r="Z183" t="n">
        <v>803</v>
      </c>
      <c r="AA183" t="n">
        <v>808</v>
      </c>
      <c r="AB183" t="n">
        <v>5</v>
      </c>
      <c r="AC183" t="n">
        <v>5</v>
      </c>
      <c r="AD183" t="n">
        <v>28</v>
      </c>
      <c r="AE183" t="n">
        <v>28</v>
      </c>
      <c r="AF183" t="n">
        <v>13</v>
      </c>
      <c r="AG183" t="n">
        <v>13</v>
      </c>
      <c r="AH183" t="n">
        <v>6</v>
      </c>
      <c r="AI183" t="n">
        <v>6</v>
      </c>
      <c r="AJ183" t="n">
        <v>11</v>
      </c>
      <c r="AK183" t="n">
        <v>11</v>
      </c>
      <c r="AL183" t="n">
        <v>4</v>
      </c>
      <c r="AM183" t="n">
        <v>4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HYPERLINK("http://catalog.hathitrust.org/Record/004173605","HathiTrust Record")</f>
        <v/>
      </c>
      <c r="AS183">
        <f>HYPERLINK("https://creighton-primo.hosted.exlibrisgroup.com/primo-explore/search?tab=default_tab&amp;search_scope=EVERYTHING&amp;vid=01CRU&amp;lang=en_US&amp;offset=0&amp;query=any,contains,991003229509702656","Catalog Record")</f>
        <v/>
      </c>
      <c r="AT183">
        <f>HYPERLINK("http://www.worldcat.org/oclc/40076585","WorldCat Record")</f>
        <v/>
      </c>
      <c r="AU183" t="inlineStr">
        <is>
          <t>25581883:eng</t>
        </is>
      </c>
      <c r="AV183" t="inlineStr">
        <is>
          <t>40076585</t>
        </is>
      </c>
      <c r="AW183" t="inlineStr">
        <is>
          <t>991003229509702656</t>
        </is>
      </c>
      <c r="AX183" t="inlineStr">
        <is>
          <t>991003229509702656</t>
        </is>
      </c>
      <c r="AY183" t="inlineStr">
        <is>
          <t>2266416230002656</t>
        </is>
      </c>
      <c r="AZ183" t="inlineStr">
        <is>
          <t>BOOK</t>
        </is>
      </c>
      <c r="BB183" t="inlineStr">
        <is>
          <t>9780789205216</t>
        </is>
      </c>
      <c r="BC183" t="inlineStr">
        <is>
          <t>32285003744371</t>
        </is>
      </c>
      <c r="BD183" t="inlineStr">
        <is>
          <t>893246150</t>
        </is>
      </c>
    </row>
    <row r="184">
      <c r="A184" t="inlineStr">
        <is>
          <t>No</t>
        </is>
      </c>
      <c r="B184" t="inlineStr">
        <is>
          <t>P211 .S46 1990</t>
        </is>
      </c>
      <c r="C184" t="inlineStr">
        <is>
          <t>0                      P  0211000S  46          1990</t>
        </is>
      </c>
      <c r="D184" t="inlineStr">
        <is>
          <t>A Sense of audience in written communication / edited by Gesa Kirsch, Duane H. Roen.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Newbury Park, Calif. : Sage Publications, c1990.</t>
        </is>
      </c>
      <c r="M184" t="inlineStr">
        <is>
          <t>1990</t>
        </is>
      </c>
      <c r="O184" t="inlineStr">
        <is>
          <t>eng</t>
        </is>
      </c>
      <c r="P184" t="inlineStr">
        <is>
          <t>cau</t>
        </is>
      </c>
      <c r="Q184" t="inlineStr">
        <is>
          <t>Sage focus editions ; 121</t>
        </is>
      </c>
      <c r="R184" t="inlineStr">
        <is>
          <t xml:space="preserve">P  </t>
        </is>
      </c>
      <c r="S184" t="n">
        <v>3</v>
      </c>
      <c r="T184" t="n">
        <v>3</v>
      </c>
      <c r="U184" t="inlineStr">
        <is>
          <t>2007-10-02</t>
        </is>
      </c>
      <c r="V184" t="inlineStr">
        <is>
          <t>2007-10-02</t>
        </is>
      </c>
      <c r="W184" t="inlineStr">
        <is>
          <t>1991-05-06</t>
        </is>
      </c>
      <c r="X184" t="inlineStr">
        <is>
          <t>1991-05-06</t>
        </is>
      </c>
      <c r="Y184" t="n">
        <v>232</v>
      </c>
      <c r="Z184" t="n">
        <v>170</v>
      </c>
      <c r="AA184" t="n">
        <v>228</v>
      </c>
      <c r="AB184" t="n">
        <v>1</v>
      </c>
      <c r="AC184" t="n">
        <v>2</v>
      </c>
      <c r="AD184" t="n">
        <v>7</v>
      </c>
      <c r="AE184" t="n">
        <v>9</v>
      </c>
      <c r="AF184" t="n">
        <v>2</v>
      </c>
      <c r="AG184" t="n">
        <v>3</v>
      </c>
      <c r="AH184" t="n">
        <v>3</v>
      </c>
      <c r="AI184" t="n">
        <v>3</v>
      </c>
      <c r="AJ184" t="n">
        <v>3</v>
      </c>
      <c r="AK184" t="n">
        <v>3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HYPERLINK("https://creighton-primo.hosted.exlibrisgroup.com/primo-explore/search?tab=default_tab&amp;search_scope=EVERYTHING&amp;vid=01CRU&amp;lang=en_US&amp;offset=0&amp;query=any,contains,991001654119702656","Catalog Record")</f>
        <v/>
      </c>
      <c r="AT184">
        <f>HYPERLINK("http://www.worldcat.org/oclc/21117615","WorldCat Record")</f>
        <v/>
      </c>
      <c r="AU184" t="inlineStr">
        <is>
          <t>354216563:eng</t>
        </is>
      </c>
      <c r="AV184" t="inlineStr">
        <is>
          <t>21117615</t>
        </is>
      </c>
      <c r="AW184" t="inlineStr">
        <is>
          <t>991001654119702656</t>
        </is>
      </c>
      <c r="AX184" t="inlineStr">
        <is>
          <t>991001654119702656</t>
        </is>
      </c>
      <c r="AY184" t="inlineStr">
        <is>
          <t>2261537720002656</t>
        </is>
      </c>
      <c r="AZ184" t="inlineStr">
        <is>
          <t>BOOK</t>
        </is>
      </c>
      <c r="BB184" t="inlineStr">
        <is>
          <t>9780803936553</t>
        </is>
      </c>
      <c r="BC184" t="inlineStr">
        <is>
          <t>32285000571066</t>
        </is>
      </c>
      <c r="BD184" t="inlineStr">
        <is>
          <t>893238237</t>
        </is>
      </c>
    </row>
    <row r="185">
      <c r="A185" t="inlineStr">
        <is>
          <t>No</t>
        </is>
      </c>
      <c r="B185" t="inlineStr">
        <is>
          <t>P211 .S69 1983</t>
        </is>
      </c>
      <c r="C185" t="inlineStr">
        <is>
          <t>0                      P  0211000S  69          1983</t>
        </is>
      </c>
      <c r="D185" t="inlineStr">
        <is>
          <t>The implications of literacy : written language and models of interpretation in the eleventh and twelfth centuries / Brian Stock.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Stock, Brian.</t>
        </is>
      </c>
      <c r="L185" t="inlineStr">
        <is>
          <t>Princeton, N.J. : Princeton University Press, c1983.</t>
        </is>
      </c>
      <c r="M185" t="inlineStr">
        <is>
          <t>1983</t>
        </is>
      </c>
      <c r="O185" t="inlineStr">
        <is>
          <t>eng</t>
        </is>
      </c>
      <c r="P185" t="inlineStr">
        <is>
          <t>nju</t>
        </is>
      </c>
      <c r="R185" t="inlineStr">
        <is>
          <t xml:space="preserve">P  </t>
        </is>
      </c>
      <c r="S185" t="n">
        <v>5</v>
      </c>
      <c r="T185" t="n">
        <v>5</v>
      </c>
      <c r="U185" t="inlineStr">
        <is>
          <t>2001-10-15</t>
        </is>
      </c>
      <c r="V185" t="inlineStr">
        <is>
          <t>2001-10-15</t>
        </is>
      </c>
      <c r="W185" t="inlineStr">
        <is>
          <t>1990-02-06</t>
        </is>
      </c>
      <c r="X185" t="inlineStr">
        <is>
          <t>1990-02-06</t>
        </is>
      </c>
      <c r="Y185" t="n">
        <v>667</v>
      </c>
      <c r="Z185" t="n">
        <v>486</v>
      </c>
      <c r="AA185" t="n">
        <v>631</v>
      </c>
      <c r="AB185" t="n">
        <v>4</v>
      </c>
      <c r="AC185" t="n">
        <v>5</v>
      </c>
      <c r="AD185" t="n">
        <v>33</v>
      </c>
      <c r="AE185" t="n">
        <v>40</v>
      </c>
      <c r="AF185" t="n">
        <v>14</v>
      </c>
      <c r="AG185" t="n">
        <v>17</v>
      </c>
      <c r="AH185" t="n">
        <v>5</v>
      </c>
      <c r="AI185" t="n">
        <v>8</v>
      </c>
      <c r="AJ185" t="n">
        <v>17</v>
      </c>
      <c r="AK185" t="n">
        <v>20</v>
      </c>
      <c r="AL185" t="n">
        <v>3</v>
      </c>
      <c r="AM185" t="n">
        <v>4</v>
      </c>
      <c r="AN185" t="n">
        <v>1</v>
      </c>
      <c r="AO185" t="n">
        <v>1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HYPERLINK("https://creighton-primo.hosted.exlibrisgroup.com/primo-explore/search?tab=default_tab&amp;search_scope=EVERYTHING&amp;vid=01CRU&amp;lang=en_US&amp;offset=0&amp;query=any,contains,991000019259702656","Catalog Record")</f>
        <v/>
      </c>
      <c r="AT185">
        <f>HYPERLINK("http://www.worldcat.org/oclc/8554299","WorldCat Record")</f>
        <v/>
      </c>
      <c r="AU185" t="inlineStr">
        <is>
          <t>441589:eng</t>
        </is>
      </c>
      <c r="AV185" t="inlineStr">
        <is>
          <t>8554299</t>
        </is>
      </c>
      <c r="AW185" t="inlineStr">
        <is>
          <t>991000019259702656</t>
        </is>
      </c>
      <c r="AX185" t="inlineStr">
        <is>
          <t>991000019259702656</t>
        </is>
      </c>
      <c r="AY185" t="inlineStr">
        <is>
          <t>2256264400002656</t>
        </is>
      </c>
      <c r="AZ185" t="inlineStr">
        <is>
          <t>BOOK</t>
        </is>
      </c>
      <c r="BB185" t="inlineStr">
        <is>
          <t>9780691053684</t>
        </is>
      </c>
      <c r="BC185" t="inlineStr">
        <is>
          <t>32285000033273</t>
        </is>
      </c>
      <c r="BD185" t="inlineStr">
        <is>
          <t>893777598</t>
        </is>
      </c>
    </row>
    <row r="186">
      <c r="A186" t="inlineStr">
        <is>
          <t>No</t>
        </is>
      </c>
      <c r="B186" t="inlineStr">
        <is>
          <t>P211.3.E85 M35 1989</t>
        </is>
      </c>
      <c r="C186" t="inlineStr">
        <is>
          <t>0                      P  0211300E  85                 M  35          1989</t>
        </is>
      </c>
      <c r="D186" t="inlineStr">
        <is>
          <t>The Carolingians and the written word / Rosamond McKitterick.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McKitterick, Rosamond.</t>
        </is>
      </c>
      <c r="L186" t="inlineStr">
        <is>
          <t>Cambridge ; New York : Cambridge University Press, 1989.</t>
        </is>
      </c>
      <c r="M186" t="inlineStr">
        <is>
          <t>1989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P  </t>
        </is>
      </c>
      <c r="S186" t="n">
        <v>1</v>
      </c>
      <c r="T186" t="n">
        <v>1</v>
      </c>
      <c r="U186" t="inlineStr">
        <is>
          <t>1992-06-09</t>
        </is>
      </c>
      <c r="V186" t="inlineStr">
        <is>
          <t>1992-06-09</t>
        </is>
      </c>
      <c r="W186" t="inlineStr">
        <is>
          <t>1989-12-05</t>
        </is>
      </c>
      <c r="X186" t="inlineStr">
        <is>
          <t>1989-12-05</t>
        </is>
      </c>
      <c r="Y186" t="n">
        <v>576</v>
      </c>
      <c r="Z186" t="n">
        <v>390</v>
      </c>
      <c r="AA186" t="n">
        <v>547</v>
      </c>
      <c r="AB186" t="n">
        <v>4</v>
      </c>
      <c r="AC186" t="n">
        <v>6</v>
      </c>
      <c r="AD186" t="n">
        <v>25</v>
      </c>
      <c r="AE186" t="n">
        <v>33</v>
      </c>
      <c r="AF186" t="n">
        <v>7</v>
      </c>
      <c r="AG186" t="n">
        <v>11</v>
      </c>
      <c r="AH186" t="n">
        <v>6</v>
      </c>
      <c r="AI186" t="n">
        <v>9</v>
      </c>
      <c r="AJ186" t="n">
        <v>14</v>
      </c>
      <c r="AK186" t="n">
        <v>16</v>
      </c>
      <c r="AL186" t="n">
        <v>3</v>
      </c>
      <c r="AM186" t="n">
        <v>5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HYPERLINK("https://creighton-primo.hosted.exlibrisgroup.com/primo-explore/search?tab=default_tab&amp;search_scope=EVERYTHING&amp;vid=01CRU&amp;lang=en_US&amp;offset=0&amp;query=any,contains,991001360559702656","Catalog Record")</f>
        <v/>
      </c>
      <c r="AT186">
        <f>HYPERLINK("http://www.worldcat.org/oclc/18520955","WorldCat Record")</f>
        <v/>
      </c>
      <c r="AU186" t="inlineStr">
        <is>
          <t>15808317:eng</t>
        </is>
      </c>
      <c r="AV186" t="inlineStr">
        <is>
          <t>18520955</t>
        </is>
      </c>
      <c r="AW186" t="inlineStr">
        <is>
          <t>991001360559702656</t>
        </is>
      </c>
      <c r="AX186" t="inlineStr">
        <is>
          <t>991001360559702656</t>
        </is>
      </c>
      <c r="AY186" t="inlineStr">
        <is>
          <t>2268408990002656</t>
        </is>
      </c>
      <c r="AZ186" t="inlineStr">
        <is>
          <t>BOOK</t>
        </is>
      </c>
      <c r="BB186" t="inlineStr">
        <is>
          <t>9780521315654</t>
        </is>
      </c>
      <c r="BC186" t="inlineStr">
        <is>
          <t>32285000017359</t>
        </is>
      </c>
      <c r="BD186" t="inlineStr">
        <is>
          <t>893803570</t>
        </is>
      </c>
    </row>
    <row r="187">
      <c r="A187" t="inlineStr">
        <is>
          <t>No</t>
        </is>
      </c>
      <c r="B187" t="inlineStr">
        <is>
          <t>P217 .T72</t>
        </is>
      </c>
      <c r="C187" t="inlineStr">
        <is>
          <t>0                      P  0217000T  72</t>
        </is>
      </c>
      <c r="D187" t="inlineStr">
        <is>
          <t>Principles of phonology [by] N. S. Trubetzkoy. Translated by Christiane A. M. Baltaxe.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Trubet︠s︡koĭ, Nikolaĭ Sergeevich, kni︠a︡zʹ, 1890-1938.</t>
        </is>
      </c>
      <c r="L187" t="inlineStr">
        <is>
          <t>Berkeley, University of California Press, 1969.</t>
        </is>
      </c>
      <c r="M187" t="inlineStr">
        <is>
          <t>1969</t>
        </is>
      </c>
      <c r="O187" t="inlineStr">
        <is>
          <t>eng</t>
        </is>
      </c>
      <c r="P187" t="inlineStr">
        <is>
          <t>cau</t>
        </is>
      </c>
      <c r="R187" t="inlineStr">
        <is>
          <t xml:space="preserve">P  </t>
        </is>
      </c>
      <c r="S187" t="n">
        <v>2</v>
      </c>
      <c r="T187" t="n">
        <v>2</v>
      </c>
      <c r="U187" t="inlineStr">
        <is>
          <t>1997-09-17</t>
        </is>
      </c>
      <c r="V187" t="inlineStr">
        <is>
          <t>1997-09-17</t>
        </is>
      </c>
      <c r="W187" t="inlineStr">
        <is>
          <t>1997-08-19</t>
        </is>
      </c>
      <c r="X187" t="inlineStr">
        <is>
          <t>1997-08-19</t>
        </is>
      </c>
      <c r="Y187" t="n">
        <v>654</v>
      </c>
      <c r="Z187" t="n">
        <v>507</v>
      </c>
      <c r="AA187" t="n">
        <v>507</v>
      </c>
      <c r="AB187" t="n">
        <v>5</v>
      </c>
      <c r="AC187" t="n">
        <v>5</v>
      </c>
      <c r="AD187" t="n">
        <v>25</v>
      </c>
      <c r="AE187" t="n">
        <v>25</v>
      </c>
      <c r="AF187" t="n">
        <v>6</v>
      </c>
      <c r="AG187" t="n">
        <v>6</v>
      </c>
      <c r="AH187" t="n">
        <v>8</v>
      </c>
      <c r="AI187" t="n">
        <v>8</v>
      </c>
      <c r="AJ187" t="n">
        <v>12</v>
      </c>
      <c r="AK187" t="n">
        <v>12</v>
      </c>
      <c r="AL187" t="n">
        <v>4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HYPERLINK("https://creighton-primo.hosted.exlibrisgroup.com/primo-explore/search?tab=default_tab&amp;search_scope=EVERYTHING&amp;vid=01CRU&amp;lang=en_US&amp;offset=0&amp;query=any,contains,991000038889702656","Catalog Record")</f>
        <v/>
      </c>
      <c r="AT187">
        <f>HYPERLINK("http://www.worldcat.org/oclc/21360","WorldCat Record")</f>
        <v/>
      </c>
      <c r="AU187" t="inlineStr">
        <is>
          <t>1143698:eng</t>
        </is>
      </c>
      <c r="AV187" t="inlineStr">
        <is>
          <t>21360</t>
        </is>
      </c>
      <c r="AW187" t="inlineStr">
        <is>
          <t>991000038889702656</t>
        </is>
      </c>
      <c r="AX187" t="inlineStr">
        <is>
          <t>991000038889702656</t>
        </is>
      </c>
      <c r="AY187" t="inlineStr">
        <is>
          <t>2261568810002656</t>
        </is>
      </c>
      <c r="AZ187" t="inlineStr">
        <is>
          <t>BOOK</t>
        </is>
      </c>
      <c r="BB187" t="inlineStr">
        <is>
          <t>9780520015357</t>
        </is>
      </c>
      <c r="BC187" t="inlineStr">
        <is>
          <t>32285003097762</t>
        </is>
      </c>
      <c r="BD187" t="inlineStr">
        <is>
          <t>893865021</t>
        </is>
      </c>
    </row>
    <row r="188">
      <c r="A188" t="inlineStr">
        <is>
          <t>No</t>
        </is>
      </c>
      <c r="B188" t="inlineStr">
        <is>
          <t>P218 .B3</t>
        </is>
      </c>
      <c r="C188" t="inlineStr">
        <is>
          <t>0                      P  0218000B  3</t>
        </is>
      </c>
      <c r="D188" t="inlineStr">
        <is>
          <t>Foundations of distinctive feature theory / Christiane A. M. Baltaxe. --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Baltaxe, Christiane A. M.</t>
        </is>
      </c>
      <c r="L188" t="inlineStr">
        <is>
          <t>Baltimore : University Park Press, 1978.</t>
        </is>
      </c>
      <c r="M188" t="inlineStr">
        <is>
          <t>1978</t>
        </is>
      </c>
      <c r="O188" t="inlineStr">
        <is>
          <t>eng</t>
        </is>
      </c>
      <c r="P188" t="inlineStr">
        <is>
          <t>mdu</t>
        </is>
      </c>
      <c r="R188" t="inlineStr">
        <is>
          <t xml:space="preserve">P  </t>
        </is>
      </c>
      <c r="S188" t="n">
        <v>2</v>
      </c>
      <c r="T188" t="n">
        <v>2</v>
      </c>
      <c r="U188" t="inlineStr">
        <is>
          <t>1997-04-15</t>
        </is>
      </c>
      <c r="V188" t="inlineStr">
        <is>
          <t>1997-04-15</t>
        </is>
      </c>
      <c r="W188" t="inlineStr">
        <is>
          <t>1993-04-01</t>
        </is>
      </c>
      <c r="X188" t="inlineStr">
        <is>
          <t>1993-04-01</t>
        </is>
      </c>
      <c r="Y188" t="n">
        <v>346</v>
      </c>
      <c r="Z188" t="n">
        <v>269</v>
      </c>
      <c r="AA188" t="n">
        <v>271</v>
      </c>
      <c r="AB188" t="n">
        <v>4</v>
      </c>
      <c r="AC188" t="n">
        <v>4</v>
      </c>
      <c r="AD188" t="n">
        <v>11</v>
      </c>
      <c r="AE188" t="n">
        <v>11</v>
      </c>
      <c r="AF188" t="n">
        <v>2</v>
      </c>
      <c r="AG188" t="n">
        <v>2</v>
      </c>
      <c r="AH188" t="n">
        <v>2</v>
      </c>
      <c r="AI188" t="n">
        <v>2</v>
      </c>
      <c r="AJ188" t="n">
        <v>5</v>
      </c>
      <c r="AK188" t="n">
        <v>5</v>
      </c>
      <c r="AL188" t="n">
        <v>3</v>
      </c>
      <c r="AM188" t="n">
        <v>3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HYPERLINK("http://catalog.hathitrust.org/Record/006223528","HathiTrust Record")</f>
        <v/>
      </c>
      <c r="AS188">
        <f>HYPERLINK("https://creighton-primo.hosted.exlibrisgroup.com/primo-explore/search?tab=default_tab&amp;search_scope=EVERYTHING&amp;vid=01CRU&amp;lang=en_US&amp;offset=0&amp;query=any,contains,991004487559702656","Catalog Record")</f>
        <v/>
      </c>
      <c r="AT188">
        <f>HYPERLINK("http://www.worldcat.org/oclc/3649905","WorldCat Record")</f>
        <v/>
      </c>
      <c r="AU188" t="inlineStr">
        <is>
          <t>12279552:eng</t>
        </is>
      </c>
      <c r="AV188" t="inlineStr">
        <is>
          <t>3649905</t>
        </is>
      </c>
      <c r="AW188" t="inlineStr">
        <is>
          <t>991004487559702656</t>
        </is>
      </c>
      <c r="AX188" t="inlineStr">
        <is>
          <t>991004487559702656</t>
        </is>
      </c>
      <c r="AY188" t="inlineStr">
        <is>
          <t>2255880670002656</t>
        </is>
      </c>
      <c r="AZ188" t="inlineStr">
        <is>
          <t>BOOK</t>
        </is>
      </c>
      <c r="BB188" t="inlineStr">
        <is>
          <t>9780839112129</t>
        </is>
      </c>
      <c r="BC188" t="inlineStr">
        <is>
          <t>32285001613834</t>
        </is>
      </c>
      <c r="BD188" t="inlineStr">
        <is>
          <t>893446246</t>
        </is>
      </c>
    </row>
    <row r="189">
      <c r="A189" t="inlineStr">
        <is>
          <t>No</t>
        </is>
      </c>
      <c r="B189" t="inlineStr">
        <is>
          <t>P221 .J3</t>
        </is>
      </c>
      <c r="C189" t="inlineStr">
        <is>
          <t>0                      P  0221000J  3</t>
        </is>
      </c>
      <c r="D189" t="inlineStr">
        <is>
          <t>Fundamentals of language, by Roman Jakobson and Morris Halle.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Jakobson, Roman, 1896-1982.</t>
        </is>
      </c>
      <c r="L189" t="inlineStr">
        <is>
          <t>'s-Gravenhage, Mouton, 1956.</t>
        </is>
      </c>
      <c r="M189" t="inlineStr">
        <is>
          <t>1956</t>
        </is>
      </c>
      <c r="O189" t="inlineStr">
        <is>
          <t>eng</t>
        </is>
      </c>
      <c r="P189" t="inlineStr">
        <is>
          <t xml:space="preserve">xx </t>
        </is>
      </c>
      <c r="Q189" t="inlineStr">
        <is>
          <t>Janua linguarum, nr. 1</t>
        </is>
      </c>
      <c r="R189" t="inlineStr">
        <is>
          <t xml:space="preserve">P  </t>
        </is>
      </c>
      <c r="S189" t="n">
        <v>2</v>
      </c>
      <c r="T189" t="n">
        <v>2</v>
      </c>
      <c r="U189" t="inlineStr">
        <is>
          <t>2005-04-07</t>
        </is>
      </c>
      <c r="V189" t="inlineStr">
        <is>
          <t>2005-04-07</t>
        </is>
      </c>
      <c r="W189" t="inlineStr">
        <is>
          <t>1997-08-19</t>
        </is>
      </c>
      <c r="X189" t="inlineStr">
        <is>
          <t>1997-08-19</t>
        </is>
      </c>
      <c r="Y189" t="n">
        <v>635</v>
      </c>
      <c r="Z189" t="n">
        <v>448</v>
      </c>
      <c r="AA189" t="n">
        <v>477</v>
      </c>
      <c r="AB189" t="n">
        <v>5</v>
      </c>
      <c r="AC189" t="n">
        <v>5</v>
      </c>
      <c r="AD189" t="n">
        <v>25</v>
      </c>
      <c r="AE189" t="n">
        <v>26</v>
      </c>
      <c r="AF189" t="n">
        <v>6</v>
      </c>
      <c r="AG189" t="n">
        <v>7</v>
      </c>
      <c r="AH189" t="n">
        <v>6</v>
      </c>
      <c r="AI189" t="n">
        <v>6</v>
      </c>
      <c r="AJ189" t="n">
        <v>13</v>
      </c>
      <c r="AK189" t="n">
        <v>14</v>
      </c>
      <c r="AL189" t="n">
        <v>4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HYPERLINK("http://catalog.hathitrust.org/Record/001181101","HathiTrust Record")</f>
        <v/>
      </c>
      <c r="AS189">
        <f>HYPERLINK("https://creighton-primo.hosted.exlibrisgroup.com/primo-explore/search?tab=default_tab&amp;search_scope=EVERYTHING&amp;vid=01CRU&amp;lang=en_US&amp;offset=0&amp;query=any,contains,991002270799702656","Catalog Record")</f>
        <v/>
      </c>
      <c r="AT189">
        <f>HYPERLINK("http://www.worldcat.org/oclc/308137","WorldCat Record")</f>
        <v/>
      </c>
      <c r="AU189" t="inlineStr">
        <is>
          <t>118066424:eng</t>
        </is>
      </c>
      <c r="AV189" t="inlineStr">
        <is>
          <t>308137</t>
        </is>
      </c>
      <c r="AW189" t="inlineStr">
        <is>
          <t>991002270799702656</t>
        </is>
      </c>
      <c r="AX189" t="inlineStr">
        <is>
          <t>991002270799702656</t>
        </is>
      </c>
      <c r="AY189" t="inlineStr">
        <is>
          <t>2266218720002656</t>
        </is>
      </c>
      <c r="AZ189" t="inlineStr">
        <is>
          <t>BOOK</t>
        </is>
      </c>
      <c r="BC189" t="inlineStr">
        <is>
          <t>32285003097804</t>
        </is>
      </c>
      <c r="BD189" t="inlineStr">
        <is>
          <t>893517091</t>
        </is>
      </c>
    </row>
    <row r="190">
      <c r="A190" t="inlineStr">
        <is>
          <t>No</t>
        </is>
      </c>
      <c r="B190" t="inlineStr">
        <is>
          <t>P221 .L2 1993</t>
        </is>
      </c>
      <c r="C190" t="inlineStr">
        <is>
          <t>0                      P  0221000L  2           1993</t>
        </is>
      </c>
      <c r="D190" t="inlineStr">
        <is>
          <t>A course in phonetics / Peter Ladefoged.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Ladefoged, Peter.</t>
        </is>
      </c>
      <c r="L190" t="inlineStr">
        <is>
          <t>Fort Worth : Harcourt Brace Jovanovich College Publishers, c1993.</t>
        </is>
      </c>
      <c r="M190" t="inlineStr">
        <is>
          <t>1993</t>
        </is>
      </c>
      <c r="N190" t="inlineStr">
        <is>
          <t>3rd ed.</t>
        </is>
      </c>
      <c r="O190" t="inlineStr">
        <is>
          <t>eng</t>
        </is>
      </c>
      <c r="P190" t="inlineStr">
        <is>
          <t>txu</t>
        </is>
      </c>
      <c r="R190" t="inlineStr">
        <is>
          <t xml:space="preserve">P  </t>
        </is>
      </c>
      <c r="S190" t="n">
        <v>12</v>
      </c>
      <c r="T190" t="n">
        <v>12</v>
      </c>
      <c r="U190" t="inlineStr">
        <is>
          <t>2004-05-12</t>
        </is>
      </c>
      <c r="V190" t="inlineStr">
        <is>
          <t>2004-05-12</t>
        </is>
      </c>
      <c r="W190" t="inlineStr">
        <is>
          <t>1993-08-16</t>
        </is>
      </c>
      <c r="X190" t="inlineStr">
        <is>
          <t>1993-08-16</t>
        </is>
      </c>
      <c r="Y190" t="n">
        <v>263</v>
      </c>
      <c r="Z190" t="n">
        <v>131</v>
      </c>
      <c r="AA190" t="n">
        <v>571</v>
      </c>
      <c r="AB190" t="n">
        <v>1</v>
      </c>
      <c r="AC190" t="n">
        <v>3</v>
      </c>
      <c r="AD190" t="n">
        <v>1</v>
      </c>
      <c r="AE190" t="n">
        <v>17</v>
      </c>
      <c r="AF190" t="n">
        <v>0</v>
      </c>
      <c r="AG190" t="n">
        <v>7</v>
      </c>
      <c r="AH190" t="n">
        <v>1</v>
      </c>
      <c r="AI190" t="n">
        <v>5</v>
      </c>
      <c r="AJ190" t="n">
        <v>1</v>
      </c>
      <c r="AK190" t="n">
        <v>7</v>
      </c>
      <c r="AL190" t="n">
        <v>0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HYPERLINK("http://catalog.hathitrust.org/Record/002959603","HathiTrust Record")</f>
        <v/>
      </c>
      <c r="AS190">
        <f>HYPERLINK("https://creighton-primo.hosted.exlibrisgroup.com/primo-explore/search?tab=default_tab&amp;search_scope=EVERYTHING&amp;vid=01CRU&amp;lang=en_US&amp;offset=0&amp;query=any,contains,991002091029702656","Catalog Record")</f>
        <v/>
      </c>
      <c r="AT190">
        <f>HYPERLINK("http://www.worldcat.org/oclc/26828883","WorldCat Record")</f>
        <v/>
      </c>
      <c r="AU190" t="inlineStr">
        <is>
          <t>2467215:eng</t>
        </is>
      </c>
      <c r="AV190" t="inlineStr">
        <is>
          <t>26828883</t>
        </is>
      </c>
      <c r="AW190" t="inlineStr">
        <is>
          <t>991002091029702656</t>
        </is>
      </c>
      <c r="AX190" t="inlineStr">
        <is>
          <t>991002091029702656</t>
        </is>
      </c>
      <c r="AY190" t="inlineStr">
        <is>
          <t>2263930820002656</t>
        </is>
      </c>
      <c r="AZ190" t="inlineStr">
        <is>
          <t>BOOK</t>
        </is>
      </c>
      <c r="BB190" t="inlineStr">
        <is>
          <t>9780155001732</t>
        </is>
      </c>
      <c r="BC190" t="inlineStr">
        <is>
          <t>32285001726727</t>
        </is>
      </c>
      <c r="BD190" t="inlineStr">
        <is>
          <t>893414809</t>
        </is>
      </c>
    </row>
    <row r="191">
      <c r="A191" t="inlineStr">
        <is>
          <t>No</t>
        </is>
      </c>
      <c r="B191" t="inlineStr">
        <is>
          <t>P221 .S53</t>
        </is>
      </c>
      <c r="C191" t="inlineStr">
        <is>
          <t>0                      P  0221000S  53</t>
        </is>
      </c>
      <c r="D191" t="inlineStr">
        <is>
          <t>Phonetics : principles and practices / Sadanand Singh and Kala S. Singh.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Singh, Sadanand.</t>
        </is>
      </c>
      <c r="L191" t="inlineStr">
        <is>
          <t>Baltimore : University Park Press, c1976.</t>
        </is>
      </c>
      <c r="M191" t="inlineStr">
        <is>
          <t>1976</t>
        </is>
      </c>
      <c r="O191" t="inlineStr">
        <is>
          <t>eng</t>
        </is>
      </c>
      <c r="P191" t="inlineStr">
        <is>
          <t>mdu</t>
        </is>
      </c>
      <c r="R191" t="inlineStr">
        <is>
          <t xml:space="preserve">P  </t>
        </is>
      </c>
      <c r="S191" t="n">
        <v>5</v>
      </c>
      <c r="T191" t="n">
        <v>5</v>
      </c>
      <c r="U191" t="inlineStr">
        <is>
          <t>1999-04-09</t>
        </is>
      </c>
      <c r="V191" t="inlineStr">
        <is>
          <t>1999-04-09</t>
        </is>
      </c>
      <c r="W191" t="inlineStr">
        <is>
          <t>1997-08-08</t>
        </is>
      </c>
      <c r="X191" t="inlineStr">
        <is>
          <t>1997-08-08</t>
        </is>
      </c>
      <c r="Y191" t="n">
        <v>477</v>
      </c>
      <c r="Z191" t="n">
        <v>379</v>
      </c>
      <c r="AA191" t="n">
        <v>517</v>
      </c>
      <c r="AB191" t="n">
        <v>6</v>
      </c>
      <c r="AC191" t="n">
        <v>7</v>
      </c>
      <c r="AD191" t="n">
        <v>18</v>
      </c>
      <c r="AE191" t="n">
        <v>21</v>
      </c>
      <c r="AF191" t="n">
        <v>7</v>
      </c>
      <c r="AG191" t="n">
        <v>9</v>
      </c>
      <c r="AH191" t="n">
        <v>4</v>
      </c>
      <c r="AI191" t="n">
        <v>4</v>
      </c>
      <c r="AJ191" t="n">
        <v>6</v>
      </c>
      <c r="AK191" t="n">
        <v>7</v>
      </c>
      <c r="AL191" t="n">
        <v>4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HYPERLINK("http://catalog.hathitrust.org/Record/000693286","HathiTrust Record")</f>
        <v/>
      </c>
      <c r="AS191">
        <f>HYPERLINK("https://creighton-primo.hosted.exlibrisgroup.com/primo-explore/search?tab=default_tab&amp;search_scope=EVERYTHING&amp;vid=01CRU&amp;lang=en_US&amp;offset=0&amp;query=any,contains,991003969379702656","Catalog Record")</f>
        <v/>
      </c>
      <c r="AT191">
        <f>HYPERLINK("http://www.worldcat.org/oclc/1991268","WorldCat Record")</f>
        <v/>
      </c>
      <c r="AU191" t="inlineStr">
        <is>
          <t>547102:eng</t>
        </is>
      </c>
      <c r="AV191" t="inlineStr">
        <is>
          <t>1991268</t>
        </is>
      </c>
      <c r="AW191" t="inlineStr">
        <is>
          <t>991003969379702656</t>
        </is>
      </c>
      <c r="AX191" t="inlineStr">
        <is>
          <t>991003969379702656</t>
        </is>
      </c>
      <c r="AY191" t="inlineStr">
        <is>
          <t>2263961230002656</t>
        </is>
      </c>
      <c r="AZ191" t="inlineStr">
        <is>
          <t>BOOK</t>
        </is>
      </c>
      <c r="BB191" t="inlineStr">
        <is>
          <t>9780839108221</t>
        </is>
      </c>
      <c r="BC191" t="inlineStr">
        <is>
          <t>32285003032207</t>
        </is>
      </c>
      <c r="BD191" t="inlineStr">
        <is>
          <t>893712001</t>
        </is>
      </c>
    </row>
    <row r="192">
      <c r="A192" t="inlineStr">
        <is>
          <t>No</t>
        </is>
      </c>
      <c r="B192" t="inlineStr">
        <is>
          <t>P226 .T35 1993</t>
        </is>
      </c>
      <c r="C192" t="inlineStr">
        <is>
          <t>0                      P  0226000T  35          1993</t>
        </is>
      </c>
      <c r="D192" t="inlineStr">
        <is>
          <t>Talking data : transcription and coding in discourse research / edited by Jane A. Edwards and Martin D. Lampert.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Hillsdale, N.J. : Lawrence Erlbaum Associates, 1993.</t>
        </is>
      </c>
      <c r="M192" t="inlineStr">
        <is>
          <t>1993</t>
        </is>
      </c>
      <c r="O192" t="inlineStr">
        <is>
          <t>eng</t>
        </is>
      </c>
      <c r="P192" t="inlineStr">
        <is>
          <t>nju</t>
        </is>
      </c>
      <c r="R192" t="inlineStr">
        <is>
          <t xml:space="preserve">P  </t>
        </is>
      </c>
      <c r="S192" t="n">
        <v>4</v>
      </c>
      <c r="T192" t="n">
        <v>4</v>
      </c>
      <c r="U192" t="inlineStr">
        <is>
          <t>2001-12-13</t>
        </is>
      </c>
      <c r="V192" t="inlineStr">
        <is>
          <t>2001-12-13</t>
        </is>
      </c>
      <c r="W192" t="inlineStr">
        <is>
          <t>1995-09-06</t>
        </is>
      </c>
      <c r="X192" t="inlineStr">
        <is>
          <t>1995-09-06</t>
        </is>
      </c>
      <c r="Y192" t="n">
        <v>348</v>
      </c>
      <c r="Z192" t="n">
        <v>221</v>
      </c>
      <c r="AA192" t="n">
        <v>245</v>
      </c>
      <c r="AB192" t="n">
        <v>2</v>
      </c>
      <c r="AC192" t="n">
        <v>2</v>
      </c>
      <c r="AD192" t="n">
        <v>12</v>
      </c>
      <c r="AE192" t="n">
        <v>12</v>
      </c>
      <c r="AF192" t="n">
        <v>5</v>
      </c>
      <c r="AG192" t="n">
        <v>5</v>
      </c>
      <c r="AH192" t="n">
        <v>3</v>
      </c>
      <c r="AI192" t="n">
        <v>3</v>
      </c>
      <c r="AJ192" t="n">
        <v>8</v>
      </c>
      <c r="AK192" t="n">
        <v>8</v>
      </c>
      <c r="AL192" t="n">
        <v>1</v>
      </c>
      <c r="AM192" t="n">
        <v>1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HYPERLINK("http://catalog.hathitrust.org/Record/002645184","HathiTrust Record")</f>
        <v/>
      </c>
      <c r="AS192">
        <f>HYPERLINK("https://creighton-primo.hosted.exlibrisgroup.com/primo-explore/search?tab=default_tab&amp;search_scope=EVERYTHING&amp;vid=01CRU&amp;lang=en_US&amp;offset=0&amp;query=any,contains,991002035069702656","Catalog Record")</f>
        <v/>
      </c>
      <c r="AT192">
        <f>HYPERLINK("http://www.worldcat.org/oclc/25915677","WorldCat Record")</f>
        <v/>
      </c>
      <c r="AU192" t="inlineStr">
        <is>
          <t>890973491:eng</t>
        </is>
      </c>
      <c r="AV192" t="inlineStr">
        <is>
          <t>25915677</t>
        </is>
      </c>
      <c r="AW192" t="inlineStr">
        <is>
          <t>991002035069702656</t>
        </is>
      </c>
      <c r="AX192" t="inlineStr">
        <is>
          <t>991002035069702656</t>
        </is>
      </c>
      <c r="AY192" t="inlineStr">
        <is>
          <t>2269848260002656</t>
        </is>
      </c>
      <c r="AZ192" t="inlineStr">
        <is>
          <t>BOOK</t>
        </is>
      </c>
      <c r="BB192" t="inlineStr">
        <is>
          <t>9780805803488</t>
        </is>
      </c>
      <c r="BC192" t="inlineStr">
        <is>
          <t>32285002085842</t>
        </is>
      </c>
      <c r="BD192" t="inlineStr">
        <is>
          <t>893879426</t>
        </is>
      </c>
    </row>
    <row r="193">
      <c r="A193" t="inlineStr">
        <is>
          <t>No</t>
        </is>
      </c>
      <c r="B193" t="inlineStr">
        <is>
          <t>P25 .G5</t>
        </is>
      </c>
      <c r="C193" t="inlineStr">
        <is>
          <t>0                      P  0025000G  5</t>
        </is>
      </c>
      <c r="D193" t="inlineStr">
        <is>
          <t>Language and culture, edited by Patrick Gleeson [and] Nancy Wakefield.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Gleeson, Patrick compiler.</t>
        </is>
      </c>
      <c r="L193" t="inlineStr">
        <is>
          <t>Columbus, Ohio, C. E. Merrill [1968]</t>
        </is>
      </c>
      <c r="M193" t="inlineStr">
        <is>
          <t>1968</t>
        </is>
      </c>
      <c r="O193" t="inlineStr">
        <is>
          <t>eng</t>
        </is>
      </c>
      <c r="P193" t="inlineStr">
        <is>
          <t>ohu</t>
        </is>
      </c>
      <c r="R193" t="inlineStr">
        <is>
          <t xml:space="preserve">P  </t>
        </is>
      </c>
      <c r="S193" t="n">
        <v>1</v>
      </c>
      <c r="T193" t="n">
        <v>1</v>
      </c>
      <c r="U193" t="inlineStr">
        <is>
          <t>2005-05-01</t>
        </is>
      </c>
      <c r="V193" t="inlineStr">
        <is>
          <t>2005-05-01</t>
        </is>
      </c>
      <c r="W193" t="inlineStr">
        <is>
          <t>1997-08-11</t>
        </is>
      </c>
      <c r="X193" t="inlineStr">
        <is>
          <t>1997-08-11</t>
        </is>
      </c>
      <c r="Y193" t="n">
        <v>293</v>
      </c>
      <c r="Z193" t="n">
        <v>220</v>
      </c>
      <c r="AA193" t="n">
        <v>235</v>
      </c>
      <c r="AB193" t="n">
        <v>4</v>
      </c>
      <c r="AC193" t="n">
        <v>4</v>
      </c>
      <c r="AD193" t="n">
        <v>8</v>
      </c>
      <c r="AE193" t="n">
        <v>10</v>
      </c>
      <c r="AF193" t="n">
        <v>2</v>
      </c>
      <c r="AG193" t="n">
        <v>3</v>
      </c>
      <c r="AH193" t="n">
        <v>1</v>
      </c>
      <c r="AI193" t="n">
        <v>2</v>
      </c>
      <c r="AJ193" t="n">
        <v>4</v>
      </c>
      <c r="AK193" t="n">
        <v>4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HYPERLINK("http://catalog.hathitrust.org/Record/007124363","HathiTrust Record")</f>
        <v/>
      </c>
      <c r="AS193">
        <f>HYPERLINK("https://creighton-primo.hosted.exlibrisgroup.com/primo-explore/search?tab=default_tab&amp;search_scope=EVERYTHING&amp;vid=01CRU&amp;lang=en_US&amp;offset=0&amp;query=any,contains,991002251439702656","Catalog Record")</f>
        <v/>
      </c>
      <c r="AT193">
        <f>HYPERLINK("http://www.worldcat.org/oclc/299097","WorldCat Record")</f>
        <v/>
      </c>
      <c r="AU193" t="inlineStr">
        <is>
          <t>356194084:eng</t>
        </is>
      </c>
      <c r="AV193" t="inlineStr">
        <is>
          <t>299097</t>
        </is>
      </c>
      <c r="AW193" t="inlineStr">
        <is>
          <t>991002251439702656</t>
        </is>
      </c>
      <c r="AX193" t="inlineStr">
        <is>
          <t>991002251439702656</t>
        </is>
      </c>
      <c r="AY193" t="inlineStr">
        <is>
          <t>2264414420002656</t>
        </is>
      </c>
      <c r="AZ193" t="inlineStr">
        <is>
          <t>BOOK</t>
        </is>
      </c>
      <c r="BC193" t="inlineStr">
        <is>
          <t>32285003048971</t>
        </is>
      </c>
      <c r="BD193" t="inlineStr">
        <is>
          <t>893866975</t>
        </is>
      </c>
    </row>
    <row r="194">
      <c r="A194" t="inlineStr">
        <is>
          <t>No</t>
        </is>
      </c>
      <c r="B194" t="inlineStr">
        <is>
          <t>P25 .H9</t>
        </is>
      </c>
      <c r="C194" t="inlineStr">
        <is>
          <t>0                      P  0025000H  9</t>
        </is>
      </c>
      <c r="D194" t="inlineStr">
        <is>
          <t>Language in culture and society; a reader in linguistics and anthropology [edited by] Dell Hymes.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Hymes, Dell H. editor.</t>
        </is>
      </c>
      <c r="L194" t="inlineStr">
        <is>
          <t>New York, Harper &amp; Row [1964]</t>
        </is>
      </c>
      <c r="M194" t="inlineStr">
        <is>
          <t>1964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P  </t>
        </is>
      </c>
      <c r="S194" t="n">
        <v>4</v>
      </c>
      <c r="T194" t="n">
        <v>4</v>
      </c>
      <c r="U194" t="inlineStr">
        <is>
          <t>2002-12-02</t>
        </is>
      </c>
      <c r="V194" t="inlineStr">
        <is>
          <t>2002-12-02</t>
        </is>
      </c>
      <c r="W194" t="inlineStr">
        <is>
          <t>1997-08-11</t>
        </is>
      </c>
      <c r="X194" t="inlineStr">
        <is>
          <t>1997-08-11</t>
        </is>
      </c>
      <c r="Y194" t="n">
        <v>1376</v>
      </c>
      <c r="Z194" t="n">
        <v>1086</v>
      </c>
      <c r="AA194" t="n">
        <v>1093</v>
      </c>
      <c r="AB194" t="n">
        <v>10</v>
      </c>
      <c r="AC194" t="n">
        <v>10</v>
      </c>
      <c r="AD194" t="n">
        <v>47</v>
      </c>
      <c r="AE194" t="n">
        <v>47</v>
      </c>
      <c r="AF194" t="n">
        <v>20</v>
      </c>
      <c r="AG194" t="n">
        <v>20</v>
      </c>
      <c r="AH194" t="n">
        <v>8</v>
      </c>
      <c r="AI194" t="n">
        <v>8</v>
      </c>
      <c r="AJ194" t="n">
        <v>19</v>
      </c>
      <c r="AK194" t="n">
        <v>19</v>
      </c>
      <c r="AL194" t="n">
        <v>8</v>
      </c>
      <c r="AM194" t="n">
        <v>8</v>
      </c>
      <c r="AN194" t="n">
        <v>1</v>
      </c>
      <c r="AO194" t="n">
        <v>1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HYPERLINK("http://catalog.hathitrust.org/Record/001180645","HathiTrust Record")</f>
        <v/>
      </c>
      <c r="AS194">
        <f>HYPERLINK("https://creighton-primo.hosted.exlibrisgroup.com/primo-explore/search?tab=default_tab&amp;search_scope=EVERYTHING&amp;vid=01CRU&amp;lang=en_US&amp;offset=0&amp;query=any,contains,991002264519702656","Catalog Record")</f>
        <v/>
      </c>
      <c r="AT194">
        <f>HYPERLINK("http://www.worldcat.org/oclc/306523","WorldCat Record")</f>
        <v/>
      </c>
      <c r="AU194" t="inlineStr">
        <is>
          <t>906993419:eng</t>
        </is>
      </c>
      <c r="AV194" t="inlineStr">
        <is>
          <t>306523</t>
        </is>
      </c>
      <c r="AW194" t="inlineStr">
        <is>
          <t>991002264519702656</t>
        </is>
      </c>
      <c r="AX194" t="inlineStr">
        <is>
          <t>991002264519702656</t>
        </is>
      </c>
      <c r="AY194" t="inlineStr">
        <is>
          <t>2266148850002656</t>
        </is>
      </c>
      <c r="AZ194" t="inlineStr">
        <is>
          <t>BOOK</t>
        </is>
      </c>
      <c r="BC194" t="inlineStr">
        <is>
          <t>32285003049003</t>
        </is>
      </c>
      <c r="BD194" t="inlineStr">
        <is>
          <t>893316596</t>
        </is>
      </c>
    </row>
    <row r="195">
      <c r="A195" t="inlineStr">
        <is>
          <t>No</t>
        </is>
      </c>
      <c r="B195" t="inlineStr">
        <is>
          <t>P27 .C5</t>
        </is>
      </c>
      <c r="C195" t="inlineStr">
        <is>
          <t>0                      P  0027000C  5</t>
        </is>
      </c>
      <c r="D195" t="inlineStr">
        <is>
          <t>Chomsky : selected readings / edited by J. P. B. Allen and Paul Van Buren.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Chomsky, Noam.</t>
        </is>
      </c>
      <c r="L195" t="inlineStr">
        <is>
          <t>London ; New York : Oxford University Press, 1971.</t>
        </is>
      </c>
      <c r="M195" t="inlineStr">
        <is>
          <t>1971</t>
        </is>
      </c>
      <c r="O195" t="inlineStr">
        <is>
          <t>eng</t>
        </is>
      </c>
      <c r="P195" t="inlineStr">
        <is>
          <t>enk</t>
        </is>
      </c>
      <c r="Q195" t="inlineStr">
        <is>
          <t>Language and language learning ; 31</t>
        </is>
      </c>
      <c r="R195" t="inlineStr">
        <is>
          <t xml:space="preserve">P  </t>
        </is>
      </c>
      <c r="S195" t="n">
        <v>7</v>
      </c>
      <c r="T195" t="n">
        <v>7</v>
      </c>
      <c r="U195" t="inlineStr">
        <is>
          <t>2005-05-01</t>
        </is>
      </c>
      <c r="V195" t="inlineStr">
        <is>
          <t>2005-05-01</t>
        </is>
      </c>
      <c r="W195" t="inlineStr">
        <is>
          <t>1990-04-04</t>
        </is>
      </c>
      <c r="X195" t="inlineStr">
        <is>
          <t>1990-04-04</t>
        </is>
      </c>
      <c r="Y195" t="n">
        <v>918</v>
      </c>
      <c r="Z195" t="n">
        <v>654</v>
      </c>
      <c r="AA195" t="n">
        <v>663</v>
      </c>
      <c r="AB195" t="n">
        <v>6</v>
      </c>
      <c r="AC195" t="n">
        <v>6</v>
      </c>
      <c r="AD195" t="n">
        <v>34</v>
      </c>
      <c r="AE195" t="n">
        <v>34</v>
      </c>
      <c r="AF195" t="n">
        <v>10</v>
      </c>
      <c r="AG195" t="n">
        <v>10</v>
      </c>
      <c r="AH195" t="n">
        <v>8</v>
      </c>
      <c r="AI195" t="n">
        <v>8</v>
      </c>
      <c r="AJ195" t="n">
        <v>20</v>
      </c>
      <c r="AK195" t="n">
        <v>20</v>
      </c>
      <c r="AL195" t="n">
        <v>5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HYPERLINK("http://catalog.hathitrust.org/Record/001434663","HathiTrust Record")</f>
        <v/>
      </c>
      <c r="AS195">
        <f>HYPERLINK("https://creighton-primo.hosted.exlibrisgroup.com/primo-explore/search?tab=default_tab&amp;search_scope=EVERYTHING&amp;vid=01CRU&amp;lang=en_US&amp;offset=0&amp;query=any,contains,991000740499702656","Catalog Record")</f>
        <v/>
      </c>
      <c r="AT195">
        <f>HYPERLINK("http://www.worldcat.org/oclc/129256","WorldCat Record")</f>
        <v/>
      </c>
      <c r="AU195" t="inlineStr">
        <is>
          <t>22039902:eng</t>
        </is>
      </c>
      <c r="AV195" t="inlineStr">
        <is>
          <t>129256</t>
        </is>
      </c>
      <c r="AW195" t="inlineStr">
        <is>
          <t>991000740499702656</t>
        </is>
      </c>
      <c r="AX195" t="inlineStr">
        <is>
          <t>991000740499702656</t>
        </is>
      </c>
      <c r="AY195" t="inlineStr">
        <is>
          <t>2266628440002656</t>
        </is>
      </c>
      <c r="AZ195" t="inlineStr">
        <is>
          <t>BOOK</t>
        </is>
      </c>
      <c r="BB195" t="inlineStr">
        <is>
          <t>9780194371148</t>
        </is>
      </c>
      <c r="BC195" t="inlineStr">
        <is>
          <t>32285000101724</t>
        </is>
      </c>
      <c r="BD195" t="inlineStr">
        <is>
          <t>893255685</t>
        </is>
      </c>
    </row>
    <row r="196">
      <c r="A196" t="inlineStr">
        <is>
          <t>No</t>
        </is>
      </c>
      <c r="B196" t="inlineStr">
        <is>
          <t>P27 .S33</t>
        </is>
      </c>
      <c r="C196" t="inlineStr">
        <is>
          <t>0                      P  0027000S  33</t>
        </is>
      </c>
      <c r="D196" t="inlineStr">
        <is>
          <t>Selected writings of Edward Sapir in language, culture and personality edited by David G. Mandelbaum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Sapir, Edward, 1884-1939.</t>
        </is>
      </c>
      <c r="L196" t="inlineStr">
        <is>
          <t>Berkeley, CA University of California Press, [c1949]</t>
        </is>
      </c>
      <c r="M196" t="inlineStr">
        <is>
          <t>1949</t>
        </is>
      </c>
      <c r="O196" t="inlineStr">
        <is>
          <t>eng</t>
        </is>
      </c>
      <c r="P196" t="inlineStr">
        <is>
          <t xml:space="preserve">xx </t>
        </is>
      </c>
      <c r="R196" t="inlineStr">
        <is>
          <t xml:space="preserve">P  </t>
        </is>
      </c>
      <c r="S196" t="n">
        <v>4</v>
      </c>
      <c r="T196" t="n">
        <v>4</v>
      </c>
      <c r="U196" t="inlineStr">
        <is>
          <t>1999-12-05</t>
        </is>
      </c>
      <c r="V196" t="inlineStr">
        <is>
          <t>1999-12-05</t>
        </is>
      </c>
      <c r="W196" t="inlineStr">
        <is>
          <t>1997-08-11</t>
        </is>
      </c>
      <c r="X196" t="inlineStr">
        <is>
          <t>1997-08-11</t>
        </is>
      </c>
      <c r="Y196" t="n">
        <v>282</v>
      </c>
      <c r="Z196" t="n">
        <v>172</v>
      </c>
      <c r="AA196" t="n">
        <v>459</v>
      </c>
      <c r="AB196" t="n">
        <v>1</v>
      </c>
      <c r="AC196" t="n">
        <v>2</v>
      </c>
      <c r="AD196" t="n">
        <v>6</v>
      </c>
      <c r="AE196" t="n">
        <v>17</v>
      </c>
      <c r="AF196" t="n">
        <v>4</v>
      </c>
      <c r="AG196" t="n">
        <v>6</v>
      </c>
      <c r="AH196" t="n">
        <v>0</v>
      </c>
      <c r="AI196" t="n">
        <v>3</v>
      </c>
      <c r="AJ196" t="n">
        <v>3</v>
      </c>
      <c r="AK196" t="n">
        <v>10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HYPERLINK("https://creighton-primo.hosted.exlibrisgroup.com/primo-explore/search?tab=default_tab&amp;search_scope=EVERYTHING&amp;vid=01CRU&amp;lang=en_US&amp;offset=0&amp;query=any,contains,991005142629702656","Catalog Record")</f>
        <v/>
      </c>
      <c r="AT196">
        <f>HYPERLINK("http://www.worldcat.org/oclc/7634052","WorldCat Record")</f>
        <v/>
      </c>
      <c r="AU196" t="inlineStr">
        <is>
          <t>886003:eng</t>
        </is>
      </c>
      <c r="AV196" t="inlineStr">
        <is>
          <t>7634052</t>
        </is>
      </c>
      <c r="AW196" t="inlineStr">
        <is>
          <t>991005142629702656</t>
        </is>
      </c>
      <c r="AX196" t="inlineStr">
        <is>
          <t>991005142629702656</t>
        </is>
      </c>
      <c r="AY196" t="inlineStr">
        <is>
          <t>2263738610002656</t>
        </is>
      </c>
      <c r="AZ196" t="inlineStr">
        <is>
          <t>BOOK</t>
        </is>
      </c>
      <c r="BB196" t="inlineStr">
        <is>
          <t>9780520011151</t>
        </is>
      </c>
      <c r="BC196" t="inlineStr">
        <is>
          <t>32285003049094</t>
        </is>
      </c>
      <c r="BD196" t="inlineStr">
        <is>
          <t>893801805</t>
        </is>
      </c>
    </row>
    <row r="197">
      <c r="A197" t="inlineStr">
        <is>
          <t>No</t>
        </is>
      </c>
      <c r="B197" t="inlineStr">
        <is>
          <t>P27 .S33 1956</t>
        </is>
      </c>
      <c r="C197" t="inlineStr">
        <is>
          <t>0                      P  0027000S  33          1956</t>
        </is>
      </c>
      <c r="D197" t="inlineStr">
        <is>
          <t>Culture, language and personality : selected essays / edited by David G. Mandelbaum.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Sapir, Edward, 1884-1939.</t>
        </is>
      </c>
      <c r="L197" t="inlineStr">
        <is>
          <t>Berkeley : University of California Press, 1956 [c1949]</t>
        </is>
      </c>
      <c r="M197" t="inlineStr">
        <is>
          <t>1956</t>
        </is>
      </c>
      <c r="N197" t="inlineStr">
        <is>
          <t>[1st paper-bound ed.]</t>
        </is>
      </c>
      <c r="O197" t="inlineStr">
        <is>
          <t>eng</t>
        </is>
      </c>
      <c r="P197" t="inlineStr">
        <is>
          <t>cau</t>
        </is>
      </c>
      <c r="R197" t="inlineStr">
        <is>
          <t xml:space="preserve">P  </t>
        </is>
      </c>
      <c r="S197" t="n">
        <v>8</v>
      </c>
      <c r="T197" t="n">
        <v>8</v>
      </c>
      <c r="U197" t="inlineStr">
        <is>
          <t>2005-04-07</t>
        </is>
      </c>
      <c r="V197" t="inlineStr">
        <is>
          <t>2005-04-07</t>
        </is>
      </c>
      <c r="W197" t="inlineStr">
        <is>
          <t>1993-03-30</t>
        </is>
      </c>
      <c r="X197" t="inlineStr">
        <is>
          <t>1993-03-30</t>
        </is>
      </c>
      <c r="Y197" t="n">
        <v>390</v>
      </c>
      <c r="Z197" t="n">
        <v>343</v>
      </c>
      <c r="AA197" t="n">
        <v>779</v>
      </c>
      <c r="AB197" t="n">
        <v>4</v>
      </c>
      <c r="AC197" t="n">
        <v>6</v>
      </c>
      <c r="AD197" t="n">
        <v>21</v>
      </c>
      <c r="AE197" t="n">
        <v>37</v>
      </c>
      <c r="AF197" t="n">
        <v>10</v>
      </c>
      <c r="AG197" t="n">
        <v>16</v>
      </c>
      <c r="AH197" t="n">
        <v>5</v>
      </c>
      <c r="AI197" t="n">
        <v>7</v>
      </c>
      <c r="AJ197" t="n">
        <v>9</v>
      </c>
      <c r="AK197" t="n">
        <v>17</v>
      </c>
      <c r="AL197" t="n">
        <v>3</v>
      </c>
      <c r="AM197" t="n">
        <v>5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R197">
        <f>HYPERLINK("http://catalog.hathitrust.org/Record/001180654","HathiTrust Record")</f>
        <v/>
      </c>
      <c r="AS197">
        <f>HYPERLINK("https://creighton-primo.hosted.exlibrisgroup.com/primo-explore/search?tab=default_tab&amp;search_scope=EVERYTHING&amp;vid=01CRU&amp;lang=en_US&amp;offset=0&amp;query=any,contains,991004226639702656","Catalog Record")</f>
        <v/>
      </c>
      <c r="AT197">
        <f>HYPERLINK("http://www.worldcat.org/oclc/2732565","WorldCat Record")</f>
        <v/>
      </c>
      <c r="AU197" t="inlineStr">
        <is>
          <t>1359665:eng</t>
        </is>
      </c>
      <c r="AV197" t="inlineStr">
        <is>
          <t>2732565</t>
        </is>
      </c>
      <c r="AW197" t="inlineStr">
        <is>
          <t>991004226639702656</t>
        </is>
      </c>
      <c r="AX197" t="inlineStr">
        <is>
          <t>991004226639702656</t>
        </is>
      </c>
      <c r="AY197" t="inlineStr">
        <is>
          <t>2255721950002656</t>
        </is>
      </c>
      <c r="AZ197" t="inlineStr">
        <is>
          <t>BOOK</t>
        </is>
      </c>
      <c r="BC197" t="inlineStr">
        <is>
          <t>32285001610293</t>
        </is>
      </c>
      <c r="BD197" t="inlineStr">
        <is>
          <t>893869454</t>
        </is>
      </c>
    </row>
    <row r="198">
      <c r="A198" t="inlineStr">
        <is>
          <t>No</t>
        </is>
      </c>
      <c r="B198" t="inlineStr">
        <is>
          <t>P281 .W48 1974</t>
        </is>
      </c>
      <c r="C198" t="inlineStr">
        <is>
          <t>0                      P  0281000W  48          1974</t>
        </is>
      </c>
      <c r="D198" t="inlineStr">
        <is>
          <t>Estructura y función de los tiempos en el lenguaje / Harald Weinrich ; versión española de Federico Latorre.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Weinrich, Harald.</t>
        </is>
      </c>
      <c r="L198" t="inlineStr">
        <is>
          <t>Madrid : Editorial Gredos, 1974.</t>
        </is>
      </c>
      <c r="M198" t="inlineStr">
        <is>
          <t>1974</t>
        </is>
      </c>
      <c r="O198" t="inlineStr">
        <is>
          <t>spa</t>
        </is>
      </c>
      <c r="P198" t="inlineStr">
        <is>
          <t xml:space="preserve">sp </t>
        </is>
      </c>
      <c r="Q198" t="inlineStr">
        <is>
          <t>Biblioteca románica hispánica. 2. Estudios y ensayos ; 115</t>
        </is>
      </c>
      <c r="R198" t="inlineStr">
        <is>
          <t xml:space="preserve">P  </t>
        </is>
      </c>
      <c r="S198" t="n">
        <v>1</v>
      </c>
      <c r="T198" t="n">
        <v>1</v>
      </c>
      <c r="U198" t="inlineStr">
        <is>
          <t>2002-05-08</t>
        </is>
      </c>
      <c r="V198" t="inlineStr">
        <is>
          <t>2002-05-08</t>
        </is>
      </c>
      <c r="W198" t="inlineStr">
        <is>
          <t>2002-04-30</t>
        </is>
      </c>
      <c r="X198" t="inlineStr">
        <is>
          <t>2002-04-30</t>
        </is>
      </c>
      <c r="Y198" t="n">
        <v>62</v>
      </c>
      <c r="Z198" t="n">
        <v>33</v>
      </c>
      <c r="AA198" t="n">
        <v>173</v>
      </c>
      <c r="AB198" t="n">
        <v>1</v>
      </c>
      <c r="AC198" t="n">
        <v>2</v>
      </c>
      <c r="AD198" t="n">
        <v>1</v>
      </c>
      <c r="AE198" t="n">
        <v>5</v>
      </c>
      <c r="AF198" t="n">
        <v>0</v>
      </c>
      <c r="AG198" t="n">
        <v>0</v>
      </c>
      <c r="AH198" t="n">
        <v>1</v>
      </c>
      <c r="AI198" t="n">
        <v>3</v>
      </c>
      <c r="AJ198" t="n">
        <v>0</v>
      </c>
      <c r="AK198" t="n">
        <v>2</v>
      </c>
      <c r="AL198" t="n">
        <v>0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HYPERLINK("https://creighton-primo.hosted.exlibrisgroup.com/primo-explore/search?tab=default_tab&amp;search_scope=EVERYTHING&amp;vid=01CRU&amp;lang=en_US&amp;offset=0&amp;query=any,contains,991003801569702656","Catalog Record")</f>
        <v/>
      </c>
      <c r="AT198">
        <f>HYPERLINK("http://www.worldcat.org/oclc/2028653","WorldCat Record")</f>
        <v/>
      </c>
      <c r="AU198" t="inlineStr">
        <is>
          <t>9738578306:spa</t>
        </is>
      </c>
      <c r="AV198" t="inlineStr">
        <is>
          <t>2028653</t>
        </is>
      </c>
      <c r="AW198" t="inlineStr">
        <is>
          <t>991003801569702656</t>
        </is>
      </c>
      <c r="AX198" t="inlineStr">
        <is>
          <t>991003801569702656</t>
        </is>
      </c>
      <c r="AY198" t="inlineStr">
        <is>
          <t>2266813710002656</t>
        </is>
      </c>
      <c r="AZ198" t="inlineStr">
        <is>
          <t>BOOK</t>
        </is>
      </c>
      <c r="BC198" t="inlineStr">
        <is>
          <t>32285004484464</t>
        </is>
      </c>
      <c r="BD198" t="inlineStr">
        <is>
          <t>893598991</t>
        </is>
      </c>
    </row>
    <row r="199">
      <c r="A199" t="inlineStr">
        <is>
          <t>No</t>
        </is>
      </c>
      <c r="B199" t="inlineStr">
        <is>
          <t>P29 .D515 1979</t>
        </is>
      </c>
      <c r="C199" t="inlineStr">
        <is>
          <t>0                      P  0029000D  515         1979</t>
        </is>
      </c>
      <c r="D199" t="inlineStr">
        <is>
          <t>Diccionario de lingüística / Jean Dubois ... [et al.] ; versión española de Inés Ortega y Antonio Domínguez ; dirección y adaptación de Alicia Yllera.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L199" t="inlineStr">
        <is>
          <t>Madrid : Alianza Editorial, c1979.</t>
        </is>
      </c>
      <c r="M199" t="inlineStr">
        <is>
          <t>1979</t>
        </is>
      </c>
      <c r="O199" t="inlineStr">
        <is>
          <t>spa</t>
        </is>
      </c>
      <c r="P199" t="inlineStr">
        <is>
          <t xml:space="preserve">sp </t>
        </is>
      </c>
      <c r="Q199" t="inlineStr">
        <is>
          <t>Alianza diccionarios</t>
        </is>
      </c>
      <c r="R199" t="inlineStr">
        <is>
          <t xml:space="preserve">P  </t>
        </is>
      </c>
      <c r="S199" t="n">
        <v>1</v>
      </c>
      <c r="T199" t="n">
        <v>1</v>
      </c>
      <c r="U199" t="inlineStr">
        <is>
          <t>2001-12-12</t>
        </is>
      </c>
      <c r="V199" t="inlineStr">
        <is>
          <t>2001-12-12</t>
        </is>
      </c>
      <c r="W199" t="inlineStr">
        <is>
          <t>2001-12-11</t>
        </is>
      </c>
      <c r="X199" t="inlineStr">
        <is>
          <t>2001-12-11</t>
        </is>
      </c>
      <c r="Y199" t="n">
        <v>78</v>
      </c>
      <c r="Z199" t="n">
        <v>47</v>
      </c>
      <c r="AA199" t="n">
        <v>68</v>
      </c>
      <c r="AB199" t="n">
        <v>1</v>
      </c>
      <c r="AC199" t="n">
        <v>2</v>
      </c>
      <c r="AD199" t="n">
        <v>2</v>
      </c>
      <c r="AE199" t="n">
        <v>3</v>
      </c>
      <c r="AF199" t="n">
        <v>0</v>
      </c>
      <c r="AG199" t="n">
        <v>0</v>
      </c>
      <c r="AH199" t="n">
        <v>1</v>
      </c>
      <c r="AI199" t="n">
        <v>1</v>
      </c>
      <c r="AJ199" t="n">
        <v>2</v>
      </c>
      <c r="AK199" t="n">
        <v>2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HYPERLINK("http://catalog.hathitrust.org/Record/101002806","HathiTrust Record")</f>
        <v/>
      </c>
      <c r="AS199">
        <f>HYPERLINK("https://creighton-primo.hosted.exlibrisgroup.com/primo-explore/search?tab=default_tab&amp;search_scope=EVERYTHING&amp;vid=01CRU&amp;lang=en_US&amp;offset=0&amp;query=any,contains,991003694519702656","Catalog Record")</f>
        <v/>
      </c>
      <c r="AT199">
        <f>HYPERLINK("http://www.worldcat.org/oclc/6933692","WorldCat Record")</f>
        <v/>
      </c>
      <c r="AU199" t="inlineStr">
        <is>
          <t>505306795:spa</t>
        </is>
      </c>
      <c r="AV199" t="inlineStr">
        <is>
          <t>6933692</t>
        </is>
      </c>
      <c r="AW199" t="inlineStr">
        <is>
          <t>991003694519702656</t>
        </is>
      </c>
      <c r="AX199" t="inlineStr">
        <is>
          <t>991003694519702656</t>
        </is>
      </c>
      <c r="AY199" t="inlineStr">
        <is>
          <t>2258720930002656</t>
        </is>
      </c>
      <c r="AZ199" t="inlineStr">
        <is>
          <t>BOOK</t>
        </is>
      </c>
      <c r="BB199" t="inlineStr">
        <is>
          <t>9788420652085</t>
        </is>
      </c>
      <c r="BC199" t="inlineStr">
        <is>
          <t>32285004427547</t>
        </is>
      </c>
      <c r="BD199" t="inlineStr">
        <is>
          <t>893422846</t>
        </is>
      </c>
    </row>
    <row r="200">
      <c r="A200" t="inlineStr">
        <is>
          <t>No</t>
        </is>
      </c>
      <c r="B200" t="inlineStr">
        <is>
          <t>P291 .B29 1978</t>
        </is>
      </c>
      <c r="C200" t="inlineStr">
        <is>
          <t>0                      P  0291000B  29          1978</t>
        </is>
      </c>
      <c r="D200" t="inlineStr">
        <is>
          <t>Introduction to generative-transformational syntax / C. L. Baker.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Baker, C. L. (Carl Lee)</t>
        </is>
      </c>
      <c r="L200" t="inlineStr">
        <is>
          <t>Englewood Cliffs, N.J. : Prentice-Hall, c1978.</t>
        </is>
      </c>
      <c r="M200" t="inlineStr">
        <is>
          <t>1978</t>
        </is>
      </c>
      <c r="O200" t="inlineStr">
        <is>
          <t>eng</t>
        </is>
      </c>
      <c r="P200" t="inlineStr">
        <is>
          <t>nju</t>
        </is>
      </c>
      <c r="R200" t="inlineStr">
        <is>
          <t xml:space="preserve">P  </t>
        </is>
      </c>
      <c r="S200" t="n">
        <v>1</v>
      </c>
      <c r="T200" t="n">
        <v>1</v>
      </c>
      <c r="U200" t="inlineStr">
        <is>
          <t>1998-10-16</t>
        </is>
      </c>
      <c r="V200" t="inlineStr">
        <is>
          <t>1998-10-16</t>
        </is>
      </c>
      <c r="W200" t="inlineStr">
        <is>
          <t>1992-02-07</t>
        </is>
      </c>
      <c r="X200" t="inlineStr">
        <is>
          <t>1992-02-07</t>
        </is>
      </c>
      <c r="Y200" t="n">
        <v>370</v>
      </c>
      <c r="Z200" t="n">
        <v>226</v>
      </c>
      <c r="AA200" t="n">
        <v>227</v>
      </c>
      <c r="AB200" t="n">
        <v>2</v>
      </c>
      <c r="AC200" t="n">
        <v>2</v>
      </c>
      <c r="AD200" t="n">
        <v>9</v>
      </c>
      <c r="AE200" t="n">
        <v>10</v>
      </c>
      <c r="AF200" t="n">
        <v>1</v>
      </c>
      <c r="AG200" t="n">
        <v>1</v>
      </c>
      <c r="AH200" t="n">
        <v>4</v>
      </c>
      <c r="AI200" t="n">
        <v>5</v>
      </c>
      <c r="AJ200" t="n">
        <v>5</v>
      </c>
      <c r="AK200" t="n">
        <v>6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HYPERLINK("https://creighton-primo.hosted.exlibrisgroup.com/primo-explore/search?tab=default_tab&amp;search_scope=EVERYTHING&amp;vid=01CRU&amp;lang=en_US&amp;offset=0&amp;query=any,contains,991004342569702656","Catalog Record")</f>
        <v/>
      </c>
      <c r="AT200">
        <f>HYPERLINK("http://www.worldcat.org/oclc/3090159","WorldCat Record")</f>
        <v/>
      </c>
      <c r="AU200" t="inlineStr">
        <is>
          <t>23841070:eng</t>
        </is>
      </c>
      <c r="AV200" t="inlineStr">
        <is>
          <t>3090159</t>
        </is>
      </c>
      <c r="AW200" t="inlineStr">
        <is>
          <t>991004342569702656</t>
        </is>
      </c>
      <c r="AX200" t="inlineStr">
        <is>
          <t>991004342569702656</t>
        </is>
      </c>
      <c r="AY200" t="inlineStr">
        <is>
          <t>2260560510002656</t>
        </is>
      </c>
      <c r="AZ200" t="inlineStr">
        <is>
          <t>BOOK</t>
        </is>
      </c>
      <c r="BB200" t="inlineStr">
        <is>
          <t>9780134844107</t>
        </is>
      </c>
      <c r="BC200" t="inlineStr">
        <is>
          <t>32285000945716</t>
        </is>
      </c>
      <c r="BD200" t="inlineStr">
        <is>
          <t>893247470</t>
        </is>
      </c>
    </row>
    <row r="201">
      <c r="A201" t="inlineStr">
        <is>
          <t>No</t>
        </is>
      </c>
      <c r="B201" t="inlineStr">
        <is>
          <t>P291 .C4</t>
        </is>
      </c>
      <c r="C201" t="inlineStr">
        <is>
          <t>0                      P  0291000C  4</t>
        </is>
      </c>
      <c r="D201" t="inlineStr">
        <is>
          <t>Aspects of the theory of syntax.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Chomsky, Noam.</t>
        </is>
      </c>
      <c r="L201" t="inlineStr">
        <is>
          <t>Cambridge, M.I.T. Press [1965]</t>
        </is>
      </c>
      <c r="M201" t="inlineStr">
        <is>
          <t>1965</t>
        </is>
      </c>
      <c r="O201" t="inlineStr">
        <is>
          <t>eng</t>
        </is>
      </c>
      <c r="P201" t="inlineStr">
        <is>
          <t>mau</t>
        </is>
      </c>
      <c r="Q201" t="inlineStr">
        <is>
          <t>Massachusetts Institute of Technology. Research Laboratory of Electronics. Special technical report no. 11</t>
        </is>
      </c>
      <c r="R201" t="inlineStr">
        <is>
          <t xml:space="preserve">P  </t>
        </is>
      </c>
      <c r="S201" t="n">
        <v>5</v>
      </c>
      <c r="T201" t="n">
        <v>5</v>
      </c>
      <c r="U201" t="inlineStr">
        <is>
          <t>1999-01-26</t>
        </is>
      </c>
      <c r="V201" t="inlineStr">
        <is>
          <t>1999-01-26</t>
        </is>
      </c>
      <c r="W201" t="inlineStr">
        <is>
          <t>1997-08-19</t>
        </is>
      </c>
      <c r="X201" t="inlineStr">
        <is>
          <t>1997-08-19</t>
        </is>
      </c>
      <c r="Y201" t="n">
        <v>1567</v>
      </c>
      <c r="Z201" t="n">
        <v>1231</v>
      </c>
      <c r="AA201" t="n">
        <v>1479</v>
      </c>
      <c r="AB201" t="n">
        <v>11</v>
      </c>
      <c r="AC201" t="n">
        <v>12</v>
      </c>
      <c r="AD201" t="n">
        <v>55</v>
      </c>
      <c r="AE201" t="n">
        <v>65</v>
      </c>
      <c r="AF201" t="n">
        <v>22</v>
      </c>
      <c r="AG201" t="n">
        <v>28</v>
      </c>
      <c r="AH201" t="n">
        <v>8</v>
      </c>
      <c r="AI201" t="n">
        <v>11</v>
      </c>
      <c r="AJ201" t="n">
        <v>26</v>
      </c>
      <c r="AK201" t="n">
        <v>27</v>
      </c>
      <c r="AL201" t="n">
        <v>10</v>
      </c>
      <c r="AM201" t="n">
        <v>11</v>
      </c>
      <c r="AN201" t="n">
        <v>1</v>
      </c>
      <c r="AO201" t="n">
        <v>2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HYPERLINK("https://creighton-primo.hosted.exlibrisgroup.com/primo-explore/search?tab=default_tab&amp;search_scope=EVERYTHING&amp;vid=01CRU&amp;lang=en_US&amp;offset=0&amp;query=any,contains,991002274649702656","Catalog Record")</f>
        <v/>
      </c>
      <c r="AT201">
        <f>HYPERLINK("http://www.worldcat.org/oclc/309976","WorldCat Record")</f>
        <v/>
      </c>
      <c r="AU201" t="inlineStr">
        <is>
          <t>422382:eng</t>
        </is>
      </c>
      <c r="AV201" t="inlineStr">
        <is>
          <t>309976</t>
        </is>
      </c>
      <c r="AW201" t="inlineStr">
        <is>
          <t>991002274649702656</t>
        </is>
      </c>
      <c r="AX201" t="inlineStr">
        <is>
          <t>991002274649702656</t>
        </is>
      </c>
      <c r="AY201" t="inlineStr">
        <is>
          <t>2264648740002656</t>
        </is>
      </c>
      <c r="AZ201" t="inlineStr">
        <is>
          <t>BOOK</t>
        </is>
      </c>
      <c r="BC201" t="inlineStr">
        <is>
          <t>32285003097879</t>
        </is>
      </c>
      <c r="BD201" t="inlineStr">
        <is>
          <t>893685174</t>
        </is>
      </c>
    </row>
    <row r="202">
      <c r="A202" t="inlineStr">
        <is>
          <t>No</t>
        </is>
      </c>
      <c r="B202" t="inlineStr">
        <is>
          <t>P291 .C63</t>
        </is>
      </c>
      <c r="C202" t="inlineStr">
        <is>
          <t>0                      P  0291000C  63</t>
        </is>
      </c>
      <c r="D202" t="inlineStr">
        <is>
          <t>Syntax and speech / William E. Cooper, Jeanne Paccia-Cooper.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Cooper, William E.</t>
        </is>
      </c>
      <c r="L202" t="inlineStr">
        <is>
          <t>Cambridge, Mass. : Harvard University Press, 1980.</t>
        </is>
      </c>
      <c r="M202" t="inlineStr">
        <is>
          <t>1980</t>
        </is>
      </c>
      <c r="O202" t="inlineStr">
        <is>
          <t>eng</t>
        </is>
      </c>
      <c r="P202" t="inlineStr">
        <is>
          <t>mau</t>
        </is>
      </c>
      <c r="Q202" t="inlineStr">
        <is>
          <t>Cognitive science series ; 3</t>
        </is>
      </c>
      <c r="R202" t="inlineStr">
        <is>
          <t xml:space="preserve">P  </t>
        </is>
      </c>
      <c r="S202" t="n">
        <v>3</v>
      </c>
      <c r="T202" t="n">
        <v>3</v>
      </c>
      <c r="U202" t="inlineStr">
        <is>
          <t>2006-08-25</t>
        </is>
      </c>
      <c r="V202" t="inlineStr">
        <is>
          <t>2006-08-25</t>
        </is>
      </c>
      <c r="W202" t="inlineStr">
        <is>
          <t>1993-04-05</t>
        </is>
      </c>
      <c r="X202" t="inlineStr">
        <is>
          <t>1993-04-05</t>
        </is>
      </c>
      <c r="Y202" t="n">
        <v>450</v>
      </c>
      <c r="Z202" t="n">
        <v>309</v>
      </c>
      <c r="AA202" t="n">
        <v>322</v>
      </c>
      <c r="AB202" t="n">
        <v>3</v>
      </c>
      <c r="AC202" t="n">
        <v>3</v>
      </c>
      <c r="AD202" t="n">
        <v>13</v>
      </c>
      <c r="AE202" t="n">
        <v>13</v>
      </c>
      <c r="AF202" t="n">
        <v>3</v>
      </c>
      <c r="AG202" t="n">
        <v>3</v>
      </c>
      <c r="AH202" t="n">
        <v>3</v>
      </c>
      <c r="AI202" t="n">
        <v>3</v>
      </c>
      <c r="AJ202" t="n">
        <v>9</v>
      </c>
      <c r="AK202" t="n">
        <v>9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HYPERLINK("http://catalog.hathitrust.org/Record/000736051","HathiTrust Record")</f>
        <v/>
      </c>
      <c r="AS202">
        <f>HYPERLINK("https://creighton-primo.hosted.exlibrisgroup.com/primo-explore/search?tab=default_tab&amp;search_scope=EVERYTHING&amp;vid=01CRU&amp;lang=en_US&amp;offset=0&amp;query=any,contains,991004974679702656","Catalog Record")</f>
        <v/>
      </c>
      <c r="AT202">
        <f>HYPERLINK("http://www.worldcat.org/oclc/6379099","WorldCat Record")</f>
        <v/>
      </c>
      <c r="AU202" t="inlineStr">
        <is>
          <t>430637:eng</t>
        </is>
      </c>
      <c r="AV202" t="inlineStr">
        <is>
          <t>6379099</t>
        </is>
      </c>
      <c r="AW202" t="inlineStr">
        <is>
          <t>991004974679702656</t>
        </is>
      </c>
      <c r="AX202" t="inlineStr">
        <is>
          <t>991004974679702656</t>
        </is>
      </c>
      <c r="AY202" t="inlineStr">
        <is>
          <t>2270759630002656</t>
        </is>
      </c>
      <c r="AZ202" t="inlineStr">
        <is>
          <t>BOOK</t>
        </is>
      </c>
      <c r="BB202" t="inlineStr">
        <is>
          <t>9780674860759</t>
        </is>
      </c>
      <c r="BC202" t="inlineStr">
        <is>
          <t>32285001613883</t>
        </is>
      </c>
      <c r="BD202" t="inlineStr">
        <is>
          <t>893430668</t>
        </is>
      </c>
    </row>
    <row r="203">
      <c r="A203" t="inlineStr">
        <is>
          <t>No</t>
        </is>
      </c>
      <c r="B203" t="inlineStr">
        <is>
          <t>P291 .U75 1998</t>
        </is>
      </c>
      <c r="C203" t="inlineStr">
        <is>
          <t>0                      P  0291000U  75          1998</t>
        </is>
      </c>
      <c r="D203" t="inlineStr">
        <is>
          <t>Rhyme and reason : an introduction to minimalist syntax / Juan Uriagereka.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Uriagereka, Juan.</t>
        </is>
      </c>
      <c r="L203" t="inlineStr">
        <is>
          <t>Cambridge, Mass. : MIT Press, c1998.</t>
        </is>
      </c>
      <c r="M203" t="inlineStr">
        <is>
          <t>1998</t>
        </is>
      </c>
      <c r="O203" t="inlineStr">
        <is>
          <t>eng</t>
        </is>
      </c>
      <c r="P203" t="inlineStr">
        <is>
          <t>mau</t>
        </is>
      </c>
      <c r="R203" t="inlineStr">
        <is>
          <t xml:space="preserve">P  </t>
        </is>
      </c>
      <c r="S203" t="n">
        <v>1</v>
      </c>
      <c r="T203" t="n">
        <v>1</v>
      </c>
      <c r="U203" t="inlineStr">
        <is>
          <t>2004-05-12</t>
        </is>
      </c>
      <c r="V203" t="inlineStr">
        <is>
          <t>2004-05-12</t>
        </is>
      </c>
      <c r="W203" t="inlineStr">
        <is>
          <t>1999-03-17</t>
        </is>
      </c>
      <c r="X203" t="inlineStr">
        <is>
          <t>1999-03-17</t>
        </is>
      </c>
      <c r="Y203" t="n">
        <v>291</v>
      </c>
      <c r="Z203" t="n">
        <v>202</v>
      </c>
      <c r="AA203" t="n">
        <v>852</v>
      </c>
      <c r="AB203" t="n">
        <v>2</v>
      </c>
      <c r="AC203" t="n">
        <v>3</v>
      </c>
      <c r="AD203" t="n">
        <v>7</v>
      </c>
      <c r="AE203" t="n">
        <v>16</v>
      </c>
      <c r="AF203" t="n">
        <v>1</v>
      </c>
      <c r="AG203" t="n">
        <v>6</v>
      </c>
      <c r="AH203" t="n">
        <v>2</v>
      </c>
      <c r="AI203" t="n">
        <v>5</v>
      </c>
      <c r="AJ203" t="n">
        <v>5</v>
      </c>
      <c r="AK203" t="n">
        <v>8</v>
      </c>
      <c r="AL203" t="n">
        <v>1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HYPERLINK("https://creighton-primo.hosted.exlibrisgroup.com/primo-explore/search?tab=default_tab&amp;search_scope=EVERYTHING&amp;vid=01CRU&amp;lang=en_US&amp;offset=0&amp;query=any,contains,991002927289702656","Catalog Record")</f>
        <v/>
      </c>
      <c r="AT203">
        <f>HYPERLINK("http://www.worldcat.org/oclc/38908628","WorldCat Record")</f>
        <v/>
      </c>
      <c r="AU203" t="inlineStr">
        <is>
          <t>16844:eng</t>
        </is>
      </c>
      <c r="AV203" t="inlineStr">
        <is>
          <t>38908628</t>
        </is>
      </c>
      <c r="AW203" t="inlineStr">
        <is>
          <t>991002927289702656</t>
        </is>
      </c>
      <c r="AX203" t="inlineStr">
        <is>
          <t>991002927289702656</t>
        </is>
      </c>
      <c r="AY203" t="inlineStr">
        <is>
          <t>2260413930002656</t>
        </is>
      </c>
      <c r="AZ203" t="inlineStr">
        <is>
          <t>BOOK</t>
        </is>
      </c>
      <c r="BB203" t="inlineStr">
        <is>
          <t>9780262210140</t>
        </is>
      </c>
      <c r="BC203" t="inlineStr">
        <is>
          <t>32285003533790</t>
        </is>
      </c>
      <c r="BD203" t="inlineStr">
        <is>
          <t>893685960</t>
        </is>
      </c>
    </row>
    <row r="204">
      <c r="A204" t="inlineStr">
        <is>
          <t>No</t>
        </is>
      </c>
      <c r="B204" t="inlineStr">
        <is>
          <t>P295 .T68 2001</t>
        </is>
      </c>
      <c r="C204" t="inlineStr">
        <is>
          <t>0                      P  0295000T  68          2001</t>
        </is>
      </c>
      <c r="D204" t="inlineStr">
        <is>
          <t>Sentence comprehension : the integration of habits and rules / David J. Townsend and Thomas G. Bever.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Townsend, David J.</t>
        </is>
      </c>
      <c r="L204" t="inlineStr">
        <is>
          <t>Cambridge, Mass. : MIT Press, c2001.</t>
        </is>
      </c>
      <c r="M204" t="inlineStr">
        <is>
          <t>2001</t>
        </is>
      </c>
      <c r="O204" t="inlineStr">
        <is>
          <t>eng</t>
        </is>
      </c>
      <c r="P204" t="inlineStr">
        <is>
          <t>mau</t>
        </is>
      </c>
      <c r="R204" t="inlineStr">
        <is>
          <t xml:space="preserve">P  </t>
        </is>
      </c>
      <c r="S204" t="n">
        <v>1</v>
      </c>
      <c r="T204" t="n">
        <v>1</v>
      </c>
      <c r="U204" t="inlineStr">
        <is>
          <t>2002-10-16</t>
        </is>
      </c>
      <c r="V204" t="inlineStr">
        <is>
          <t>2002-10-16</t>
        </is>
      </c>
      <c r="W204" t="inlineStr">
        <is>
          <t>2002-10-16</t>
        </is>
      </c>
      <c r="X204" t="inlineStr">
        <is>
          <t>2002-10-16</t>
        </is>
      </c>
      <c r="Y204" t="n">
        <v>243</v>
      </c>
      <c r="Z204" t="n">
        <v>168</v>
      </c>
      <c r="AA204" t="n">
        <v>191</v>
      </c>
      <c r="AB204" t="n">
        <v>3</v>
      </c>
      <c r="AC204" t="n">
        <v>3</v>
      </c>
      <c r="AD204" t="n">
        <v>6</v>
      </c>
      <c r="AE204" t="n">
        <v>7</v>
      </c>
      <c r="AF204" t="n">
        <v>0</v>
      </c>
      <c r="AG204" t="n">
        <v>0</v>
      </c>
      <c r="AH204" t="n">
        <v>4</v>
      </c>
      <c r="AI204" t="n">
        <v>4</v>
      </c>
      <c r="AJ204" t="n">
        <v>2</v>
      </c>
      <c r="AK204" t="n">
        <v>3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HYPERLINK("https://creighton-primo.hosted.exlibrisgroup.com/primo-explore/search?tab=default_tab&amp;search_scope=EVERYTHING&amp;vid=01CRU&amp;lang=en_US&amp;offset=0&amp;query=any,contains,991003883139702656","Catalog Record")</f>
        <v/>
      </c>
      <c r="AT204">
        <f>HYPERLINK("http://www.worldcat.org/oclc/45487549","WorldCat Record")</f>
        <v/>
      </c>
      <c r="AU204" t="inlineStr">
        <is>
          <t>35545488:eng</t>
        </is>
      </c>
      <c r="AV204" t="inlineStr">
        <is>
          <t>45487549</t>
        </is>
      </c>
      <c r="AW204" t="inlineStr">
        <is>
          <t>991003883139702656</t>
        </is>
      </c>
      <c r="AX204" t="inlineStr">
        <is>
          <t>991003883139702656</t>
        </is>
      </c>
      <c r="AY204" t="inlineStr">
        <is>
          <t>2271628180002656</t>
        </is>
      </c>
      <c r="AZ204" t="inlineStr">
        <is>
          <t>BOOK</t>
        </is>
      </c>
      <c r="BB204" t="inlineStr">
        <is>
          <t>9780262201322</t>
        </is>
      </c>
      <c r="BC204" t="inlineStr">
        <is>
          <t>32285004655295</t>
        </is>
      </c>
      <c r="BD204" t="inlineStr">
        <is>
          <t>893246850</t>
        </is>
      </c>
    </row>
    <row r="205">
      <c r="A205" t="inlineStr">
        <is>
          <t>No</t>
        </is>
      </c>
      <c r="B205" t="inlineStr">
        <is>
          <t>P301 .A28 1985</t>
        </is>
      </c>
      <c r="C205" t="inlineStr">
        <is>
          <t>0                      P  0301000A  28          1985</t>
        </is>
      </c>
      <c r="D205" t="inlineStr">
        <is>
          <t>The Acquisition of written language : response and revision / Sarah Warshauer Freedman, editor.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Norwood, N.J. : Ablex Pub. Corp., c1985.</t>
        </is>
      </c>
      <c r="M205" t="inlineStr">
        <is>
          <t>1985</t>
        </is>
      </c>
      <c r="O205" t="inlineStr">
        <is>
          <t>eng</t>
        </is>
      </c>
      <c r="P205" t="inlineStr">
        <is>
          <t>nju</t>
        </is>
      </c>
      <c r="Q205" t="inlineStr">
        <is>
          <t>Writing research : multidisciplinary inquiries into the nature of writing</t>
        </is>
      </c>
      <c r="R205" t="inlineStr">
        <is>
          <t xml:space="preserve">P  </t>
        </is>
      </c>
      <c r="S205" t="n">
        <v>5</v>
      </c>
      <c r="T205" t="n">
        <v>5</v>
      </c>
      <c r="U205" t="inlineStr">
        <is>
          <t>1996-01-30</t>
        </is>
      </c>
      <c r="V205" t="inlineStr">
        <is>
          <t>1996-01-30</t>
        </is>
      </c>
      <c r="W205" t="inlineStr">
        <is>
          <t>1991-04-30</t>
        </is>
      </c>
      <c r="X205" t="inlineStr">
        <is>
          <t>1991-04-30</t>
        </is>
      </c>
      <c r="Y205" t="n">
        <v>442</v>
      </c>
      <c r="Z205" t="n">
        <v>341</v>
      </c>
      <c r="AA205" t="n">
        <v>348</v>
      </c>
      <c r="AB205" t="n">
        <v>2</v>
      </c>
      <c r="AC205" t="n">
        <v>2</v>
      </c>
      <c r="AD205" t="n">
        <v>15</v>
      </c>
      <c r="AE205" t="n">
        <v>15</v>
      </c>
      <c r="AF205" t="n">
        <v>9</v>
      </c>
      <c r="AG205" t="n">
        <v>9</v>
      </c>
      <c r="AH205" t="n">
        <v>3</v>
      </c>
      <c r="AI205" t="n">
        <v>3</v>
      </c>
      <c r="AJ205" t="n">
        <v>6</v>
      </c>
      <c r="AK205" t="n">
        <v>6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HYPERLINK("http://catalog.hathitrust.org/Record/000439188","HathiTrust Record")</f>
        <v/>
      </c>
      <c r="AS205">
        <f>HYPERLINK("https://creighton-primo.hosted.exlibrisgroup.com/primo-explore/search?tab=default_tab&amp;search_scope=EVERYTHING&amp;vid=01CRU&amp;lang=en_US&amp;offset=0&amp;query=any,contains,991000653329702656","Catalog Record")</f>
        <v/>
      </c>
      <c r="AT205">
        <f>HYPERLINK("http://www.worldcat.org/oclc/12189294","WorldCat Record")</f>
        <v/>
      </c>
      <c r="AU205" t="inlineStr">
        <is>
          <t>54724224:eng</t>
        </is>
      </c>
      <c r="AV205" t="inlineStr">
        <is>
          <t>12189294</t>
        </is>
      </c>
      <c r="AW205" t="inlineStr">
        <is>
          <t>991000653329702656</t>
        </is>
      </c>
      <c r="AX205" t="inlineStr">
        <is>
          <t>991000653329702656</t>
        </is>
      </c>
      <c r="AY205" t="inlineStr">
        <is>
          <t>2255220350002656</t>
        </is>
      </c>
      <c r="AZ205" t="inlineStr">
        <is>
          <t>BOOK</t>
        </is>
      </c>
      <c r="BB205" t="inlineStr">
        <is>
          <t>9780893913243</t>
        </is>
      </c>
      <c r="BC205" t="inlineStr">
        <is>
          <t>32285000570068</t>
        </is>
      </c>
      <c r="BD205" t="inlineStr">
        <is>
          <t>893528253</t>
        </is>
      </c>
    </row>
    <row r="206">
      <c r="A206" t="inlineStr">
        <is>
          <t>No</t>
        </is>
      </c>
      <c r="B206" t="inlineStr">
        <is>
          <t>P301 .F37 1993</t>
        </is>
      </c>
      <c r="C206" t="inlineStr">
        <is>
          <t>0                      P  0301000F  37          1993</t>
        </is>
      </c>
      <c r="D206" t="inlineStr">
        <is>
          <t>Norms of rhetorical culture / Thomas B. Farrell.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Farrell, Thomas B., 1947-</t>
        </is>
      </c>
      <c r="L206" t="inlineStr">
        <is>
          <t>New Haven : Yale University Press, c1993.</t>
        </is>
      </c>
      <c r="M206" t="inlineStr">
        <is>
          <t>1993</t>
        </is>
      </c>
      <c r="O206" t="inlineStr">
        <is>
          <t>eng</t>
        </is>
      </c>
      <c r="P206" t="inlineStr">
        <is>
          <t>ctu</t>
        </is>
      </c>
      <c r="R206" t="inlineStr">
        <is>
          <t xml:space="preserve">P  </t>
        </is>
      </c>
      <c r="S206" t="n">
        <v>3</v>
      </c>
      <c r="T206" t="n">
        <v>3</v>
      </c>
      <c r="U206" t="inlineStr">
        <is>
          <t>2006-11-28</t>
        </is>
      </c>
      <c r="V206" t="inlineStr">
        <is>
          <t>2006-11-28</t>
        </is>
      </c>
      <c r="W206" t="inlineStr">
        <is>
          <t>1995-04-10</t>
        </is>
      </c>
      <c r="X206" t="inlineStr">
        <is>
          <t>1995-04-10</t>
        </is>
      </c>
      <c r="Y206" t="n">
        <v>591</v>
      </c>
      <c r="Z206" t="n">
        <v>508</v>
      </c>
      <c r="AA206" t="n">
        <v>655</v>
      </c>
      <c r="AB206" t="n">
        <v>6</v>
      </c>
      <c r="AC206" t="n">
        <v>6</v>
      </c>
      <c r="AD206" t="n">
        <v>38</v>
      </c>
      <c r="AE206" t="n">
        <v>42</v>
      </c>
      <c r="AF206" t="n">
        <v>11</v>
      </c>
      <c r="AG206" t="n">
        <v>15</v>
      </c>
      <c r="AH206" t="n">
        <v>10</v>
      </c>
      <c r="AI206" t="n">
        <v>10</v>
      </c>
      <c r="AJ206" t="n">
        <v>20</v>
      </c>
      <c r="AK206" t="n">
        <v>21</v>
      </c>
      <c r="AL206" t="n">
        <v>5</v>
      </c>
      <c r="AM206" t="n">
        <v>5</v>
      </c>
      <c r="AN206" t="n">
        <v>1</v>
      </c>
      <c r="AO206" t="n">
        <v>1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HYPERLINK("https://creighton-primo.hosted.exlibrisgroup.com/primo-explore/search?tab=default_tab&amp;search_scope=EVERYTHING&amp;vid=01CRU&amp;lang=en_US&amp;offset=0&amp;query=any,contains,991005416469702656","Catalog Record")</f>
        <v/>
      </c>
      <c r="AT206">
        <f>HYPERLINK("http://www.worldcat.org/oclc/27430214","WorldCat Record")</f>
        <v/>
      </c>
      <c r="AU206" t="inlineStr">
        <is>
          <t>329797:eng</t>
        </is>
      </c>
      <c r="AV206" t="inlineStr">
        <is>
          <t>27430214</t>
        </is>
      </c>
      <c r="AW206" t="inlineStr">
        <is>
          <t>991005416469702656</t>
        </is>
      </c>
      <c r="AX206" t="inlineStr">
        <is>
          <t>991005416469702656</t>
        </is>
      </c>
      <c r="AY206" t="inlineStr">
        <is>
          <t>2266155360002656</t>
        </is>
      </c>
      <c r="AZ206" t="inlineStr">
        <is>
          <t>BOOK</t>
        </is>
      </c>
      <c r="BB206" t="inlineStr">
        <is>
          <t>9780300053852</t>
        </is>
      </c>
      <c r="BC206" t="inlineStr">
        <is>
          <t>32285002017969</t>
        </is>
      </c>
      <c r="BD206" t="inlineStr">
        <is>
          <t>893777445</t>
        </is>
      </c>
    </row>
    <row r="207">
      <c r="A207" t="inlineStr">
        <is>
          <t>No</t>
        </is>
      </c>
      <c r="B207" t="inlineStr">
        <is>
          <t>P301 .G56 2001</t>
        </is>
      </c>
      <c r="C207" t="inlineStr">
        <is>
          <t>0                      P  0301000G  56          2001</t>
        </is>
      </c>
      <c r="D207" t="inlineStr">
        <is>
          <t>Understanding figurative language : from metaphors to idioms / Sam Glucksberg ; with a contribution by Matthew S. McGlone.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Glucksberg, Sam.</t>
        </is>
      </c>
      <c r="L207" t="inlineStr">
        <is>
          <t>Oxford ; New York : Oxford University Press, 2001.</t>
        </is>
      </c>
      <c r="M207" t="inlineStr">
        <is>
          <t>2001</t>
        </is>
      </c>
      <c r="O207" t="inlineStr">
        <is>
          <t>eng</t>
        </is>
      </c>
      <c r="P207" t="inlineStr">
        <is>
          <t>enk</t>
        </is>
      </c>
      <c r="Q207" t="inlineStr">
        <is>
          <t>Oxford psychology series ; no. 36</t>
        </is>
      </c>
      <c r="R207" t="inlineStr">
        <is>
          <t xml:space="preserve">P  </t>
        </is>
      </c>
      <c r="S207" t="n">
        <v>2</v>
      </c>
      <c r="T207" t="n">
        <v>2</v>
      </c>
      <c r="U207" t="inlineStr">
        <is>
          <t>2006-02-03</t>
        </is>
      </c>
      <c r="V207" t="inlineStr">
        <is>
          <t>2006-02-03</t>
        </is>
      </c>
      <c r="W207" t="inlineStr">
        <is>
          <t>2001-09-27</t>
        </is>
      </c>
      <c r="X207" t="inlineStr">
        <is>
          <t>2001-09-27</t>
        </is>
      </c>
      <c r="Y207" t="n">
        <v>428</v>
      </c>
      <c r="Z207" t="n">
        <v>333</v>
      </c>
      <c r="AA207" t="n">
        <v>964</v>
      </c>
      <c r="AB207" t="n">
        <v>4</v>
      </c>
      <c r="AC207" t="n">
        <v>31</v>
      </c>
      <c r="AD207" t="n">
        <v>24</v>
      </c>
      <c r="AE207" t="n">
        <v>47</v>
      </c>
      <c r="AF207" t="n">
        <v>10</v>
      </c>
      <c r="AG207" t="n">
        <v>18</v>
      </c>
      <c r="AH207" t="n">
        <v>7</v>
      </c>
      <c r="AI207" t="n">
        <v>10</v>
      </c>
      <c r="AJ207" t="n">
        <v>12</v>
      </c>
      <c r="AK207" t="n">
        <v>16</v>
      </c>
      <c r="AL207" t="n">
        <v>3</v>
      </c>
      <c r="AM207" t="n">
        <v>12</v>
      </c>
      <c r="AN207" t="n">
        <v>0</v>
      </c>
      <c r="AO207" t="n">
        <v>1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HYPERLINK("https://creighton-primo.hosted.exlibrisgroup.com/primo-explore/search?tab=default_tab&amp;search_scope=EVERYTHING&amp;vid=01CRU&amp;lang=en_US&amp;offset=0&amp;query=any,contains,991003616229702656","Catalog Record")</f>
        <v/>
      </c>
      <c r="AT207">
        <f>HYPERLINK("http://www.worldcat.org/oclc/43540512","WorldCat Record")</f>
        <v/>
      </c>
      <c r="AU207" t="inlineStr">
        <is>
          <t>793951490:eng</t>
        </is>
      </c>
      <c r="AV207" t="inlineStr">
        <is>
          <t>43540512</t>
        </is>
      </c>
      <c r="AW207" t="inlineStr">
        <is>
          <t>991003616229702656</t>
        </is>
      </c>
      <c r="AX207" t="inlineStr">
        <is>
          <t>991003616229702656</t>
        </is>
      </c>
      <c r="AY207" t="inlineStr">
        <is>
          <t>2254773140002656</t>
        </is>
      </c>
      <c r="AZ207" t="inlineStr">
        <is>
          <t>BOOK</t>
        </is>
      </c>
      <c r="BB207" t="inlineStr">
        <is>
          <t>9780195111095</t>
        </is>
      </c>
      <c r="BC207" t="inlineStr">
        <is>
          <t>32285004393913</t>
        </is>
      </c>
      <c r="BD207" t="inlineStr">
        <is>
          <t>893793819</t>
        </is>
      </c>
    </row>
    <row r="208">
      <c r="A208" t="inlineStr">
        <is>
          <t>No</t>
        </is>
      </c>
      <c r="B208" t="inlineStr">
        <is>
          <t>P301.5.A27 J64 2007</t>
        </is>
      </c>
      <c r="C208" t="inlineStr">
        <is>
          <t>0                      P  0301500A  27                 J  64          2007</t>
        </is>
      </c>
      <c r="D208" t="inlineStr">
        <is>
          <t>Write to the top! : how to become a prolific academic / W. Brad Johnson, Carol A. Mullen.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Johnson, W. Brad.</t>
        </is>
      </c>
      <c r="L208" t="inlineStr">
        <is>
          <t>New York : Palgrave Macmillan, 2007.</t>
        </is>
      </c>
      <c r="M208" t="inlineStr">
        <is>
          <t>2007</t>
        </is>
      </c>
      <c r="N208" t="inlineStr">
        <is>
          <t>1st ed.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P  </t>
        </is>
      </c>
      <c r="S208" t="n">
        <v>2</v>
      </c>
      <c r="T208" t="n">
        <v>2</v>
      </c>
      <c r="U208" t="inlineStr">
        <is>
          <t>2008-12-15</t>
        </is>
      </c>
      <c r="V208" t="inlineStr">
        <is>
          <t>2008-12-15</t>
        </is>
      </c>
      <c r="W208" t="inlineStr">
        <is>
          <t>2007-09-20</t>
        </is>
      </c>
      <c r="X208" t="inlineStr">
        <is>
          <t>2007-09-20</t>
        </is>
      </c>
      <c r="Y208" t="n">
        <v>210</v>
      </c>
      <c r="Z208" t="n">
        <v>136</v>
      </c>
      <c r="AA208" t="n">
        <v>565</v>
      </c>
      <c r="AB208" t="n">
        <v>2</v>
      </c>
      <c r="AC208" t="n">
        <v>6</v>
      </c>
      <c r="AD208" t="n">
        <v>6</v>
      </c>
      <c r="AE208" t="n">
        <v>27</v>
      </c>
      <c r="AF208" t="n">
        <v>2</v>
      </c>
      <c r="AG208" t="n">
        <v>10</v>
      </c>
      <c r="AH208" t="n">
        <v>3</v>
      </c>
      <c r="AI208" t="n">
        <v>7</v>
      </c>
      <c r="AJ208" t="n">
        <v>2</v>
      </c>
      <c r="AK208" t="n">
        <v>9</v>
      </c>
      <c r="AL208" t="n">
        <v>1</v>
      </c>
      <c r="AM208" t="n">
        <v>5</v>
      </c>
      <c r="AN208" t="n">
        <v>1</v>
      </c>
      <c r="AO208" t="n">
        <v>2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HYPERLINK("https://creighton-primo.hosted.exlibrisgroup.com/primo-explore/search?tab=default_tab&amp;search_scope=EVERYTHING&amp;vid=01CRU&amp;lang=en_US&amp;offset=0&amp;query=any,contains,991005117109702656","Catalog Record")</f>
        <v/>
      </c>
      <c r="AT208">
        <f>HYPERLINK("http://www.worldcat.org/oclc/73744045","WorldCat Record")</f>
        <v/>
      </c>
      <c r="AU208" t="inlineStr">
        <is>
          <t>802793532:eng</t>
        </is>
      </c>
      <c r="AV208" t="inlineStr">
        <is>
          <t>73744045</t>
        </is>
      </c>
      <c r="AW208" t="inlineStr">
        <is>
          <t>991005117109702656</t>
        </is>
      </c>
      <c r="AX208" t="inlineStr">
        <is>
          <t>991005117109702656</t>
        </is>
      </c>
      <c r="AY208" t="inlineStr">
        <is>
          <t>2258601610002656</t>
        </is>
      </c>
      <c r="AZ208" t="inlineStr">
        <is>
          <t>BOOK</t>
        </is>
      </c>
      <c r="BB208" t="inlineStr">
        <is>
          <t>9781403977427</t>
        </is>
      </c>
      <c r="BC208" t="inlineStr">
        <is>
          <t>32285005326045</t>
        </is>
      </c>
      <c r="BD208" t="inlineStr">
        <is>
          <t>893320050</t>
        </is>
      </c>
    </row>
    <row r="209">
      <c r="A209" t="inlineStr">
        <is>
          <t>No</t>
        </is>
      </c>
      <c r="B209" t="inlineStr">
        <is>
          <t>P301.5.M48 C66 1986</t>
        </is>
      </c>
      <c r="C209" t="inlineStr">
        <is>
          <t>0                      P  0301500M  48                 C  66          1986</t>
        </is>
      </c>
      <c r="D209" t="inlineStr">
        <is>
          <t>Metaphor / David E. Cooper.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Cooper, David E. (David Edward), 1942-</t>
        </is>
      </c>
      <c r="L209" t="inlineStr">
        <is>
          <t>Oxford, England ; New York, NY, USA : Basil Blackwell, 1986.</t>
        </is>
      </c>
      <c r="M209" t="inlineStr">
        <is>
          <t>1986</t>
        </is>
      </c>
      <c r="O209" t="inlineStr">
        <is>
          <t>eng</t>
        </is>
      </c>
      <c r="P209" t="inlineStr">
        <is>
          <t>enk</t>
        </is>
      </c>
      <c r="Q209" t="inlineStr">
        <is>
          <t>Aristotelian Society series ; v. 5</t>
        </is>
      </c>
      <c r="R209" t="inlineStr">
        <is>
          <t xml:space="preserve">P  </t>
        </is>
      </c>
      <c r="S209" t="n">
        <v>1</v>
      </c>
      <c r="T209" t="n">
        <v>1</v>
      </c>
      <c r="U209" t="inlineStr">
        <is>
          <t>2001-01-30</t>
        </is>
      </c>
      <c r="V209" t="inlineStr">
        <is>
          <t>2001-01-30</t>
        </is>
      </c>
      <c r="W209" t="inlineStr">
        <is>
          <t>1991-09-03</t>
        </is>
      </c>
      <c r="X209" t="inlineStr">
        <is>
          <t>1991-09-03</t>
        </is>
      </c>
      <c r="Y209" t="n">
        <v>428</v>
      </c>
      <c r="Z209" t="n">
        <v>267</v>
      </c>
      <c r="AA209" t="n">
        <v>270</v>
      </c>
      <c r="AB209" t="n">
        <v>2</v>
      </c>
      <c r="AC209" t="n">
        <v>2</v>
      </c>
      <c r="AD209" t="n">
        <v>19</v>
      </c>
      <c r="AE209" t="n">
        <v>19</v>
      </c>
      <c r="AF209" t="n">
        <v>7</v>
      </c>
      <c r="AG209" t="n">
        <v>7</v>
      </c>
      <c r="AH209" t="n">
        <v>7</v>
      </c>
      <c r="AI209" t="n">
        <v>7</v>
      </c>
      <c r="AJ209" t="n">
        <v>12</v>
      </c>
      <c r="AK209" t="n">
        <v>12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HYPERLINK("https://creighton-primo.hosted.exlibrisgroup.com/primo-explore/search?tab=default_tab&amp;search_scope=EVERYTHING&amp;vid=01CRU&amp;lang=en_US&amp;offset=0&amp;query=any,contains,991000841849702656","Catalog Record")</f>
        <v/>
      </c>
      <c r="AT209">
        <f>HYPERLINK("http://www.worldcat.org/oclc/13525934","WorldCat Record")</f>
        <v/>
      </c>
      <c r="AU209" t="inlineStr">
        <is>
          <t>7368799:eng</t>
        </is>
      </c>
      <c r="AV209" t="inlineStr">
        <is>
          <t>13525934</t>
        </is>
      </c>
      <c r="AW209" t="inlineStr">
        <is>
          <t>991000841849702656</t>
        </is>
      </c>
      <c r="AX209" t="inlineStr">
        <is>
          <t>991000841849702656</t>
        </is>
      </c>
      <c r="AY209" t="inlineStr">
        <is>
          <t>2262268520002656</t>
        </is>
      </c>
      <c r="AZ209" t="inlineStr">
        <is>
          <t>BOOK</t>
        </is>
      </c>
      <c r="BB209" t="inlineStr">
        <is>
          <t>9780631149385</t>
        </is>
      </c>
      <c r="BC209" t="inlineStr">
        <is>
          <t>32285000734490</t>
        </is>
      </c>
      <c r="BD209" t="inlineStr">
        <is>
          <t>893884812</t>
        </is>
      </c>
    </row>
    <row r="210">
      <c r="A210" t="inlineStr">
        <is>
          <t>No</t>
        </is>
      </c>
      <c r="B210" t="inlineStr">
        <is>
          <t>P301.5.M48 K58 1987</t>
        </is>
      </c>
      <c r="C210" t="inlineStr">
        <is>
          <t>0                      P  0301500M  48                 K  58          1987</t>
        </is>
      </c>
      <c r="D210" t="inlineStr">
        <is>
          <t>Metaphor : its cognitive force and linguistic structure / Eva Feder Kittay.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Kittay, Eva Feder.</t>
        </is>
      </c>
      <c r="L210" t="inlineStr">
        <is>
          <t>Oxford : Clarendon Press ; New York : Oxford University Press, 1987.</t>
        </is>
      </c>
      <c r="M210" t="inlineStr">
        <is>
          <t>1987</t>
        </is>
      </c>
      <c r="O210" t="inlineStr">
        <is>
          <t>eng</t>
        </is>
      </c>
      <c r="P210" t="inlineStr">
        <is>
          <t>enk</t>
        </is>
      </c>
      <c r="Q210" t="inlineStr">
        <is>
          <t>Clarendon library of logic and philosophy</t>
        </is>
      </c>
      <c r="R210" t="inlineStr">
        <is>
          <t xml:space="preserve">P  </t>
        </is>
      </c>
      <c r="S210" t="n">
        <v>7</v>
      </c>
      <c r="T210" t="n">
        <v>7</v>
      </c>
      <c r="U210" t="inlineStr">
        <is>
          <t>2001-01-30</t>
        </is>
      </c>
      <c r="V210" t="inlineStr">
        <is>
          <t>2001-01-30</t>
        </is>
      </c>
      <c r="W210" t="inlineStr">
        <is>
          <t>1992-05-15</t>
        </is>
      </c>
      <c r="X210" t="inlineStr">
        <is>
          <t>1992-05-15</t>
        </is>
      </c>
      <c r="Y210" t="n">
        <v>562</v>
      </c>
      <c r="Z210" t="n">
        <v>417</v>
      </c>
      <c r="AA210" t="n">
        <v>509</v>
      </c>
      <c r="AB210" t="n">
        <v>4</v>
      </c>
      <c r="AC210" t="n">
        <v>4</v>
      </c>
      <c r="AD210" t="n">
        <v>23</v>
      </c>
      <c r="AE210" t="n">
        <v>27</v>
      </c>
      <c r="AF210" t="n">
        <v>7</v>
      </c>
      <c r="AG210" t="n">
        <v>8</v>
      </c>
      <c r="AH210" t="n">
        <v>7</v>
      </c>
      <c r="AI210" t="n">
        <v>9</v>
      </c>
      <c r="AJ210" t="n">
        <v>14</v>
      </c>
      <c r="AK210" t="n">
        <v>16</v>
      </c>
      <c r="AL210" t="n">
        <v>3</v>
      </c>
      <c r="AM210" t="n">
        <v>3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HYPERLINK("http://catalog.hathitrust.org/Record/000850377","HathiTrust Record")</f>
        <v/>
      </c>
      <c r="AS210">
        <f>HYPERLINK("https://creighton-primo.hosted.exlibrisgroup.com/primo-explore/search?tab=default_tab&amp;search_scope=EVERYTHING&amp;vid=01CRU&amp;lang=en_US&amp;offset=0&amp;query=any,contains,991000995459702656","Catalog Record")</f>
        <v/>
      </c>
      <c r="AT210">
        <f>HYPERLINK("http://www.worldcat.org/oclc/15133147","WorldCat Record")</f>
        <v/>
      </c>
      <c r="AU210" t="inlineStr">
        <is>
          <t>807839695:eng</t>
        </is>
      </c>
      <c r="AV210" t="inlineStr">
        <is>
          <t>15133147</t>
        </is>
      </c>
      <c r="AW210" t="inlineStr">
        <is>
          <t>991000995459702656</t>
        </is>
      </c>
      <c r="AX210" t="inlineStr">
        <is>
          <t>991000995459702656</t>
        </is>
      </c>
      <c r="AY210" t="inlineStr">
        <is>
          <t>2261975670002656</t>
        </is>
      </c>
      <c r="AZ210" t="inlineStr">
        <is>
          <t>BOOK</t>
        </is>
      </c>
      <c r="BB210" t="inlineStr">
        <is>
          <t>9780198249351</t>
        </is>
      </c>
      <c r="BC210" t="inlineStr">
        <is>
          <t>32285000987171</t>
        </is>
      </c>
      <c r="BD210" t="inlineStr">
        <is>
          <t>893784720</t>
        </is>
      </c>
    </row>
    <row r="211">
      <c r="A211" t="inlineStr">
        <is>
          <t>No</t>
        </is>
      </c>
      <c r="B211" t="inlineStr">
        <is>
          <t>P301.5.M48 M33 1985</t>
        </is>
      </c>
      <c r="C211" t="inlineStr">
        <is>
          <t>0                      P  0301500M  48                 M  33          1985</t>
        </is>
      </c>
      <c r="D211" t="inlineStr">
        <is>
          <t>A cognitive theory of metaphor / Earl R. Mac Cormac.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Mac Cormac, Earl R.</t>
        </is>
      </c>
      <c r="L211" t="inlineStr">
        <is>
          <t>Cambridge, Mass. : MIT Press, c1985.</t>
        </is>
      </c>
      <c r="M211" t="inlineStr">
        <is>
          <t>1985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P  </t>
        </is>
      </c>
      <c r="S211" t="n">
        <v>2</v>
      </c>
      <c r="T211" t="n">
        <v>2</v>
      </c>
      <c r="U211" t="inlineStr">
        <is>
          <t>2001-02-05</t>
        </is>
      </c>
      <c r="V211" t="inlineStr">
        <is>
          <t>2001-02-05</t>
        </is>
      </c>
      <c r="W211" t="inlineStr">
        <is>
          <t>1992-05-27</t>
        </is>
      </c>
      <c r="X211" t="inlineStr">
        <is>
          <t>1992-05-27</t>
        </is>
      </c>
      <c r="Y211" t="n">
        <v>651</v>
      </c>
      <c r="Z211" t="n">
        <v>499</v>
      </c>
      <c r="AA211" t="n">
        <v>705</v>
      </c>
      <c r="AB211" t="n">
        <v>3</v>
      </c>
      <c r="AC211" t="n">
        <v>4</v>
      </c>
      <c r="AD211" t="n">
        <v>27</v>
      </c>
      <c r="AE211" t="n">
        <v>31</v>
      </c>
      <c r="AF211" t="n">
        <v>11</v>
      </c>
      <c r="AG211" t="n">
        <v>14</v>
      </c>
      <c r="AH211" t="n">
        <v>6</v>
      </c>
      <c r="AI211" t="n">
        <v>7</v>
      </c>
      <c r="AJ211" t="n">
        <v>15</v>
      </c>
      <c r="AK211" t="n">
        <v>15</v>
      </c>
      <c r="AL211" t="n">
        <v>2</v>
      </c>
      <c r="AM211" t="n">
        <v>3</v>
      </c>
      <c r="AN211" t="n">
        <v>1</v>
      </c>
      <c r="AO211" t="n">
        <v>1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HYPERLINK("http://catalog.hathitrust.org/Record/000418752","HathiTrust Record")</f>
        <v/>
      </c>
      <c r="AS211">
        <f>HYPERLINK("https://creighton-primo.hosted.exlibrisgroup.com/primo-explore/search?tab=default_tab&amp;search_scope=EVERYTHING&amp;vid=01CRU&amp;lang=en_US&amp;offset=0&amp;query=any,contains,991000618659702656","Catalog Record")</f>
        <v/>
      </c>
      <c r="AT211">
        <f>HYPERLINK("http://www.worldcat.org/oclc/11970228","WorldCat Record")</f>
        <v/>
      </c>
      <c r="AU211" t="inlineStr">
        <is>
          <t>1082200:eng</t>
        </is>
      </c>
      <c r="AV211" t="inlineStr">
        <is>
          <t>11970228</t>
        </is>
      </c>
      <c r="AW211" t="inlineStr">
        <is>
          <t>991000618659702656</t>
        </is>
      </c>
      <c r="AX211" t="inlineStr">
        <is>
          <t>991000618659702656</t>
        </is>
      </c>
      <c r="AY211" t="inlineStr">
        <is>
          <t>2256453920002656</t>
        </is>
      </c>
      <c r="AZ211" t="inlineStr">
        <is>
          <t>BOOK</t>
        </is>
      </c>
      <c r="BB211" t="inlineStr">
        <is>
          <t>9780262132121</t>
        </is>
      </c>
      <c r="BC211" t="inlineStr">
        <is>
          <t>32285001118925</t>
        </is>
      </c>
      <c r="BD211" t="inlineStr">
        <is>
          <t>893884580</t>
        </is>
      </c>
    </row>
    <row r="212">
      <c r="A212" t="inlineStr">
        <is>
          <t>No</t>
        </is>
      </c>
      <c r="B212" t="inlineStr">
        <is>
          <t>P301.5.M48 S6 1985</t>
        </is>
      </c>
      <c r="C212" t="inlineStr">
        <is>
          <t>0                      P  0301500M  48                 S  6           1985</t>
        </is>
      </c>
      <c r="D212" t="inlineStr">
        <is>
          <t>Metaphor and religious language / Janet Martin Soskice.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Soskice, Janet Martin.</t>
        </is>
      </c>
      <c r="L212" t="inlineStr">
        <is>
          <t>Oxford : Clarendon Press ; London ; New York : Oxford University Press, 1985.</t>
        </is>
      </c>
      <c r="M212" t="inlineStr">
        <is>
          <t>1985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P  </t>
        </is>
      </c>
      <c r="S212" t="n">
        <v>9</v>
      </c>
      <c r="T212" t="n">
        <v>9</v>
      </c>
      <c r="U212" t="inlineStr">
        <is>
          <t>2001-02-05</t>
        </is>
      </c>
      <c r="V212" t="inlineStr">
        <is>
          <t>2001-02-05</t>
        </is>
      </c>
      <c r="W212" t="inlineStr">
        <is>
          <t>1992-05-15</t>
        </is>
      </c>
      <c r="X212" t="inlineStr">
        <is>
          <t>1992-05-15</t>
        </is>
      </c>
      <c r="Y212" t="n">
        <v>740</v>
      </c>
      <c r="Z212" t="n">
        <v>552</v>
      </c>
      <c r="AA212" t="n">
        <v>575</v>
      </c>
      <c r="AB212" t="n">
        <v>2</v>
      </c>
      <c r="AC212" t="n">
        <v>3</v>
      </c>
      <c r="AD212" t="n">
        <v>33</v>
      </c>
      <c r="AE212" t="n">
        <v>34</v>
      </c>
      <c r="AF212" t="n">
        <v>12</v>
      </c>
      <c r="AG212" t="n">
        <v>12</v>
      </c>
      <c r="AH212" t="n">
        <v>9</v>
      </c>
      <c r="AI212" t="n">
        <v>9</v>
      </c>
      <c r="AJ212" t="n">
        <v>21</v>
      </c>
      <c r="AK212" t="n">
        <v>21</v>
      </c>
      <c r="AL212" t="n">
        <v>1</v>
      </c>
      <c r="AM212" t="n">
        <v>2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HYPERLINK("http://catalog.hathitrust.org/Record/000612585","HathiTrust Record")</f>
        <v/>
      </c>
      <c r="AS212">
        <f>HYPERLINK("https://creighton-primo.hosted.exlibrisgroup.com/primo-explore/search?tab=default_tab&amp;search_scope=EVERYTHING&amp;vid=01CRU&amp;lang=en_US&amp;offset=0&amp;query=any,contains,991005406249702656","Catalog Record")</f>
        <v/>
      </c>
      <c r="AT212">
        <f>HYPERLINK("http://www.worldcat.org/oclc/13124520","WorldCat Record")</f>
        <v/>
      </c>
      <c r="AU212" t="inlineStr">
        <is>
          <t>5685763:eng</t>
        </is>
      </c>
      <c r="AV212" t="inlineStr">
        <is>
          <t>13124520</t>
        </is>
      </c>
      <c r="AW212" t="inlineStr">
        <is>
          <t>991005406249702656</t>
        </is>
      </c>
      <c r="AX212" t="inlineStr">
        <is>
          <t>991005406249702656</t>
        </is>
      </c>
      <c r="AY212" t="inlineStr">
        <is>
          <t>2257423940002656</t>
        </is>
      </c>
      <c r="AZ212" t="inlineStr">
        <is>
          <t>BOOK</t>
        </is>
      </c>
      <c r="BB212" t="inlineStr">
        <is>
          <t>9780198247272</t>
        </is>
      </c>
      <c r="BC212" t="inlineStr">
        <is>
          <t>32285000987148</t>
        </is>
      </c>
      <c r="BD212" t="inlineStr">
        <is>
          <t>893514676</t>
        </is>
      </c>
    </row>
    <row r="213">
      <c r="A213" t="inlineStr">
        <is>
          <t>No</t>
        </is>
      </c>
      <c r="B213" t="inlineStr">
        <is>
          <t>P301.5.P73 P76 1989</t>
        </is>
      </c>
      <c r="C213" t="inlineStr">
        <is>
          <t>0                      P  0301500P  73                 P  76          1989</t>
        </is>
      </c>
      <c r="D213" t="inlineStr">
        <is>
          <t>Propaganda : a pluralistic perspective / edited by Ted J. Smith III.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L213" t="inlineStr">
        <is>
          <t>New York : Praeger, 1989.</t>
        </is>
      </c>
      <c r="M213" t="inlineStr">
        <is>
          <t>1989</t>
        </is>
      </c>
      <c r="O213" t="inlineStr">
        <is>
          <t>eng</t>
        </is>
      </c>
      <c r="P213" t="inlineStr">
        <is>
          <t>nyu</t>
        </is>
      </c>
      <c r="Q213" t="inlineStr">
        <is>
          <t>Media and society series</t>
        </is>
      </c>
      <c r="R213" t="inlineStr">
        <is>
          <t xml:space="preserve">P  </t>
        </is>
      </c>
      <c r="S213" t="n">
        <v>14</v>
      </c>
      <c r="T213" t="n">
        <v>14</v>
      </c>
      <c r="U213" t="inlineStr">
        <is>
          <t>2007-02-23</t>
        </is>
      </c>
      <c r="V213" t="inlineStr">
        <is>
          <t>2007-02-23</t>
        </is>
      </c>
      <c r="W213" t="inlineStr">
        <is>
          <t>1991-01-31</t>
        </is>
      </c>
      <c r="X213" t="inlineStr">
        <is>
          <t>1991-01-31</t>
        </is>
      </c>
      <c r="Y213" t="n">
        <v>507</v>
      </c>
      <c r="Z213" t="n">
        <v>443</v>
      </c>
      <c r="AA213" t="n">
        <v>450</v>
      </c>
      <c r="AB213" t="n">
        <v>4</v>
      </c>
      <c r="AC213" t="n">
        <v>4</v>
      </c>
      <c r="AD213" t="n">
        <v>20</v>
      </c>
      <c r="AE213" t="n">
        <v>20</v>
      </c>
      <c r="AF213" t="n">
        <v>7</v>
      </c>
      <c r="AG213" t="n">
        <v>7</v>
      </c>
      <c r="AH213" t="n">
        <v>3</v>
      </c>
      <c r="AI213" t="n">
        <v>3</v>
      </c>
      <c r="AJ213" t="n">
        <v>14</v>
      </c>
      <c r="AK213" t="n">
        <v>14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HYPERLINK("http://catalog.hathitrust.org/Record/001837699","HathiTrust Record")</f>
        <v/>
      </c>
      <c r="AS213">
        <f>HYPERLINK("https://creighton-primo.hosted.exlibrisgroup.com/primo-explore/search?tab=default_tab&amp;search_scope=EVERYTHING&amp;vid=01CRU&amp;lang=en_US&amp;offset=0&amp;query=any,contains,991001494909702656","Catalog Record")</f>
        <v/>
      </c>
      <c r="AT213">
        <f>HYPERLINK("http://www.worldcat.org/oclc/19742377","WorldCat Record")</f>
        <v/>
      </c>
      <c r="AU213" t="inlineStr">
        <is>
          <t>836701436:eng</t>
        </is>
      </c>
      <c r="AV213" t="inlineStr">
        <is>
          <t>19742377</t>
        </is>
      </c>
      <c r="AW213" t="inlineStr">
        <is>
          <t>991001494909702656</t>
        </is>
      </c>
      <c r="AX213" t="inlineStr">
        <is>
          <t>991001494909702656</t>
        </is>
      </c>
      <c r="AY213" t="inlineStr">
        <is>
          <t>2262613640002656</t>
        </is>
      </c>
      <c r="AZ213" t="inlineStr">
        <is>
          <t>BOOK</t>
        </is>
      </c>
      <c r="BB213" t="inlineStr">
        <is>
          <t>9780275927431</t>
        </is>
      </c>
      <c r="BC213" t="inlineStr">
        <is>
          <t>32285000462803</t>
        </is>
      </c>
      <c r="BD213" t="inlineStr">
        <is>
          <t>893878911</t>
        </is>
      </c>
    </row>
    <row r="214">
      <c r="A214" t="inlineStr">
        <is>
          <t>No</t>
        </is>
      </c>
      <c r="B214" t="inlineStr">
        <is>
          <t>P302 .A37 1985</t>
        </is>
      </c>
      <c r="C214" t="inlineStr">
        <is>
          <t>0                      P  0302000A  37          1985</t>
        </is>
      </c>
      <c r="D214" t="inlineStr">
        <is>
          <t>The limits of story / George Aichele, Jr.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Aichele, George.</t>
        </is>
      </c>
      <c r="L214" t="inlineStr">
        <is>
          <t>Philadelphia, Pa. : Fortress Press ; Chico, Calif. : Scholars Press, c1985.</t>
        </is>
      </c>
      <c r="M214" t="inlineStr">
        <is>
          <t>1985</t>
        </is>
      </c>
      <c r="O214" t="inlineStr">
        <is>
          <t>eng</t>
        </is>
      </c>
      <c r="P214" t="inlineStr">
        <is>
          <t>pau</t>
        </is>
      </c>
      <c r="Q214" t="inlineStr">
        <is>
          <t>Semeia studies</t>
        </is>
      </c>
      <c r="R214" t="inlineStr">
        <is>
          <t xml:space="preserve">P  </t>
        </is>
      </c>
      <c r="S214" t="n">
        <v>1</v>
      </c>
      <c r="T214" t="n">
        <v>1</v>
      </c>
      <c r="U214" t="inlineStr">
        <is>
          <t>1995-11-20</t>
        </is>
      </c>
      <c r="V214" t="inlineStr">
        <is>
          <t>1995-11-20</t>
        </is>
      </c>
      <c r="W214" t="inlineStr">
        <is>
          <t>1993-04-05</t>
        </is>
      </c>
      <c r="X214" t="inlineStr">
        <is>
          <t>1993-04-05</t>
        </is>
      </c>
      <c r="Y214" t="n">
        <v>342</v>
      </c>
      <c r="Z214" t="n">
        <v>270</v>
      </c>
      <c r="AA214" t="n">
        <v>277</v>
      </c>
      <c r="AB214" t="n">
        <v>1</v>
      </c>
      <c r="AC214" t="n">
        <v>1</v>
      </c>
      <c r="AD214" t="n">
        <v>15</v>
      </c>
      <c r="AE214" t="n">
        <v>15</v>
      </c>
      <c r="AF214" t="n">
        <v>6</v>
      </c>
      <c r="AG214" t="n">
        <v>6</v>
      </c>
      <c r="AH214" t="n">
        <v>5</v>
      </c>
      <c r="AI214" t="n">
        <v>5</v>
      </c>
      <c r="AJ214" t="n">
        <v>9</v>
      </c>
      <c r="AK214" t="n">
        <v>9</v>
      </c>
      <c r="AL214" t="n">
        <v>0</v>
      </c>
      <c r="AM214" t="n">
        <v>0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HYPERLINK("http://catalog.hathitrust.org/Record/000612551","HathiTrust Record")</f>
        <v/>
      </c>
      <c r="AS214">
        <f>HYPERLINK("https://creighton-primo.hosted.exlibrisgroup.com/primo-explore/search?tab=default_tab&amp;search_scope=EVERYTHING&amp;vid=01CRU&amp;lang=en_US&amp;offset=0&amp;query=any,contains,991000531479702656","Catalog Record")</f>
        <v/>
      </c>
      <c r="AT214">
        <f>HYPERLINK("http://www.worldcat.org/oclc/11399585","WorldCat Record")</f>
        <v/>
      </c>
      <c r="AU214" t="inlineStr">
        <is>
          <t>4238516:eng</t>
        </is>
      </c>
      <c r="AV214" t="inlineStr">
        <is>
          <t>11399585</t>
        </is>
      </c>
      <c r="AW214" t="inlineStr">
        <is>
          <t>991000531479702656</t>
        </is>
      </c>
      <c r="AX214" t="inlineStr">
        <is>
          <t>991000531479702656</t>
        </is>
      </c>
      <c r="AY214" t="inlineStr">
        <is>
          <t>2268290430002656</t>
        </is>
      </c>
      <c r="AZ214" t="inlineStr">
        <is>
          <t>BOOK</t>
        </is>
      </c>
      <c r="BB214" t="inlineStr">
        <is>
          <t>9780800615130</t>
        </is>
      </c>
      <c r="BC214" t="inlineStr">
        <is>
          <t>32285001613917</t>
        </is>
      </c>
      <c r="BD214" t="inlineStr">
        <is>
          <t>893261509</t>
        </is>
      </c>
    </row>
    <row r="215">
      <c r="A215" t="inlineStr">
        <is>
          <t>No</t>
        </is>
      </c>
      <c r="B215" t="inlineStr">
        <is>
          <t>P302 .B5 1980</t>
        </is>
      </c>
      <c r="C215" t="inlineStr">
        <is>
          <t>0                      P  0302000B  5           1980</t>
        </is>
      </c>
      <c r="D215" t="inlineStr">
        <is>
          <t>Description : sign, self, desire : critical theory in the wake of semiotics / Marc Eli Blanchard.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Blanchard, Marc Eli, 1942-</t>
        </is>
      </c>
      <c r="L215" t="inlineStr">
        <is>
          <t>The Hague ; New York : Mouton, c1980.</t>
        </is>
      </c>
      <c r="M215" t="inlineStr">
        <is>
          <t>1980</t>
        </is>
      </c>
      <c r="O215" t="inlineStr">
        <is>
          <t>eng</t>
        </is>
      </c>
      <c r="P215" t="inlineStr">
        <is>
          <t xml:space="preserve">ne </t>
        </is>
      </c>
      <c r="Q215" t="inlineStr">
        <is>
          <t>Approaches to semiotics ; 43</t>
        </is>
      </c>
      <c r="R215" t="inlineStr">
        <is>
          <t xml:space="preserve">P  </t>
        </is>
      </c>
      <c r="S215" t="n">
        <v>1</v>
      </c>
      <c r="T215" t="n">
        <v>1</v>
      </c>
      <c r="U215" t="inlineStr">
        <is>
          <t>2003-09-03</t>
        </is>
      </c>
      <c r="V215" t="inlineStr">
        <is>
          <t>2003-09-03</t>
        </is>
      </c>
      <c r="W215" t="inlineStr">
        <is>
          <t>2003-09-03</t>
        </is>
      </c>
      <c r="X215" t="inlineStr">
        <is>
          <t>2003-09-03</t>
        </is>
      </c>
      <c r="Y215" t="n">
        <v>365</v>
      </c>
      <c r="Z215" t="n">
        <v>230</v>
      </c>
      <c r="AA215" t="n">
        <v>250</v>
      </c>
      <c r="AB215" t="n">
        <v>2</v>
      </c>
      <c r="AC215" t="n">
        <v>2</v>
      </c>
      <c r="AD215" t="n">
        <v>14</v>
      </c>
      <c r="AE215" t="n">
        <v>14</v>
      </c>
      <c r="AF215" t="n">
        <v>3</v>
      </c>
      <c r="AG215" t="n">
        <v>3</v>
      </c>
      <c r="AH215" t="n">
        <v>3</v>
      </c>
      <c r="AI215" t="n">
        <v>3</v>
      </c>
      <c r="AJ215" t="n">
        <v>11</v>
      </c>
      <c r="AK215" t="n">
        <v>11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HYPERLINK("http://catalog.hathitrust.org/Record/000728427","HathiTrust Record")</f>
        <v/>
      </c>
      <c r="AS215">
        <f>HYPERLINK("https://creighton-primo.hosted.exlibrisgroup.com/primo-explore/search?tab=default_tab&amp;search_scope=EVERYTHING&amp;vid=01CRU&amp;lang=en_US&amp;offset=0&amp;query=any,contains,991004112669702656","Catalog Record")</f>
        <v/>
      </c>
      <c r="AT215">
        <f>HYPERLINK("http://www.worldcat.org/oclc/9283592","WorldCat Record")</f>
        <v/>
      </c>
      <c r="AU215" t="inlineStr">
        <is>
          <t>792355921:eng</t>
        </is>
      </c>
      <c r="AV215" t="inlineStr">
        <is>
          <t>9283592</t>
        </is>
      </c>
      <c r="AW215" t="inlineStr">
        <is>
          <t>991004112669702656</t>
        </is>
      </c>
      <c r="AX215" t="inlineStr">
        <is>
          <t>991004112669702656</t>
        </is>
      </c>
      <c r="AY215" t="inlineStr">
        <is>
          <t>2261646300002656</t>
        </is>
      </c>
      <c r="AZ215" t="inlineStr">
        <is>
          <t>BOOK</t>
        </is>
      </c>
      <c r="BB215" t="inlineStr">
        <is>
          <t>9789027934888</t>
        </is>
      </c>
      <c r="BC215" t="inlineStr">
        <is>
          <t>32285004781067</t>
        </is>
      </c>
      <c r="BD215" t="inlineStr">
        <is>
          <t>893869296</t>
        </is>
      </c>
    </row>
    <row r="216">
      <c r="A216" t="inlineStr">
        <is>
          <t>No</t>
        </is>
      </c>
      <c r="B216" t="inlineStr">
        <is>
          <t>P302 .B57 1997</t>
        </is>
      </c>
      <c r="C216" t="inlineStr">
        <is>
          <t>0                      P  0302000B  57          1997</t>
        </is>
      </c>
      <c r="D216" t="inlineStr">
        <is>
          <t>Dinner talk : cultural patterns of sociability and socialization in family discourse / Shoshana Blum-Kulka.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Blum-Kulka, Shoshana.</t>
        </is>
      </c>
      <c r="L216" t="inlineStr">
        <is>
          <t>Mahwah, NJ : L. Erlbaum Assoc. Publishers, 1997.</t>
        </is>
      </c>
      <c r="M216" t="inlineStr">
        <is>
          <t>1997</t>
        </is>
      </c>
      <c r="O216" t="inlineStr">
        <is>
          <t>eng</t>
        </is>
      </c>
      <c r="P216" t="inlineStr">
        <is>
          <t>nju</t>
        </is>
      </c>
      <c r="R216" t="inlineStr">
        <is>
          <t xml:space="preserve">P  </t>
        </is>
      </c>
      <c r="S216" t="n">
        <v>1</v>
      </c>
      <c r="T216" t="n">
        <v>1</v>
      </c>
      <c r="U216" t="inlineStr">
        <is>
          <t>2010-10-07</t>
        </is>
      </c>
      <c r="V216" t="inlineStr">
        <is>
          <t>2010-10-07</t>
        </is>
      </c>
      <c r="W216" t="inlineStr">
        <is>
          <t>2010-10-07</t>
        </is>
      </c>
      <c r="X216" t="inlineStr">
        <is>
          <t>2010-10-07</t>
        </is>
      </c>
      <c r="Y216" t="n">
        <v>299</v>
      </c>
      <c r="Z216" t="n">
        <v>228</v>
      </c>
      <c r="AA216" t="n">
        <v>246</v>
      </c>
      <c r="AB216" t="n">
        <v>4</v>
      </c>
      <c r="AC216" t="n">
        <v>4</v>
      </c>
      <c r="AD216" t="n">
        <v>16</v>
      </c>
      <c r="AE216" t="n">
        <v>16</v>
      </c>
      <c r="AF216" t="n">
        <v>5</v>
      </c>
      <c r="AG216" t="n">
        <v>5</v>
      </c>
      <c r="AH216" t="n">
        <v>6</v>
      </c>
      <c r="AI216" t="n">
        <v>6</v>
      </c>
      <c r="AJ216" t="n">
        <v>7</v>
      </c>
      <c r="AK216" t="n">
        <v>7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HYPERLINK("http://catalog.hathitrust.org/Record/003178004","HathiTrust Record")</f>
        <v/>
      </c>
      <c r="AS216">
        <f>HYPERLINK("https://creighton-primo.hosted.exlibrisgroup.com/primo-explore/search?tab=default_tab&amp;search_scope=EVERYTHING&amp;vid=01CRU&amp;lang=en_US&amp;offset=0&amp;query=any,contains,991005393199702656","Catalog Record")</f>
        <v/>
      </c>
      <c r="AT216">
        <f>HYPERLINK("http://www.worldcat.org/oclc/35723671","WorldCat Record")</f>
        <v/>
      </c>
      <c r="AU216" t="inlineStr">
        <is>
          <t>304797324:eng</t>
        </is>
      </c>
      <c r="AV216" t="inlineStr">
        <is>
          <t>35723671</t>
        </is>
      </c>
      <c r="AW216" t="inlineStr">
        <is>
          <t>991005393199702656</t>
        </is>
      </c>
      <c r="AX216" t="inlineStr">
        <is>
          <t>991005393199702656</t>
        </is>
      </c>
      <c r="AY216" t="inlineStr">
        <is>
          <t>2255107520002656</t>
        </is>
      </c>
      <c r="AZ216" t="inlineStr">
        <is>
          <t>BOOK</t>
        </is>
      </c>
      <c r="BB216" t="inlineStr">
        <is>
          <t>9780805817751</t>
        </is>
      </c>
      <c r="BC216" t="inlineStr">
        <is>
          <t>32285005599302</t>
        </is>
      </c>
      <c r="BD216" t="inlineStr">
        <is>
          <t>893443944</t>
        </is>
      </c>
    </row>
    <row r="217">
      <c r="A217" t="inlineStr">
        <is>
          <t>No</t>
        </is>
      </c>
      <c r="B217" t="inlineStr">
        <is>
          <t>P302 .C5614 1982</t>
        </is>
      </c>
      <c r="C217" t="inlineStr">
        <is>
          <t>0                      P  0302000C  5614        1982</t>
        </is>
      </c>
      <c r="D217" t="inlineStr">
        <is>
          <t>El lenguaje de la poesaia : teoraia de la poeticidad / Jean Cohen ; versiaon espaanola de Soledad Garcaia Mouton.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Cohen, Jean.</t>
        </is>
      </c>
      <c r="L217" t="inlineStr">
        <is>
          <t>Madrid : Gredos, 1982.</t>
        </is>
      </c>
      <c r="M217" t="inlineStr">
        <is>
          <t>1982</t>
        </is>
      </c>
      <c r="O217" t="inlineStr">
        <is>
          <t>spa</t>
        </is>
      </c>
      <c r="P217" t="inlineStr">
        <is>
          <t xml:space="preserve">sp </t>
        </is>
      </c>
      <c r="Q217" t="inlineStr">
        <is>
          <t>Biblioteca romaanica his*panica ; 2. Estudios y ensayos 322</t>
        </is>
      </c>
      <c r="R217" t="inlineStr">
        <is>
          <t xml:space="preserve">P  </t>
        </is>
      </c>
      <c r="S217" t="n">
        <v>1</v>
      </c>
      <c r="T217" t="n">
        <v>1</v>
      </c>
      <c r="U217" t="inlineStr">
        <is>
          <t>2004-08-03</t>
        </is>
      </c>
      <c r="V217" t="inlineStr">
        <is>
          <t>2004-08-03</t>
        </is>
      </c>
      <c r="W217" t="inlineStr">
        <is>
          <t>2004-08-03</t>
        </is>
      </c>
      <c r="X217" t="inlineStr">
        <is>
          <t>2004-08-03</t>
        </is>
      </c>
      <c r="Y217" t="n">
        <v>120</v>
      </c>
      <c r="Z217" t="n">
        <v>90</v>
      </c>
      <c r="AA217" t="n">
        <v>94</v>
      </c>
      <c r="AB217" t="n">
        <v>2</v>
      </c>
      <c r="AC217" t="n">
        <v>2</v>
      </c>
      <c r="AD217" t="n">
        <v>3</v>
      </c>
      <c r="AE217" t="n">
        <v>3</v>
      </c>
      <c r="AF217" t="n">
        <v>1</v>
      </c>
      <c r="AG217" t="n">
        <v>1</v>
      </c>
      <c r="AH217" t="n">
        <v>2</v>
      </c>
      <c r="AI217" t="n">
        <v>2</v>
      </c>
      <c r="AJ217" t="n">
        <v>1</v>
      </c>
      <c r="AK217" t="n">
        <v>1</v>
      </c>
      <c r="AL217" t="n">
        <v>1</v>
      </c>
      <c r="AM217" t="n">
        <v>1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HYPERLINK("http://catalog.hathitrust.org/Record/000320099","HathiTrust Record")</f>
        <v/>
      </c>
      <c r="AS217">
        <f>HYPERLINK("https://creighton-primo.hosted.exlibrisgroup.com/primo-explore/search?tab=default_tab&amp;search_scope=EVERYTHING&amp;vid=01CRU&amp;lang=en_US&amp;offset=0&amp;query=any,contains,991004334719702656","Catalog Record")</f>
        <v/>
      </c>
      <c r="AT217">
        <f>HYPERLINK("http://www.worldcat.org/oclc/9306381","WorldCat Record")</f>
        <v/>
      </c>
      <c r="AU217" t="inlineStr">
        <is>
          <t>287783157:spa</t>
        </is>
      </c>
      <c r="AV217" t="inlineStr">
        <is>
          <t>9306381</t>
        </is>
      </c>
      <c r="AW217" t="inlineStr">
        <is>
          <t>991004334719702656</t>
        </is>
      </c>
      <c r="AX217" t="inlineStr">
        <is>
          <t>991004334719702656</t>
        </is>
      </c>
      <c r="AY217" t="inlineStr">
        <is>
          <t>2259916600002656</t>
        </is>
      </c>
      <c r="AZ217" t="inlineStr">
        <is>
          <t>BOOK</t>
        </is>
      </c>
      <c r="BB217" t="inlineStr">
        <is>
          <t>9788424908454</t>
        </is>
      </c>
      <c r="BC217" t="inlineStr">
        <is>
          <t>32285004927314</t>
        </is>
      </c>
      <c r="BD217" t="inlineStr">
        <is>
          <t>893411398</t>
        </is>
      </c>
    </row>
    <row r="218">
      <c r="A218" t="inlineStr">
        <is>
          <t>No</t>
        </is>
      </c>
      <c r="B218" t="inlineStr">
        <is>
          <t>P302 .F63 1981</t>
        </is>
      </c>
      <c r="C218" t="inlineStr">
        <is>
          <t>0                      P  0302000F  63          1981</t>
        </is>
      </c>
      <c r="D218" t="inlineStr">
        <is>
          <t>Literature as social discourse : the practice of linguistic criticism / Roger Fowler.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Fowler, Roger.</t>
        </is>
      </c>
      <c r="L218" t="inlineStr">
        <is>
          <t>Bloomington : Indiana University Press, c1981.</t>
        </is>
      </c>
      <c r="M218" t="inlineStr">
        <is>
          <t>1981</t>
        </is>
      </c>
      <c r="O218" t="inlineStr">
        <is>
          <t>eng</t>
        </is>
      </c>
      <c r="P218" t="inlineStr">
        <is>
          <t>inu</t>
        </is>
      </c>
      <c r="R218" t="inlineStr">
        <is>
          <t xml:space="preserve">P  </t>
        </is>
      </c>
      <c r="S218" t="n">
        <v>8</v>
      </c>
      <c r="T218" t="n">
        <v>8</v>
      </c>
      <c r="U218" t="inlineStr">
        <is>
          <t>1999-10-07</t>
        </is>
      </c>
      <c r="V218" t="inlineStr">
        <is>
          <t>1999-10-07</t>
        </is>
      </c>
      <c r="W218" t="inlineStr">
        <is>
          <t>1992-10-08</t>
        </is>
      </c>
      <c r="X218" t="inlineStr">
        <is>
          <t>1992-10-08</t>
        </is>
      </c>
      <c r="Y218" t="n">
        <v>361</v>
      </c>
      <c r="Z218" t="n">
        <v>314</v>
      </c>
      <c r="AA218" t="n">
        <v>360</v>
      </c>
      <c r="AB218" t="n">
        <v>1</v>
      </c>
      <c r="AC218" t="n">
        <v>3</v>
      </c>
      <c r="AD218" t="n">
        <v>17</v>
      </c>
      <c r="AE218" t="n">
        <v>22</v>
      </c>
      <c r="AF218" t="n">
        <v>9</v>
      </c>
      <c r="AG218" t="n">
        <v>9</v>
      </c>
      <c r="AH218" t="n">
        <v>4</v>
      </c>
      <c r="AI218" t="n">
        <v>5</v>
      </c>
      <c r="AJ218" t="n">
        <v>9</v>
      </c>
      <c r="AK218" t="n">
        <v>12</v>
      </c>
      <c r="AL218" t="n">
        <v>0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HYPERLINK("http://catalog.hathitrust.org/Record/000261773","HathiTrust Record")</f>
        <v/>
      </c>
      <c r="AS218">
        <f>HYPERLINK("https://creighton-primo.hosted.exlibrisgroup.com/primo-explore/search?tab=default_tab&amp;search_scope=EVERYTHING&amp;vid=01CRU&amp;lang=en_US&amp;offset=0&amp;query=any,contains,991005387999702656","Catalog Record")</f>
        <v/>
      </c>
      <c r="AT218">
        <f>HYPERLINK("http://www.worldcat.org/oclc/7653730","WorldCat Record")</f>
        <v/>
      </c>
      <c r="AU218" t="inlineStr">
        <is>
          <t>9508495:eng</t>
        </is>
      </c>
      <c r="AV218" t="inlineStr">
        <is>
          <t>7653730</t>
        </is>
      </c>
      <c r="AW218" t="inlineStr">
        <is>
          <t>991005387999702656</t>
        </is>
      </c>
      <c r="AX218" t="inlineStr">
        <is>
          <t>991005387999702656</t>
        </is>
      </c>
      <c r="AY218" t="inlineStr">
        <is>
          <t>2258664070002656</t>
        </is>
      </c>
      <c r="AZ218" t="inlineStr">
        <is>
          <t>BOOK</t>
        </is>
      </c>
      <c r="BB218" t="inlineStr">
        <is>
          <t>9780253335111</t>
        </is>
      </c>
      <c r="BC218" t="inlineStr">
        <is>
          <t>32285001329779</t>
        </is>
      </c>
      <c r="BD218" t="inlineStr">
        <is>
          <t>893431435</t>
        </is>
      </c>
    </row>
    <row r="219">
      <c r="A219" t="inlineStr">
        <is>
          <t>No</t>
        </is>
      </c>
      <c r="B219" t="inlineStr">
        <is>
          <t>P302 .F72 1993</t>
        </is>
      </c>
      <c r="C219" t="inlineStr">
        <is>
          <t>0                      P  0302000F  72          1993</t>
        </is>
      </c>
      <c r="D219" t="inlineStr">
        <is>
          <t>Framing in discourse / edited by Deborah Tannen.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New York : Oxford University Press, 1993.</t>
        </is>
      </c>
      <c r="M219" t="inlineStr">
        <is>
          <t>1993</t>
        </is>
      </c>
      <c r="O219" t="inlineStr">
        <is>
          <t>eng</t>
        </is>
      </c>
      <c r="P219" t="inlineStr">
        <is>
          <t>nyu</t>
        </is>
      </c>
      <c r="R219" t="inlineStr">
        <is>
          <t xml:space="preserve">P  </t>
        </is>
      </c>
      <c r="S219" t="n">
        <v>4</v>
      </c>
      <c r="T219" t="n">
        <v>4</v>
      </c>
      <c r="U219" t="inlineStr">
        <is>
          <t>2008-04-09</t>
        </is>
      </c>
      <c r="V219" t="inlineStr">
        <is>
          <t>2008-04-09</t>
        </is>
      </c>
      <c r="W219" t="inlineStr">
        <is>
          <t>1996-01-10</t>
        </is>
      </c>
      <c r="X219" t="inlineStr">
        <is>
          <t>1996-01-10</t>
        </is>
      </c>
      <c r="Y219" t="n">
        <v>514</v>
      </c>
      <c r="Z219" t="n">
        <v>365</v>
      </c>
      <c r="AA219" t="n">
        <v>366</v>
      </c>
      <c r="AB219" t="n">
        <v>4</v>
      </c>
      <c r="AC219" t="n">
        <v>4</v>
      </c>
      <c r="AD219" t="n">
        <v>17</v>
      </c>
      <c r="AE219" t="n">
        <v>17</v>
      </c>
      <c r="AF219" t="n">
        <v>6</v>
      </c>
      <c r="AG219" t="n">
        <v>6</v>
      </c>
      <c r="AH219" t="n">
        <v>3</v>
      </c>
      <c r="AI219" t="n">
        <v>3</v>
      </c>
      <c r="AJ219" t="n">
        <v>8</v>
      </c>
      <c r="AK219" t="n">
        <v>8</v>
      </c>
      <c r="AL219" t="n">
        <v>3</v>
      </c>
      <c r="AM219" t="n">
        <v>3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HYPERLINK("https://creighton-primo.hosted.exlibrisgroup.com/primo-explore/search?tab=default_tab&amp;search_scope=EVERYTHING&amp;vid=01CRU&amp;lang=en_US&amp;offset=0&amp;query=any,contains,991002053299702656","Catalog Record")</f>
        <v/>
      </c>
      <c r="AT219">
        <f>HYPERLINK("http://www.worldcat.org/oclc/26218952","WorldCat Record")</f>
        <v/>
      </c>
      <c r="AU219" t="inlineStr">
        <is>
          <t>28917152:eng</t>
        </is>
      </c>
      <c r="AV219" t="inlineStr">
        <is>
          <t>26218952</t>
        </is>
      </c>
      <c r="AW219" t="inlineStr">
        <is>
          <t>991002053299702656</t>
        </is>
      </c>
      <c r="AX219" t="inlineStr">
        <is>
          <t>991002053299702656</t>
        </is>
      </c>
      <c r="AY219" t="inlineStr">
        <is>
          <t>2265246630002656</t>
        </is>
      </c>
      <c r="AZ219" t="inlineStr">
        <is>
          <t>BOOK</t>
        </is>
      </c>
      <c r="BB219" t="inlineStr">
        <is>
          <t>9780195079951</t>
        </is>
      </c>
      <c r="BC219" t="inlineStr">
        <is>
          <t>32285002116563</t>
        </is>
      </c>
      <c r="BD219" t="inlineStr">
        <is>
          <t>893684902</t>
        </is>
      </c>
    </row>
    <row r="220">
      <c r="A220" t="inlineStr">
        <is>
          <t>No</t>
        </is>
      </c>
      <c r="B220" t="inlineStr">
        <is>
          <t>P302 .O6 1981</t>
        </is>
      </c>
      <c r="C220" t="inlineStr">
        <is>
          <t>0                      P  0302000O  6           1981</t>
        </is>
      </c>
      <c r="D220" t="inlineStr">
        <is>
          <t>On narrative / edited by W. J. T. Mitchell.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L220" t="inlineStr">
        <is>
          <t>Chicago : University of Chicago Press, 1981.</t>
        </is>
      </c>
      <c r="M220" t="inlineStr">
        <is>
          <t>1981</t>
        </is>
      </c>
      <c r="O220" t="inlineStr">
        <is>
          <t>eng</t>
        </is>
      </c>
      <c r="P220" t="inlineStr">
        <is>
          <t>ilu</t>
        </is>
      </c>
      <c r="R220" t="inlineStr">
        <is>
          <t xml:space="preserve">P  </t>
        </is>
      </c>
      <c r="S220" t="n">
        <v>7</v>
      </c>
      <c r="T220" t="n">
        <v>7</v>
      </c>
      <c r="U220" t="inlineStr">
        <is>
          <t>2006-01-18</t>
        </is>
      </c>
      <c r="V220" t="inlineStr">
        <is>
          <t>2006-01-18</t>
        </is>
      </c>
      <c r="W220" t="inlineStr">
        <is>
          <t>1990-03-12</t>
        </is>
      </c>
      <c r="X220" t="inlineStr">
        <is>
          <t>1990-03-12</t>
        </is>
      </c>
      <c r="Y220" t="n">
        <v>631</v>
      </c>
      <c r="Z220" t="n">
        <v>460</v>
      </c>
      <c r="AA220" t="n">
        <v>468</v>
      </c>
      <c r="AB220" t="n">
        <v>3</v>
      </c>
      <c r="AC220" t="n">
        <v>3</v>
      </c>
      <c r="AD220" t="n">
        <v>31</v>
      </c>
      <c r="AE220" t="n">
        <v>31</v>
      </c>
      <c r="AF220" t="n">
        <v>13</v>
      </c>
      <c r="AG220" t="n">
        <v>13</v>
      </c>
      <c r="AH220" t="n">
        <v>7</v>
      </c>
      <c r="AI220" t="n">
        <v>7</v>
      </c>
      <c r="AJ220" t="n">
        <v>17</v>
      </c>
      <c r="AK220" t="n">
        <v>17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HYPERLINK("http://catalog.hathitrust.org/Record/000392287","HathiTrust Record")</f>
        <v/>
      </c>
      <c r="AS220">
        <f>HYPERLINK("https://creighton-primo.hosted.exlibrisgroup.com/primo-explore/search?tab=default_tab&amp;search_scope=EVERYTHING&amp;vid=01CRU&amp;lang=en_US&amp;offset=0&amp;query=any,contains,991005041089702656","Catalog Record")</f>
        <v/>
      </c>
      <c r="AT220">
        <f>HYPERLINK("http://www.worldcat.org/oclc/6790570","WorldCat Record")</f>
        <v/>
      </c>
      <c r="AU220" t="inlineStr">
        <is>
          <t>194993487:eng</t>
        </is>
      </c>
      <c r="AV220" t="inlineStr">
        <is>
          <t>6790570</t>
        </is>
      </c>
      <c r="AW220" t="inlineStr">
        <is>
          <t>991005041089702656</t>
        </is>
      </c>
      <c r="AX220" t="inlineStr">
        <is>
          <t>991005041089702656</t>
        </is>
      </c>
      <c r="AY220" t="inlineStr">
        <is>
          <t>2271751420002656</t>
        </is>
      </c>
      <c r="AZ220" t="inlineStr">
        <is>
          <t>BOOK</t>
        </is>
      </c>
      <c r="BB220" t="inlineStr">
        <is>
          <t>9780226532172</t>
        </is>
      </c>
      <c r="BC220" t="inlineStr">
        <is>
          <t>32285000080001</t>
        </is>
      </c>
      <c r="BD220" t="inlineStr">
        <is>
          <t>893883249</t>
        </is>
      </c>
    </row>
    <row r="221">
      <c r="A221" t="inlineStr">
        <is>
          <t>No</t>
        </is>
      </c>
      <c r="B221" t="inlineStr">
        <is>
          <t>P302 .P67 1987</t>
        </is>
      </c>
      <c r="C221" t="inlineStr">
        <is>
          <t>0                      P  0302000P  67          1987</t>
        </is>
      </c>
      <c r="D221" t="inlineStr">
        <is>
          <t>Discourse and social psychology : beyond attitudes and behaviour / Jonathan Potter and Margaret Wetherell.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Potter, Jonathan, 1956-</t>
        </is>
      </c>
      <c r="L221" t="inlineStr">
        <is>
          <t>London ; Newbury Park, Calif. : Sage Publications, 1987.</t>
        </is>
      </c>
      <c r="M221" t="inlineStr">
        <is>
          <t>1987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P  </t>
        </is>
      </c>
      <c r="S221" t="n">
        <v>4</v>
      </c>
      <c r="T221" t="n">
        <v>4</v>
      </c>
      <c r="U221" t="inlineStr">
        <is>
          <t>2000-04-26</t>
        </is>
      </c>
      <c r="V221" t="inlineStr">
        <is>
          <t>2000-04-26</t>
        </is>
      </c>
      <c r="W221" t="inlineStr">
        <is>
          <t>1993-04-06</t>
        </is>
      </c>
      <c r="X221" t="inlineStr">
        <is>
          <t>1993-04-06</t>
        </is>
      </c>
      <c r="Y221" t="n">
        <v>642</v>
      </c>
      <c r="Z221" t="n">
        <v>385</v>
      </c>
      <c r="AA221" t="n">
        <v>387</v>
      </c>
      <c r="AB221" t="n">
        <v>3</v>
      </c>
      <c r="AC221" t="n">
        <v>3</v>
      </c>
      <c r="AD221" t="n">
        <v>20</v>
      </c>
      <c r="AE221" t="n">
        <v>20</v>
      </c>
      <c r="AF221" t="n">
        <v>7</v>
      </c>
      <c r="AG221" t="n">
        <v>7</v>
      </c>
      <c r="AH221" t="n">
        <v>5</v>
      </c>
      <c r="AI221" t="n">
        <v>5</v>
      </c>
      <c r="AJ221" t="n">
        <v>11</v>
      </c>
      <c r="AK221" t="n">
        <v>11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HYPERLINK("http://catalog.hathitrust.org/Record/000847929","HathiTrust Record")</f>
        <v/>
      </c>
      <c r="AS221">
        <f>HYPERLINK("https://creighton-primo.hosted.exlibrisgroup.com/primo-explore/search?tab=default_tab&amp;search_scope=EVERYTHING&amp;vid=01CRU&amp;lang=en_US&amp;offset=0&amp;query=any,contains,991001109149702656","Catalog Record")</f>
        <v/>
      </c>
      <c r="AT221">
        <f>HYPERLINK("http://www.worldcat.org/oclc/16462607","WorldCat Record")</f>
        <v/>
      </c>
      <c r="AU221" t="inlineStr">
        <is>
          <t>325366608:eng</t>
        </is>
      </c>
      <c r="AV221" t="inlineStr">
        <is>
          <t>16462607</t>
        </is>
      </c>
      <c r="AW221" t="inlineStr">
        <is>
          <t>991001109149702656</t>
        </is>
      </c>
      <c r="AX221" t="inlineStr">
        <is>
          <t>991001109149702656</t>
        </is>
      </c>
      <c r="AY221" t="inlineStr">
        <is>
          <t>2268784520002656</t>
        </is>
      </c>
      <c r="AZ221" t="inlineStr">
        <is>
          <t>BOOK</t>
        </is>
      </c>
      <c r="BB221" t="inlineStr">
        <is>
          <t>9780803980563</t>
        </is>
      </c>
      <c r="BC221" t="inlineStr">
        <is>
          <t>32285001613941</t>
        </is>
      </c>
      <c r="BD221" t="inlineStr">
        <is>
          <t>893772317</t>
        </is>
      </c>
    </row>
    <row r="222">
      <c r="A222" t="inlineStr">
        <is>
          <t>No</t>
        </is>
      </c>
      <c r="B222" t="inlineStr">
        <is>
          <t>P302 .S77 1983</t>
        </is>
      </c>
      <c r="C222" t="inlineStr">
        <is>
          <t>0                      P  0302000S  77          1983</t>
        </is>
      </c>
      <c r="D222" t="inlineStr">
        <is>
          <t>Discourse analysis : the sociolinguistic analysis of natural language / Michael Stubbs.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Stubbs, Michael, 1947-</t>
        </is>
      </c>
      <c r="L222" t="inlineStr">
        <is>
          <t>Chicago : University of Chicago Press ; Oxford, [Oxfordshire] : B. Blackwell, 1983.</t>
        </is>
      </c>
      <c r="M222" t="inlineStr">
        <is>
          <t>1983</t>
        </is>
      </c>
      <c r="O222" t="inlineStr">
        <is>
          <t>eng</t>
        </is>
      </c>
      <c r="P222" t="inlineStr">
        <is>
          <t>ilu</t>
        </is>
      </c>
      <c r="Q222" t="inlineStr">
        <is>
          <t>Language in society ; 4</t>
        </is>
      </c>
      <c r="R222" t="inlineStr">
        <is>
          <t xml:space="preserve">P  </t>
        </is>
      </c>
      <c r="S222" t="n">
        <v>6</v>
      </c>
      <c r="T222" t="n">
        <v>6</v>
      </c>
      <c r="U222" t="inlineStr">
        <is>
          <t>1997-09-21</t>
        </is>
      </c>
      <c r="V222" t="inlineStr">
        <is>
          <t>1997-09-21</t>
        </is>
      </c>
      <c r="W222" t="inlineStr">
        <is>
          <t>1993-04-06</t>
        </is>
      </c>
      <c r="X222" t="inlineStr">
        <is>
          <t>1993-04-06</t>
        </is>
      </c>
      <c r="Y222" t="n">
        <v>493</v>
      </c>
      <c r="Z222" t="n">
        <v>371</v>
      </c>
      <c r="AA222" t="n">
        <v>405</v>
      </c>
      <c r="AB222" t="n">
        <v>4</v>
      </c>
      <c r="AC222" t="n">
        <v>5</v>
      </c>
      <c r="AD222" t="n">
        <v>20</v>
      </c>
      <c r="AE222" t="n">
        <v>22</v>
      </c>
      <c r="AF222" t="n">
        <v>8</v>
      </c>
      <c r="AG222" t="n">
        <v>8</v>
      </c>
      <c r="AH222" t="n">
        <v>6</v>
      </c>
      <c r="AI222" t="n">
        <v>6</v>
      </c>
      <c r="AJ222" t="n">
        <v>10</v>
      </c>
      <c r="AK222" t="n">
        <v>11</v>
      </c>
      <c r="AL222" t="n">
        <v>3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HYPERLINK("https://creighton-primo.hosted.exlibrisgroup.com/primo-explore/search?tab=default_tab&amp;search_scope=EVERYTHING&amp;vid=01CRU&amp;lang=en_US&amp;offset=0&amp;query=any,contains,991000183179702656","Catalog Record")</f>
        <v/>
      </c>
      <c r="AT222">
        <f>HYPERLINK("http://www.worldcat.org/oclc/9392863","WorldCat Record")</f>
        <v/>
      </c>
      <c r="AU222" t="inlineStr">
        <is>
          <t>43091596:eng</t>
        </is>
      </c>
      <c r="AV222" t="inlineStr">
        <is>
          <t>9392863</t>
        </is>
      </c>
      <c r="AW222" t="inlineStr">
        <is>
          <t>991000183179702656</t>
        </is>
      </c>
      <c r="AX222" t="inlineStr">
        <is>
          <t>991000183179702656</t>
        </is>
      </c>
      <c r="AY222" t="inlineStr">
        <is>
          <t>2268719880002656</t>
        </is>
      </c>
      <c r="AZ222" t="inlineStr">
        <is>
          <t>BOOK</t>
        </is>
      </c>
      <c r="BB222" t="inlineStr">
        <is>
          <t>9780226778334</t>
        </is>
      </c>
      <c r="BC222" t="inlineStr">
        <is>
          <t>32285001613966</t>
        </is>
      </c>
      <c r="BD222" t="inlineStr">
        <is>
          <t>893527878</t>
        </is>
      </c>
    </row>
    <row r="223">
      <c r="A223" t="inlineStr">
        <is>
          <t>No</t>
        </is>
      </c>
      <c r="B223" t="inlineStr">
        <is>
          <t>P302.7 .H64 1989</t>
        </is>
      </c>
      <c r="C223" t="inlineStr">
        <is>
          <t>0                      P  0302700H  64          1989</t>
        </is>
      </c>
      <c r="D223" t="inlineStr">
        <is>
          <t>A tale of two stories : excursions into a narrative approach to psychology / George S. Howard.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Howard, George S.</t>
        </is>
      </c>
      <c r="L223" t="inlineStr">
        <is>
          <t>Notre Dame, Ind. : Academic Publications, 1989.</t>
        </is>
      </c>
      <c r="M223" t="inlineStr">
        <is>
          <t>1989</t>
        </is>
      </c>
      <c r="O223" t="inlineStr">
        <is>
          <t>eng</t>
        </is>
      </c>
      <c r="P223" t="inlineStr">
        <is>
          <t>inu</t>
        </is>
      </c>
      <c r="R223" t="inlineStr">
        <is>
          <t xml:space="preserve">P  </t>
        </is>
      </c>
      <c r="S223" t="n">
        <v>3</v>
      </c>
      <c r="T223" t="n">
        <v>3</v>
      </c>
      <c r="U223" t="inlineStr">
        <is>
          <t>2000-09-21</t>
        </is>
      </c>
      <c r="V223" t="inlineStr">
        <is>
          <t>2000-09-21</t>
        </is>
      </c>
      <c r="W223" t="inlineStr">
        <is>
          <t>1997-10-22</t>
        </is>
      </c>
      <c r="X223" t="inlineStr">
        <is>
          <t>1997-10-22</t>
        </is>
      </c>
      <c r="Y223" t="n">
        <v>95</v>
      </c>
      <c r="Z223" t="n">
        <v>85</v>
      </c>
      <c r="AA223" t="n">
        <v>87</v>
      </c>
      <c r="AB223" t="n">
        <v>1</v>
      </c>
      <c r="AC223" t="n">
        <v>1</v>
      </c>
      <c r="AD223" t="n">
        <v>10</v>
      </c>
      <c r="AE223" t="n">
        <v>10</v>
      </c>
      <c r="AF223" t="n">
        <v>3</v>
      </c>
      <c r="AG223" t="n">
        <v>3</v>
      </c>
      <c r="AH223" t="n">
        <v>4</v>
      </c>
      <c r="AI223" t="n">
        <v>4</v>
      </c>
      <c r="AJ223" t="n">
        <v>6</v>
      </c>
      <c r="AK223" t="n">
        <v>6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HYPERLINK("http://catalog.hathitrust.org/Record/007480801","HathiTrust Record")</f>
        <v/>
      </c>
      <c r="AS223">
        <f>HYPERLINK("https://creighton-primo.hosted.exlibrisgroup.com/primo-explore/search?tab=default_tab&amp;search_scope=EVERYTHING&amp;vid=01CRU&amp;lang=en_US&amp;offset=0&amp;query=any,contains,991001463969702656","Catalog Record")</f>
        <v/>
      </c>
      <c r="AT223">
        <f>HYPERLINK("http://www.worldcat.org/oclc/19464800","WorldCat Record")</f>
        <v/>
      </c>
      <c r="AU223" t="inlineStr">
        <is>
          <t>906131544:eng</t>
        </is>
      </c>
      <c r="AV223" t="inlineStr">
        <is>
          <t>19464800</t>
        </is>
      </c>
      <c r="AW223" t="inlineStr">
        <is>
          <t>991001463969702656</t>
        </is>
      </c>
      <c r="AX223" t="inlineStr">
        <is>
          <t>991001463969702656</t>
        </is>
      </c>
      <c r="AY223" t="inlineStr">
        <is>
          <t>2258549770002656</t>
        </is>
      </c>
      <c r="AZ223" t="inlineStr">
        <is>
          <t>BOOK</t>
        </is>
      </c>
      <c r="BB223" t="inlineStr">
        <is>
          <t>9780937647028</t>
        </is>
      </c>
      <c r="BC223" t="inlineStr">
        <is>
          <t>32285003257432</t>
        </is>
      </c>
      <c r="BD223" t="inlineStr">
        <is>
          <t>893772615</t>
        </is>
      </c>
    </row>
    <row r="224">
      <c r="A224" t="inlineStr">
        <is>
          <t>No</t>
        </is>
      </c>
      <c r="B224" t="inlineStr">
        <is>
          <t>P302.7 .Y68 1987</t>
        </is>
      </c>
      <c r="C224" t="inlineStr">
        <is>
          <t>0                      P  0302700Y  68          1987</t>
        </is>
      </c>
      <c r="D224" t="inlineStr">
        <is>
          <t>Taleworlds and storyrealms : the phenomenology of narrative / by Katharine Galloway Young.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Young, Katharine Galloway.</t>
        </is>
      </c>
      <c r="L224" t="inlineStr">
        <is>
          <t>Dordrecht ; Boston : Nijhoff ; Hingham, MA : Distributors for the U.S. and Canada, Kluwer Academic Publishers, 1987.</t>
        </is>
      </c>
      <c r="M224" t="inlineStr">
        <is>
          <t>1987</t>
        </is>
      </c>
      <c r="O224" t="inlineStr">
        <is>
          <t>eng</t>
        </is>
      </c>
      <c r="P224" t="inlineStr">
        <is>
          <t xml:space="preserve">ne </t>
        </is>
      </c>
      <c r="Q224" t="inlineStr">
        <is>
          <t>Martinus Nijhoff philosophy library ; v. 16</t>
        </is>
      </c>
      <c r="R224" t="inlineStr">
        <is>
          <t xml:space="preserve">P  </t>
        </is>
      </c>
      <c r="S224" t="n">
        <v>9</v>
      </c>
      <c r="T224" t="n">
        <v>9</v>
      </c>
      <c r="U224" t="inlineStr">
        <is>
          <t>2004-08-13</t>
        </is>
      </c>
      <c r="V224" t="inlineStr">
        <is>
          <t>2004-08-13</t>
        </is>
      </c>
      <c r="W224" t="inlineStr">
        <is>
          <t>1993-04-06</t>
        </is>
      </c>
      <c r="X224" t="inlineStr">
        <is>
          <t>1993-04-06</t>
        </is>
      </c>
      <c r="Y224" t="n">
        <v>186</v>
      </c>
      <c r="Z224" t="n">
        <v>122</v>
      </c>
      <c r="AA224" t="n">
        <v>131</v>
      </c>
      <c r="AB224" t="n">
        <v>3</v>
      </c>
      <c r="AC224" t="n">
        <v>3</v>
      </c>
      <c r="AD224" t="n">
        <v>6</v>
      </c>
      <c r="AE224" t="n">
        <v>7</v>
      </c>
      <c r="AF224" t="n">
        <v>0</v>
      </c>
      <c r="AG224" t="n">
        <v>1</v>
      </c>
      <c r="AH224" t="n">
        <v>1</v>
      </c>
      <c r="AI224" t="n">
        <v>1</v>
      </c>
      <c r="AJ224" t="n">
        <v>4</v>
      </c>
      <c r="AK224" t="n">
        <v>5</v>
      </c>
      <c r="AL224" t="n">
        <v>2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HYPERLINK("https://creighton-primo.hosted.exlibrisgroup.com/primo-explore/search?tab=default_tab&amp;search_scope=EVERYTHING&amp;vid=01CRU&amp;lang=en_US&amp;offset=0&amp;query=any,contains,991000927199702656","Catalog Record")</f>
        <v/>
      </c>
      <c r="AT224">
        <f>HYPERLINK("http://www.worldcat.org/oclc/14241511","WorldCat Record")</f>
        <v/>
      </c>
      <c r="AU224" t="inlineStr">
        <is>
          <t>119213085:eng</t>
        </is>
      </c>
      <c r="AV224" t="inlineStr">
        <is>
          <t>14241511</t>
        </is>
      </c>
      <c r="AW224" t="inlineStr">
        <is>
          <t>991000927199702656</t>
        </is>
      </c>
      <c r="AX224" t="inlineStr">
        <is>
          <t>991000927199702656</t>
        </is>
      </c>
      <c r="AY224" t="inlineStr">
        <is>
          <t>2259309450002656</t>
        </is>
      </c>
      <c r="AZ224" t="inlineStr">
        <is>
          <t>BOOK</t>
        </is>
      </c>
      <c r="BB224" t="inlineStr">
        <is>
          <t>9789024734153</t>
        </is>
      </c>
      <c r="BC224" t="inlineStr">
        <is>
          <t>32285001613974</t>
        </is>
      </c>
      <c r="BD224" t="inlineStr">
        <is>
          <t>893715024</t>
        </is>
      </c>
    </row>
    <row r="225">
      <c r="A225" t="inlineStr">
        <is>
          <t>No</t>
        </is>
      </c>
      <c r="B225" t="inlineStr">
        <is>
          <t>P302.84 .S27 1995</t>
        </is>
      </c>
      <c r="C225" t="inlineStr">
        <is>
          <t>0                      P  0302840S  27          1995</t>
        </is>
      </c>
      <c r="D225" t="inlineStr">
        <is>
          <t>Crime talk : how citizens construct a social problem / Theodore Sasson.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Sasson, Theodore, 1965-</t>
        </is>
      </c>
      <c r="L225" t="inlineStr">
        <is>
          <t>Hawthorne, N.Y. : Aldine de Gruyter, c1995.</t>
        </is>
      </c>
      <c r="M225" t="inlineStr">
        <is>
          <t>1995</t>
        </is>
      </c>
      <c r="O225" t="inlineStr">
        <is>
          <t>eng</t>
        </is>
      </c>
      <c r="P225" t="inlineStr">
        <is>
          <t>nyu</t>
        </is>
      </c>
      <c r="Q225" t="inlineStr">
        <is>
          <t>Social problems and social issues</t>
        </is>
      </c>
      <c r="R225" t="inlineStr">
        <is>
          <t xml:space="preserve">P  </t>
        </is>
      </c>
      <c r="S225" t="n">
        <v>3</v>
      </c>
      <c r="T225" t="n">
        <v>3</v>
      </c>
      <c r="U225" t="inlineStr">
        <is>
          <t>2002-11-20</t>
        </is>
      </c>
      <c r="V225" t="inlineStr">
        <is>
          <t>2002-11-20</t>
        </is>
      </c>
      <c r="W225" t="inlineStr">
        <is>
          <t>1996-08-28</t>
        </is>
      </c>
      <c r="X225" t="inlineStr">
        <is>
          <t>1996-08-28</t>
        </is>
      </c>
      <c r="Y225" t="n">
        <v>506</v>
      </c>
      <c r="Z225" t="n">
        <v>420</v>
      </c>
      <c r="AA225" t="n">
        <v>425</v>
      </c>
      <c r="AB225" t="n">
        <v>4</v>
      </c>
      <c r="AC225" t="n">
        <v>4</v>
      </c>
      <c r="AD225" t="n">
        <v>26</v>
      </c>
      <c r="AE225" t="n">
        <v>26</v>
      </c>
      <c r="AF225" t="n">
        <v>8</v>
      </c>
      <c r="AG225" t="n">
        <v>8</v>
      </c>
      <c r="AH225" t="n">
        <v>6</v>
      </c>
      <c r="AI225" t="n">
        <v>6</v>
      </c>
      <c r="AJ225" t="n">
        <v>14</v>
      </c>
      <c r="AK225" t="n">
        <v>14</v>
      </c>
      <c r="AL225" t="n">
        <v>3</v>
      </c>
      <c r="AM225" t="n">
        <v>3</v>
      </c>
      <c r="AN225" t="n">
        <v>1</v>
      </c>
      <c r="AO225" t="n">
        <v>1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HYPERLINK("https://creighton-primo.hosted.exlibrisgroup.com/primo-explore/search?tab=default_tab&amp;search_scope=EVERYTHING&amp;vid=01CRU&amp;lang=en_US&amp;offset=0&amp;query=any,contains,991002515079702656","Catalog Record")</f>
        <v/>
      </c>
      <c r="AT225">
        <f>HYPERLINK("http://www.worldcat.org/oclc/32701962","WorldCat Record")</f>
        <v/>
      </c>
      <c r="AU225" t="inlineStr">
        <is>
          <t>806650237:eng</t>
        </is>
      </c>
      <c r="AV225" t="inlineStr">
        <is>
          <t>32701962</t>
        </is>
      </c>
      <c r="AW225" t="inlineStr">
        <is>
          <t>991002515079702656</t>
        </is>
      </c>
      <c r="AX225" t="inlineStr">
        <is>
          <t>991002515079702656</t>
        </is>
      </c>
      <c r="AY225" t="inlineStr">
        <is>
          <t>2268956350002656</t>
        </is>
      </c>
      <c r="AZ225" t="inlineStr">
        <is>
          <t>BOOK</t>
        </is>
      </c>
      <c r="BB225" t="inlineStr">
        <is>
          <t>9780202305462</t>
        </is>
      </c>
      <c r="BC225" t="inlineStr">
        <is>
          <t>32285002292687</t>
        </is>
      </c>
      <c r="BD225" t="inlineStr">
        <is>
          <t>893504480</t>
        </is>
      </c>
    </row>
    <row r="226">
      <c r="A226" t="inlineStr">
        <is>
          <t>No</t>
        </is>
      </c>
      <c r="B226" t="inlineStr">
        <is>
          <t>P306 .C33 1965</t>
        </is>
      </c>
      <c r="C226" t="inlineStr">
        <is>
          <t>0                      P  0306000C  33          1965</t>
        </is>
      </c>
      <c r="D226" t="inlineStr">
        <is>
          <t>A linguistic theory of translation; an essay in applied linguistics [by] J.C. Catford.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Catford, J. C. (John Cunnison), 1917-</t>
        </is>
      </c>
      <c r="L226" t="inlineStr">
        <is>
          <t>London, Oxford University Press, 1965.</t>
        </is>
      </c>
      <c r="M226" t="inlineStr">
        <is>
          <t>1965</t>
        </is>
      </c>
      <c r="O226" t="inlineStr">
        <is>
          <t>eng</t>
        </is>
      </c>
      <c r="P226" t="inlineStr">
        <is>
          <t>enk</t>
        </is>
      </c>
      <c r="Q226" t="inlineStr">
        <is>
          <t>Language and language learning</t>
        </is>
      </c>
      <c r="R226" t="inlineStr">
        <is>
          <t xml:space="preserve">P  </t>
        </is>
      </c>
      <c r="S226" t="n">
        <v>3</v>
      </c>
      <c r="T226" t="n">
        <v>3</v>
      </c>
      <c r="U226" t="inlineStr">
        <is>
          <t>2010-05-06</t>
        </is>
      </c>
      <c r="V226" t="inlineStr">
        <is>
          <t>2010-05-06</t>
        </is>
      </c>
      <c r="W226" t="inlineStr">
        <is>
          <t>1997-08-19</t>
        </is>
      </c>
      <c r="X226" t="inlineStr">
        <is>
          <t>1997-08-19</t>
        </is>
      </c>
      <c r="Y226" t="n">
        <v>585</v>
      </c>
      <c r="Z226" t="n">
        <v>388</v>
      </c>
      <c r="AA226" t="n">
        <v>398</v>
      </c>
      <c r="AB226" t="n">
        <v>3</v>
      </c>
      <c r="AC226" t="n">
        <v>3</v>
      </c>
      <c r="AD226" t="n">
        <v>17</v>
      </c>
      <c r="AE226" t="n">
        <v>17</v>
      </c>
      <c r="AF226" t="n">
        <v>4</v>
      </c>
      <c r="AG226" t="n">
        <v>4</v>
      </c>
      <c r="AH226" t="n">
        <v>3</v>
      </c>
      <c r="AI226" t="n">
        <v>3</v>
      </c>
      <c r="AJ226" t="n">
        <v>11</v>
      </c>
      <c r="AK226" t="n">
        <v>11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HYPERLINK("http://catalog.hathitrust.org/Record/000024766","HathiTrust Record")</f>
        <v/>
      </c>
      <c r="AS226">
        <f>HYPERLINK("https://creighton-primo.hosted.exlibrisgroup.com/primo-explore/search?tab=default_tab&amp;search_scope=EVERYTHING&amp;vid=01CRU&amp;lang=en_US&amp;offset=0&amp;query=any,contains,991003648379702656","Catalog Record")</f>
        <v/>
      </c>
      <c r="AT226">
        <f>HYPERLINK("http://www.worldcat.org/oclc/1251339","WorldCat Record")</f>
        <v/>
      </c>
      <c r="AU226" t="inlineStr">
        <is>
          <t>2163874:eng</t>
        </is>
      </c>
      <c r="AV226" t="inlineStr">
        <is>
          <t>1251339</t>
        </is>
      </c>
      <c r="AW226" t="inlineStr">
        <is>
          <t>991003648379702656</t>
        </is>
      </c>
      <c r="AX226" t="inlineStr">
        <is>
          <t>991003648379702656</t>
        </is>
      </c>
      <c r="AY226" t="inlineStr">
        <is>
          <t>2260587400002656</t>
        </is>
      </c>
      <c r="AZ226" t="inlineStr">
        <is>
          <t>BOOK</t>
        </is>
      </c>
      <c r="BC226" t="inlineStr">
        <is>
          <t>32285003098026</t>
        </is>
      </c>
      <c r="BD226" t="inlineStr">
        <is>
          <t>893799982</t>
        </is>
      </c>
    </row>
    <row r="227">
      <c r="A227" t="inlineStr">
        <is>
          <t>No</t>
        </is>
      </c>
      <c r="B227" t="inlineStr">
        <is>
          <t>P306 .G29 1989</t>
        </is>
      </c>
      <c r="C227" t="inlineStr">
        <is>
          <t>0                      P  0306000G  29          1989</t>
        </is>
      </c>
      <c r="D227" t="inlineStr">
        <is>
          <t>Teoría y práctica de la traducción / Valentín García Yebra ; prólogo de Dámaso Alonso.</t>
        </is>
      </c>
      <c r="E227" t="inlineStr">
        <is>
          <t>V.2</t>
        </is>
      </c>
      <c r="F227" t="inlineStr">
        <is>
          <t>Yes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García Yebra, Valentín.</t>
        </is>
      </c>
      <c r="L227" t="inlineStr">
        <is>
          <t>Madrid : Editorial Gredos, 1989.</t>
        </is>
      </c>
      <c r="M227" t="inlineStr">
        <is>
          <t>1989</t>
        </is>
      </c>
      <c r="N227" t="inlineStr">
        <is>
          <t>2a ed. rev.</t>
        </is>
      </c>
      <c r="O227" t="inlineStr">
        <is>
          <t>spa</t>
        </is>
      </c>
      <c r="P227" t="inlineStr">
        <is>
          <t xml:space="preserve">sp </t>
        </is>
      </c>
      <c r="Q227" t="inlineStr">
        <is>
          <t>Biblioteca románica hispánica. III, Manuales ; 53</t>
        </is>
      </c>
      <c r="R227" t="inlineStr">
        <is>
          <t xml:space="preserve">P  </t>
        </is>
      </c>
      <c r="S227" t="n">
        <v>2</v>
      </c>
      <c r="T227" t="n">
        <v>4</v>
      </c>
      <c r="V227" t="inlineStr">
        <is>
          <t>1994-08-11</t>
        </is>
      </c>
      <c r="W227" t="inlineStr">
        <is>
          <t>1994-06-20</t>
        </is>
      </c>
      <c r="X227" t="inlineStr">
        <is>
          <t>1994-07-20</t>
        </is>
      </c>
      <c r="Y227" t="n">
        <v>13</v>
      </c>
      <c r="Z227" t="n">
        <v>7</v>
      </c>
      <c r="AA227" t="n">
        <v>188</v>
      </c>
      <c r="AB227" t="n">
        <v>1</v>
      </c>
      <c r="AC227" t="n">
        <v>4</v>
      </c>
      <c r="AD227" t="n">
        <v>0</v>
      </c>
      <c r="AE227" t="n">
        <v>15</v>
      </c>
      <c r="AF227" t="n">
        <v>0</v>
      </c>
      <c r="AG227" t="n">
        <v>6</v>
      </c>
      <c r="AH227" t="n">
        <v>0</v>
      </c>
      <c r="AI227" t="n">
        <v>5</v>
      </c>
      <c r="AJ227" t="n">
        <v>0</v>
      </c>
      <c r="AK227" t="n">
        <v>5</v>
      </c>
      <c r="AL227" t="n">
        <v>0</v>
      </c>
      <c r="AM227" t="n">
        <v>3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HYPERLINK("https://creighton-primo.hosted.exlibrisgroup.com/primo-explore/search?tab=default_tab&amp;search_scope=EVERYTHING&amp;vid=01CRU&amp;lang=en_US&amp;offset=0&amp;query=any,contains,991002266849702656","Catalog Record")</f>
        <v/>
      </c>
      <c r="AT227">
        <f>HYPERLINK("http://www.worldcat.org/oclc/29396353","WorldCat Record")</f>
        <v/>
      </c>
      <c r="AU227" t="inlineStr">
        <is>
          <t>5246595:spa</t>
        </is>
      </c>
      <c r="AV227" t="inlineStr">
        <is>
          <t>29396353</t>
        </is>
      </c>
      <c r="AW227" t="inlineStr">
        <is>
          <t>991002266849702656</t>
        </is>
      </c>
      <c r="AX227" t="inlineStr">
        <is>
          <t>991002266849702656</t>
        </is>
      </c>
      <c r="AY227" t="inlineStr">
        <is>
          <t>2271994420002656</t>
        </is>
      </c>
      <c r="AZ227" t="inlineStr">
        <is>
          <t>BOOK</t>
        </is>
      </c>
      <c r="BB227" t="inlineStr">
        <is>
          <t>9780824909444</t>
        </is>
      </c>
      <c r="BC227" t="inlineStr">
        <is>
          <t>32285001923795</t>
        </is>
      </c>
      <c r="BD227" t="inlineStr">
        <is>
          <t>893226638</t>
        </is>
      </c>
    </row>
    <row r="228">
      <c r="A228" t="inlineStr">
        <is>
          <t>No</t>
        </is>
      </c>
      <c r="B228" t="inlineStr">
        <is>
          <t>P306 .G29 1989</t>
        </is>
      </c>
      <c r="C228" t="inlineStr">
        <is>
          <t>0                      P  0306000G  29          1989</t>
        </is>
      </c>
      <c r="D228" t="inlineStr">
        <is>
          <t>Teoría y práctica de la traducción / Valentín García Yebra ; prólogo de Dámaso Alonso.</t>
        </is>
      </c>
      <c r="E228" t="inlineStr">
        <is>
          <t>V.1</t>
        </is>
      </c>
      <c r="F228" t="inlineStr">
        <is>
          <t>Yes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García Yebra, Valentín.</t>
        </is>
      </c>
      <c r="L228" t="inlineStr">
        <is>
          <t>Madrid : Editorial Gredos, 1989.</t>
        </is>
      </c>
      <c r="M228" t="inlineStr">
        <is>
          <t>1989</t>
        </is>
      </c>
      <c r="N228" t="inlineStr">
        <is>
          <t>2a ed. rev.</t>
        </is>
      </c>
      <c r="O228" t="inlineStr">
        <is>
          <t>spa</t>
        </is>
      </c>
      <c r="P228" t="inlineStr">
        <is>
          <t xml:space="preserve">sp </t>
        </is>
      </c>
      <c r="Q228" t="inlineStr">
        <is>
          <t>Biblioteca románica hispánica. III, Manuales ; 53</t>
        </is>
      </c>
      <c r="R228" t="inlineStr">
        <is>
          <t xml:space="preserve">P  </t>
        </is>
      </c>
      <c r="S228" t="n">
        <v>2</v>
      </c>
      <c r="T228" t="n">
        <v>4</v>
      </c>
      <c r="U228" t="inlineStr">
        <is>
          <t>1994-08-11</t>
        </is>
      </c>
      <c r="V228" t="inlineStr">
        <is>
          <t>1994-08-11</t>
        </is>
      </c>
      <c r="W228" t="inlineStr">
        <is>
          <t>1994-07-20</t>
        </is>
      </c>
      <c r="X228" t="inlineStr">
        <is>
          <t>1994-07-20</t>
        </is>
      </c>
      <c r="Y228" t="n">
        <v>13</v>
      </c>
      <c r="Z228" t="n">
        <v>7</v>
      </c>
      <c r="AA228" t="n">
        <v>188</v>
      </c>
      <c r="AB228" t="n">
        <v>1</v>
      </c>
      <c r="AC228" t="n">
        <v>4</v>
      </c>
      <c r="AD228" t="n">
        <v>0</v>
      </c>
      <c r="AE228" t="n">
        <v>15</v>
      </c>
      <c r="AF228" t="n">
        <v>0</v>
      </c>
      <c r="AG228" t="n">
        <v>6</v>
      </c>
      <c r="AH228" t="n">
        <v>0</v>
      </c>
      <c r="AI228" t="n">
        <v>5</v>
      </c>
      <c r="AJ228" t="n">
        <v>0</v>
      </c>
      <c r="AK228" t="n">
        <v>5</v>
      </c>
      <c r="AL228" t="n">
        <v>0</v>
      </c>
      <c r="AM228" t="n">
        <v>3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HYPERLINK("https://creighton-primo.hosted.exlibrisgroup.com/primo-explore/search?tab=default_tab&amp;search_scope=EVERYTHING&amp;vid=01CRU&amp;lang=en_US&amp;offset=0&amp;query=any,contains,991002266849702656","Catalog Record")</f>
        <v/>
      </c>
      <c r="AT228">
        <f>HYPERLINK("http://www.worldcat.org/oclc/29396353","WorldCat Record")</f>
        <v/>
      </c>
      <c r="AU228" t="inlineStr">
        <is>
          <t>5246595:spa</t>
        </is>
      </c>
      <c r="AV228" t="inlineStr">
        <is>
          <t>29396353</t>
        </is>
      </c>
      <c r="AW228" t="inlineStr">
        <is>
          <t>991002266849702656</t>
        </is>
      </c>
      <c r="AX228" t="inlineStr">
        <is>
          <t>991002266849702656</t>
        </is>
      </c>
      <c r="AY228" t="inlineStr">
        <is>
          <t>2271994420002656</t>
        </is>
      </c>
      <c r="AZ228" t="inlineStr">
        <is>
          <t>BOOK</t>
        </is>
      </c>
      <c r="BB228" t="inlineStr">
        <is>
          <t>9780824909444</t>
        </is>
      </c>
      <c r="BC228" t="inlineStr">
        <is>
          <t>32285001932333</t>
        </is>
      </c>
      <c r="BD228" t="inlineStr">
        <is>
          <t>893232758</t>
        </is>
      </c>
    </row>
    <row r="229">
      <c r="A229" t="inlineStr">
        <is>
          <t>No</t>
        </is>
      </c>
      <c r="B229" t="inlineStr">
        <is>
          <t>P306 .N5</t>
        </is>
      </c>
      <c r="C229" t="inlineStr">
        <is>
          <t>0                      P  0306000N  5</t>
        </is>
      </c>
      <c r="D229" t="inlineStr">
        <is>
          <t>Toward a science of translating, with special reference to principles and procedures involved in Bible translating, by Eugene A. Nida.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Nida, Eugene A. (Eugene Albert), 1914-2011.</t>
        </is>
      </c>
      <c r="L229" t="inlineStr">
        <is>
          <t>Leiden, E.J. Brill, 1964.</t>
        </is>
      </c>
      <c r="M229" t="inlineStr">
        <is>
          <t>1964</t>
        </is>
      </c>
      <c r="O229" t="inlineStr">
        <is>
          <t>eng</t>
        </is>
      </c>
      <c r="P229" t="inlineStr">
        <is>
          <t xml:space="preserve">ne </t>
        </is>
      </c>
      <c r="R229" t="inlineStr">
        <is>
          <t xml:space="preserve">P  </t>
        </is>
      </c>
      <c r="S229" t="n">
        <v>2</v>
      </c>
      <c r="T229" t="n">
        <v>2</v>
      </c>
      <c r="U229" t="inlineStr">
        <is>
          <t>2007-09-26</t>
        </is>
      </c>
      <c r="V229" t="inlineStr">
        <is>
          <t>2007-09-26</t>
        </is>
      </c>
      <c r="W229" t="inlineStr">
        <is>
          <t>1997-08-19</t>
        </is>
      </c>
      <c r="X229" t="inlineStr">
        <is>
          <t>1997-08-19</t>
        </is>
      </c>
      <c r="Y229" t="n">
        <v>739</v>
      </c>
      <c r="Z229" t="n">
        <v>521</v>
      </c>
      <c r="AA229" t="n">
        <v>546</v>
      </c>
      <c r="AB229" t="n">
        <v>6</v>
      </c>
      <c r="AC229" t="n">
        <v>6</v>
      </c>
      <c r="AD229" t="n">
        <v>23</v>
      </c>
      <c r="AE229" t="n">
        <v>25</v>
      </c>
      <c r="AF229" t="n">
        <v>7</v>
      </c>
      <c r="AG229" t="n">
        <v>7</v>
      </c>
      <c r="AH229" t="n">
        <v>4</v>
      </c>
      <c r="AI229" t="n">
        <v>6</v>
      </c>
      <c r="AJ229" t="n">
        <v>12</v>
      </c>
      <c r="AK229" t="n">
        <v>13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HYPERLINK("http://catalog.hathitrust.org/Record/001436237","HathiTrust Record")</f>
        <v/>
      </c>
      <c r="AS229">
        <f>HYPERLINK("https://creighton-primo.hosted.exlibrisgroup.com/primo-explore/search?tab=default_tab&amp;search_scope=EVERYTHING&amp;vid=01CRU&amp;lang=en_US&amp;offset=0&amp;query=any,contains,991003254129702656","Catalog Record")</f>
        <v/>
      </c>
      <c r="AT229">
        <f>HYPERLINK("http://www.worldcat.org/oclc/778941","WorldCat Record")</f>
        <v/>
      </c>
      <c r="AU229" t="inlineStr">
        <is>
          <t>837835:eng</t>
        </is>
      </c>
      <c r="AV229" t="inlineStr">
        <is>
          <t>778941</t>
        </is>
      </c>
      <c r="AW229" t="inlineStr">
        <is>
          <t>991003254129702656</t>
        </is>
      </c>
      <c r="AX229" t="inlineStr">
        <is>
          <t>991003254129702656</t>
        </is>
      </c>
      <c r="AY229" t="inlineStr">
        <is>
          <t>2265399160002656</t>
        </is>
      </c>
      <c r="AZ229" t="inlineStr">
        <is>
          <t>BOOK</t>
        </is>
      </c>
      <c r="BC229" t="inlineStr">
        <is>
          <t>32285003098034</t>
        </is>
      </c>
      <c r="BD229" t="inlineStr">
        <is>
          <t>893348486</t>
        </is>
      </c>
    </row>
    <row r="230">
      <c r="A230" t="inlineStr">
        <is>
          <t>No</t>
        </is>
      </c>
      <c r="B230" t="inlineStr">
        <is>
          <t>P306.2 .M4 1978b</t>
        </is>
      </c>
      <c r="C230" t="inlineStr">
        <is>
          <t>0                      P  0306200M  4           1978b</t>
        </is>
      </c>
      <c r="D230" t="inlineStr">
        <is>
          <t>Meaning and translation : philosophical and linguistic approaches / edited by F. Guenthner and M. Guenthner-Reutter.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New York : New York University Press, 1978.</t>
        </is>
      </c>
      <c r="M230" t="inlineStr">
        <is>
          <t>1978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P  </t>
        </is>
      </c>
      <c r="S230" t="n">
        <v>8</v>
      </c>
      <c r="T230" t="n">
        <v>8</v>
      </c>
      <c r="U230" t="inlineStr">
        <is>
          <t>1995-12-20</t>
        </is>
      </c>
      <c r="V230" t="inlineStr">
        <is>
          <t>1995-12-20</t>
        </is>
      </c>
      <c r="W230" t="inlineStr">
        <is>
          <t>1993-04-06</t>
        </is>
      </c>
      <c r="X230" t="inlineStr">
        <is>
          <t>1993-04-06</t>
        </is>
      </c>
      <c r="Y230" t="n">
        <v>331</v>
      </c>
      <c r="Z230" t="n">
        <v>302</v>
      </c>
      <c r="AA230" t="n">
        <v>367</v>
      </c>
      <c r="AB230" t="n">
        <v>1</v>
      </c>
      <c r="AC230" t="n">
        <v>3</v>
      </c>
      <c r="AD230" t="n">
        <v>13</v>
      </c>
      <c r="AE230" t="n">
        <v>18</v>
      </c>
      <c r="AF230" t="n">
        <v>7</v>
      </c>
      <c r="AG230" t="n">
        <v>7</v>
      </c>
      <c r="AH230" t="n">
        <v>2</v>
      </c>
      <c r="AI230" t="n">
        <v>4</v>
      </c>
      <c r="AJ230" t="n">
        <v>7</v>
      </c>
      <c r="AK230" t="n">
        <v>9</v>
      </c>
      <c r="AL230" t="n">
        <v>0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HYPERLINK("http://catalog.hathitrust.org/Record/007115364","HathiTrust Record")</f>
        <v/>
      </c>
      <c r="AS230">
        <f>HYPERLINK("https://creighton-primo.hosted.exlibrisgroup.com/primo-explore/search?tab=default_tab&amp;search_scope=EVERYTHING&amp;vid=01CRU&amp;lang=en_US&amp;offset=0&amp;query=any,contains,991004623739702656","Catalog Record")</f>
        <v/>
      </c>
      <c r="AT230">
        <f>HYPERLINK("http://www.worldcat.org/oclc/4319165","WorldCat Record")</f>
        <v/>
      </c>
      <c r="AU230" t="inlineStr">
        <is>
          <t>867831391:eng</t>
        </is>
      </c>
      <c r="AV230" t="inlineStr">
        <is>
          <t>4319165</t>
        </is>
      </c>
      <c r="AW230" t="inlineStr">
        <is>
          <t>991004623739702656</t>
        </is>
      </c>
      <c r="AX230" t="inlineStr">
        <is>
          <t>991004623739702656</t>
        </is>
      </c>
      <c r="AY230" t="inlineStr">
        <is>
          <t>2272190260002656</t>
        </is>
      </c>
      <c r="AZ230" t="inlineStr">
        <is>
          <t>BOOK</t>
        </is>
      </c>
      <c r="BB230" t="inlineStr">
        <is>
          <t>9780814729748</t>
        </is>
      </c>
      <c r="BC230" t="inlineStr">
        <is>
          <t>32285001613990</t>
        </is>
      </c>
      <c r="BD230" t="inlineStr">
        <is>
          <t>893628263</t>
        </is>
      </c>
    </row>
    <row r="231">
      <c r="A231" t="inlineStr">
        <is>
          <t>No</t>
        </is>
      </c>
      <c r="B231" t="inlineStr">
        <is>
          <t>P306.5 .W4 1984</t>
        </is>
      </c>
      <c r="C231" t="inlineStr">
        <is>
          <t>0                      P  0306500W  4           1984</t>
        </is>
      </c>
      <c r="D231" t="inlineStr">
        <is>
          <t>Training translators and conference interpreters / Wilhelm K. Weber.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Weber, Wilhelm K. (Wilhelm Karl)</t>
        </is>
      </c>
      <c r="L231" t="inlineStr">
        <is>
          <t>Orlando : Harcourt Brace Jovanovich, c1984.</t>
        </is>
      </c>
      <c r="M231" t="inlineStr">
        <is>
          <t>1984</t>
        </is>
      </c>
      <c r="O231" t="inlineStr">
        <is>
          <t>eng</t>
        </is>
      </c>
      <c r="P231" t="inlineStr">
        <is>
          <t>flu</t>
        </is>
      </c>
      <c r="Q231" t="inlineStr">
        <is>
          <t>Language in education : theory and practice ; 58</t>
        </is>
      </c>
      <c r="R231" t="inlineStr">
        <is>
          <t xml:space="preserve">P  </t>
        </is>
      </c>
      <c r="S231" t="n">
        <v>4</v>
      </c>
      <c r="T231" t="n">
        <v>4</v>
      </c>
      <c r="U231" t="inlineStr">
        <is>
          <t>1996-11-19</t>
        </is>
      </c>
      <c r="V231" t="inlineStr">
        <is>
          <t>1996-11-19</t>
        </is>
      </c>
      <c r="W231" t="inlineStr">
        <is>
          <t>1993-04-06</t>
        </is>
      </c>
      <c r="X231" t="inlineStr">
        <is>
          <t>1993-04-06</t>
        </is>
      </c>
      <c r="Y231" t="n">
        <v>51</v>
      </c>
      <c r="Z231" t="n">
        <v>46</v>
      </c>
      <c r="AA231" t="n">
        <v>118</v>
      </c>
      <c r="AB231" t="n">
        <v>1</v>
      </c>
      <c r="AC231" t="n">
        <v>2</v>
      </c>
      <c r="AD231" t="n">
        <v>2</v>
      </c>
      <c r="AE231" t="n">
        <v>3</v>
      </c>
      <c r="AF231" t="n">
        <v>0</v>
      </c>
      <c r="AG231" t="n">
        <v>0</v>
      </c>
      <c r="AH231" t="n">
        <v>2</v>
      </c>
      <c r="AI231" t="n">
        <v>2</v>
      </c>
      <c r="AJ231" t="n">
        <v>2</v>
      </c>
      <c r="AK231" t="n">
        <v>2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HYPERLINK("https://creighton-primo.hosted.exlibrisgroup.com/primo-explore/search?tab=default_tab&amp;search_scope=EVERYTHING&amp;vid=01CRU&amp;lang=en_US&amp;offset=0&amp;query=any,contains,991000624099702656","Catalog Record")</f>
        <v/>
      </c>
      <c r="AT231">
        <f>HYPERLINK("http://www.worldcat.org/oclc/11994432","WorldCat Record")</f>
        <v/>
      </c>
      <c r="AU231" t="inlineStr">
        <is>
          <t>4770634:eng</t>
        </is>
      </c>
      <c r="AV231" t="inlineStr">
        <is>
          <t>11994432</t>
        </is>
      </c>
      <c r="AW231" t="inlineStr">
        <is>
          <t>991000624099702656</t>
        </is>
      </c>
      <c r="AX231" t="inlineStr">
        <is>
          <t>991000624099702656</t>
        </is>
      </c>
      <c r="AY231" t="inlineStr">
        <is>
          <t>2265704750002656</t>
        </is>
      </c>
      <c r="AZ231" t="inlineStr">
        <is>
          <t>BOOK</t>
        </is>
      </c>
      <c r="BB231" t="inlineStr">
        <is>
          <t>9780155992993</t>
        </is>
      </c>
      <c r="BC231" t="inlineStr">
        <is>
          <t>32285001614006</t>
        </is>
      </c>
      <c r="BD231" t="inlineStr">
        <is>
          <t>893243427</t>
        </is>
      </c>
    </row>
    <row r="232">
      <c r="A232" t="inlineStr">
        <is>
          <t>No</t>
        </is>
      </c>
      <c r="B232" t="inlineStr">
        <is>
          <t>P306.8.E85 P65 2001</t>
        </is>
      </c>
      <c r="C232" t="inlineStr">
        <is>
          <t>0                      P  0306800E  85                 P  65          2001</t>
        </is>
      </c>
      <c r="D232" t="inlineStr">
        <is>
          <t>The politics of translation in the Middle Ages and the Renaissance / edited by Renate Blumenfeld-Kosinski, Luise von Flotow, Daniel Russell.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Ottawa, Ont. : University of Ottawa Press ; Tempe, Ariz. : Arizona Center for Medieval and Renaissance Studies, 2001.</t>
        </is>
      </c>
      <c r="M232" t="inlineStr">
        <is>
          <t>2001</t>
        </is>
      </c>
      <c r="O232" t="inlineStr">
        <is>
          <t>eng</t>
        </is>
      </c>
      <c r="P232" t="inlineStr">
        <is>
          <t>azu</t>
        </is>
      </c>
      <c r="Q232" t="inlineStr">
        <is>
          <t>Medieval and Renaissance texts and studies ; v. 233</t>
        </is>
      </c>
      <c r="R232" t="inlineStr">
        <is>
          <t xml:space="preserve">P  </t>
        </is>
      </c>
      <c r="S232" t="n">
        <v>3</v>
      </c>
      <c r="T232" t="n">
        <v>3</v>
      </c>
      <c r="U232" t="inlineStr">
        <is>
          <t>2007-05-29</t>
        </is>
      </c>
      <c r="V232" t="inlineStr">
        <is>
          <t>2007-05-29</t>
        </is>
      </c>
      <c r="W232" t="inlineStr">
        <is>
          <t>2003-11-04</t>
        </is>
      </c>
      <c r="X232" t="inlineStr">
        <is>
          <t>2003-11-04</t>
        </is>
      </c>
      <c r="Y232" t="n">
        <v>291</v>
      </c>
      <c r="Z232" t="n">
        <v>217</v>
      </c>
      <c r="AA232" t="n">
        <v>276</v>
      </c>
      <c r="AB232" t="n">
        <v>2</v>
      </c>
      <c r="AC232" t="n">
        <v>2</v>
      </c>
      <c r="AD232" t="n">
        <v>12</v>
      </c>
      <c r="AE232" t="n">
        <v>16</v>
      </c>
      <c r="AF232" t="n">
        <v>2</v>
      </c>
      <c r="AG232" t="n">
        <v>5</v>
      </c>
      <c r="AH232" t="n">
        <v>6</v>
      </c>
      <c r="AI232" t="n">
        <v>7</v>
      </c>
      <c r="AJ232" t="n">
        <v>5</v>
      </c>
      <c r="AK232" t="n">
        <v>6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HYPERLINK("http://catalog.hathitrust.org/Record/003577373","HathiTrust Record")</f>
        <v/>
      </c>
      <c r="AS232">
        <f>HYPERLINK("https://creighton-primo.hosted.exlibrisgroup.com/primo-explore/search?tab=default_tab&amp;search_scope=EVERYTHING&amp;vid=01CRU&amp;lang=en_US&amp;offset=0&amp;query=any,contains,991004153429702656","Catalog Record")</f>
        <v/>
      </c>
      <c r="AT232">
        <f>HYPERLINK("http://www.worldcat.org/oclc/47634910","WorldCat Record")</f>
        <v/>
      </c>
      <c r="AU232" t="inlineStr">
        <is>
          <t>351428922:eng</t>
        </is>
      </c>
      <c r="AV232" t="inlineStr">
        <is>
          <t>47634910</t>
        </is>
      </c>
      <c r="AW232" t="inlineStr">
        <is>
          <t>991004153429702656</t>
        </is>
      </c>
      <c r="AX232" t="inlineStr">
        <is>
          <t>991004153429702656</t>
        </is>
      </c>
      <c r="AY232" t="inlineStr">
        <is>
          <t>2267243690002656</t>
        </is>
      </c>
      <c r="AZ232" t="inlineStr">
        <is>
          <t>BOOK</t>
        </is>
      </c>
      <c r="BB232" t="inlineStr">
        <is>
          <t>9780776605272</t>
        </is>
      </c>
      <c r="BC232" t="inlineStr">
        <is>
          <t>32285004793757</t>
        </is>
      </c>
      <c r="BD232" t="inlineStr">
        <is>
          <t>893500180</t>
        </is>
      </c>
    </row>
    <row r="233">
      <c r="A233" t="inlineStr">
        <is>
          <t>No</t>
        </is>
      </c>
      <c r="B233" t="inlineStr">
        <is>
          <t>P306.92.Q5 K57 1986</t>
        </is>
      </c>
      <c r="C233" t="inlineStr">
        <is>
          <t>0                      P  0306920Q  5                  K  57          1986</t>
        </is>
      </c>
      <c r="D233" t="inlineStr">
        <is>
          <t>Translation determined / Robert Kirk.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Kirk, Robert.</t>
        </is>
      </c>
      <c r="L233" t="inlineStr">
        <is>
          <t>Oxford [Oxfordshire] : Clarendon Press ; New York : Oxford University Press, 1986.</t>
        </is>
      </c>
      <c r="M233" t="inlineStr">
        <is>
          <t>1986</t>
        </is>
      </c>
      <c r="O233" t="inlineStr">
        <is>
          <t>eng</t>
        </is>
      </c>
      <c r="P233" t="inlineStr">
        <is>
          <t>enk</t>
        </is>
      </c>
      <c r="R233" t="inlineStr">
        <is>
          <t xml:space="preserve">P  </t>
        </is>
      </c>
      <c r="S233" t="n">
        <v>6</v>
      </c>
      <c r="T233" t="n">
        <v>6</v>
      </c>
      <c r="U233" t="inlineStr">
        <is>
          <t>2007-09-26</t>
        </is>
      </c>
      <c r="V233" t="inlineStr">
        <is>
          <t>2007-09-26</t>
        </is>
      </c>
      <c r="W233" t="inlineStr">
        <is>
          <t>1993-04-06</t>
        </is>
      </c>
      <c r="X233" t="inlineStr">
        <is>
          <t>1993-04-06</t>
        </is>
      </c>
      <c r="Y233" t="n">
        <v>396</v>
      </c>
      <c r="Z233" t="n">
        <v>281</v>
      </c>
      <c r="AA233" t="n">
        <v>288</v>
      </c>
      <c r="AB233" t="n">
        <v>2</v>
      </c>
      <c r="AC233" t="n">
        <v>2</v>
      </c>
      <c r="AD233" t="n">
        <v>12</v>
      </c>
      <c r="AE233" t="n">
        <v>12</v>
      </c>
      <c r="AF233" t="n">
        <v>3</v>
      </c>
      <c r="AG233" t="n">
        <v>3</v>
      </c>
      <c r="AH233" t="n">
        <v>3</v>
      </c>
      <c r="AI233" t="n">
        <v>3</v>
      </c>
      <c r="AJ233" t="n">
        <v>8</v>
      </c>
      <c r="AK233" t="n">
        <v>8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HYPERLINK("http://catalog.hathitrust.org/Record/000439671","HathiTrust Record")</f>
        <v/>
      </c>
      <c r="AS233">
        <f>HYPERLINK("https://creighton-primo.hosted.exlibrisgroup.com/primo-explore/search?tab=default_tab&amp;search_scope=EVERYTHING&amp;vid=01CRU&amp;lang=en_US&amp;offset=0&amp;query=any,contains,991000809339702656","Catalog Record")</f>
        <v/>
      </c>
      <c r="AT233">
        <f>HYPERLINK("http://www.worldcat.org/oclc/13329371","WorldCat Record")</f>
        <v/>
      </c>
      <c r="AU233" t="inlineStr">
        <is>
          <t>118052446:eng</t>
        </is>
      </c>
      <c r="AV233" t="inlineStr">
        <is>
          <t>13329371</t>
        </is>
      </c>
      <c r="AW233" t="inlineStr">
        <is>
          <t>991000809339702656</t>
        </is>
      </c>
      <c r="AX233" t="inlineStr">
        <is>
          <t>991000809339702656</t>
        </is>
      </c>
      <c r="AY233" t="inlineStr">
        <is>
          <t>2258598890002656</t>
        </is>
      </c>
      <c r="AZ233" t="inlineStr">
        <is>
          <t>BOOK</t>
        </is>
      </c>
      <c r="BB233" t="inlineStr">
        <is>
          <t>9780198249214</t>
        </is>
      </c>
      <c r="BC233" t="inlineStr">
        <is>
          <t>32285001614014</t>
        </is>
      </c>
      <c r="BD233" t="inlineStr">
        <is>
          <t>893407541</t>
        </is>
      </c>
    </row>
    <row r="234">
      <c r="A234" t="inlineStr">
        <is>
          <t>No</t>
        </is>
      </c>
      <c r="B234" t="inlineStr">
        <is>
          <t>P323.5 .C58 2002</t>
        </is>
      </c>
      <c r="C234" t="inlineStr">
        <is>
          <t>0                      P  0323500C  58          2002</t>
        </is>
      </c>
      <c r="D234" t="inlineStr">
        <is>
          <t>A theory of genericization on brand name change / Shawn M. Clankie.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Clankie, Shawn.</t>
        </is>
      </c>
      <c r="L234" t="inlineStr">
        <is>
          <t>Lewiston : E. Mellen, c2002.</t>
        </is>
      </c>
      <c r="M234" t="inlineStr">
        <is>
          <t>2002</t>
        </is>
      </c>
      <c r="O234" t="inlineStr">
        <is>
          <t>eng</t>
        </is>
      </c>
      <c r="P234" t="inlineStr">
        <is>
          <t>nyu</t>
        </is>
      </c>
      <c r="Q234" t="inlineStr">
        <is>
          <t>Studies in onomastics ; v. 6</t>
        </is>
      </c>
      <c r="R234" t="inlineStr">
        <is>
          <t xml:space="preserve">P  </t>
        </is>
      </c>
      <c r="S234" t="n">
        <v>2</v>
      </c>
      <c r="T234" t="n">
        <v>2</v>
      </c>
      <c r="U234" t="inlineStr">
        <is>
          <t>2005-03-15</t>
        </is>
      </c>
      <c r="V234" t="inlineStr">
        <is>
          <t>2005-03-15</t>
        </is>
      </c>
      <c r="W234" t="inlineStr">
        <is>
          <t>2004-02-16</t>
        </is>
      </c>
      <c r="X234" t="inlineStr">
        <is>
          <t>2004-02-16</t>
        </is>
      </c>
      <c r="Y234" t="n">
        <v>371</v>
      </c>
      <c r="Z234" t="n">
        <v>307</v>
      </c>
      <c r="AA234" t="n">
        <v>308</v>
      </c>
      <c r="AB234" t="n">
        <v>2</v>
      </c>
      <c r="AC234" t="n">
        <v>2</v>
      </c>
      <c r="AD234" t="n">
        <v>18</v>
      </c>
      <c r="AE234" t="n">
        <v>18</v>
      </c>
      <c r="AF234" t="n">
        <v>7</v>
      </c>
      <c r="AG234" t="n">
        <v>7</v>
      </c>
      <c r="AH234" t="n">
        <v>6</v>
      </c>
      <c r="AI234" t="n">
        <v>6</v>
      </c>
      <c r="AJ234" t="n">
        <v>7</v>
      </c>
      <c r="AK234" t="n">
        <v>7</v>
      </c>
      <c r="AL234" t="n">
        <v>1</v>
      </c>
      <c r="AM234" t="n">
        <v>1</v>
      </c>
      <c r="AN234" t="n">
        <v>1</v>
      </c>
      <c r="AO234" t="n">
        <v>1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HYPERLINK("http://catalog.hathitrust.org/Record/007142564","HathiTrust Record")</f>
        <v/>
      </c>
      <c r="AS234">
        <f>HYPERLINK("https://creighton-primo.hosted.exlibrisgroup.com/primo-explore/search?tab=default_tab&amp;search_scope=EVERYTHING&amp;vid=01CRU&amp;lang=en_US&amp;offset=0&amp;query=any,contains,991004226249702656","Catalog Record")</f>
        <v/>
      </c>
      <c r="AT234">
        <f>HYPERLINK("http://www.worldcat.org/oclc/50271209","WorldCat Record")</f>
        <v/>
      </c>
      <c r="AU234" t="inlineStr">
        <is>
          <t>1048816:eng</t>
        </is>
      </c>
      <c r="AV234" t="inlineStr">
        <is>
          <t>50271209</t>
        </is>
      </c>
      <c r="AW234" t="inlineStr">
        <is>
          <t>991004226249702656</t>
        </is>
      </c>
      <c r="AX234" t="inlineStr">
        <is>
          <t>991004226249702656</t>
        </is>
      </c>
      <c r="AY234" t="inlineStr">
        <is>
          <t>2263513810002656</t>
        </is>
      </c>
      <c r="AZ234" t="inlineStr">
        <is>
          <t>BOOK</t>
        </is>
      </c>
      <c r="BB234" t="inlineStr">
        <is>
          <t>9780773469556</t>
        </is>
      </c>
      <c r="BC234" t="inlineStr">
        <is>
          <t>32285004638945</t>
        </is>
      </c>
      <c r="BD234" t="inlineStr">
        <is>
          <t>893869450</t>
        </is>
      </c>
    </row>
    <row r="235">
      <c r="A235" t="inlineStr">
        <is>
          <t>No</t>
        </is>
      </c>
      <c r="B235" t="inlineStr">
        <is>
          <t>P325 .B34 1970</t>
        </is>
      </c>
      <c r="C235" t="inlineStr">
        <is>
          <t>0                      P  0325000B  34          1970</t>
        </is>
      </c>
      <c r="D235" t="inlineStr">
        <is>
          <t>Teoría semántica : hacia una semántica moderna / Kurt Baldinger.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Baldinger, Kurt, 1919-2007.</t>
        </is>
      </c>
      <c r="L235" t="inlineStr">
        <is>
          <t>Madrid : Ediciones Alcalá, [1970]</t>
        </is>
      </c>
      <c r="M235" t="inlineStr">
        <is>
          <t>1970</t>
        </is>
      </c>
      <c r="O235" t="inlineStr">
        <is>
          <t>spa</t>
        </is>
      </c>
      <c r="P235" t="inlineStr">
        <is>
          <t xml:space="preserve">sp </t>
        </is>
      </c>
      <c r="Q235" t="inlineStr">
        <is>
          <t>Colección Romania. Serie Lingüística</t>
        </is>
      </c>
      <c r="R235" t="inlineStr">
        <is>
          <t xml:space="preserve">P  </t>
        </is>
      </c>
      <c r="S235" t="n">
        <v>1</v>
      </c>
      <c r="T235" t="n">
        <v>1</v>
      </c>
      <c r="U235" t="inlineStr">
        <is>
          <t>2002-06-20</t>
        </is>
      </c>
      <c r="V235" t="inlineStr">
        <is>
          <t>2002-06-20</t>
        </is>
      </c>
      <c r="W235" t="inlineStr">
        <is>
          <t>2002-06-20</t>
        </is>
      </c>
      <c r="X235" t="inlineStr">
        <is>
          <t>2002-06-20</t>
        </is>
      </c>
      <c r="Y235" t="n">
        <v>78</v>
      </c>
      <c r="Z235" t="n">
        <v>47</v>
      </c>
      <c r="AA235" t="n">
        <v>58</v>
      </c>
      <c r="AB235" t="n">
        <v>1</v>
      </c>
      <c r="AC235" t="n">
        <v>1</v>
      </c>
      <c r="AD235" t="n">
        <v>4</v>
      </c>
      <c r="AE235" t="n">
        <v>4</v>
      </c>
      <c r="AF235" t="n">
        <v>1</v>
      </c>
      <c r="AG235" t="n">
        <v>1</v>
      </c>
      <c r="AH235" t="n">
        <v>2</v>
      </c>
      <c r="AI235" t="n">
        <v>2</v>
      </c>
      <c r="AJ235" t="n">
        <v>3</v>
      </c>
      <c r="AK235" t="n">
        <v>3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HYPERLINK("http://catalog.hathitrust.org/Record/000008809","HathiTrust Record")</f>
        <v/>
      </c>
      <c r="AS235">
        <f>HYPERLINK("https://creighton-primo.hosted.exlibrisgroup.com/primo-explore/search?tab=default_tab&amp;search_scope=EVERYTHING&amp;vid=01CRU&amp;lang=en_US&amp;offset=0&amp;query=any,contains,991003829669702656","Catalog Record")</f>
        <v/>
      </c>
      <c r="AT235">
        <f>HYPERLINK("http://www.worldcat.org/oclc/633542","WorldCat Record")</f>
        <v/>
      </c>
      <c r="AU235" t="inlineStr">
        <is>
          <t>443983:spa</t>
        </is>
      </c>
      <c r="AV235" t="inlineStr">
        <is>
          <t>633542</t>
        </is>
      </c>
      <c r="AW235" t="inlineStr">
        <is>
          <t>991003829669702656</t>
        </is>
      </c>
      <c r="AX235" t="inlineStr">
        <is>
          <t>991003829669702656</t>
        </is>
      </c>
      <c r="AY235" t="inlineStr">
        <is>
          <t>2256919260002656</t>
        </is>
      </c>
      <c r="AZ235" t="inlineStr">
        <is>
          <t>BOOK</t>
        </is>
      </c>
      <c r="BC235" t="inlineStr">
        <is>
          <t>32285004495189</t>
        </is>
      </c>
      <c r="BD235" t="inlineStr">
        <is>
          <t>893787821</t>
        </is>
      </c>
    </row>
    <row r="236">
      <c r="A236" t="inlineStr">
        <is>
          <t>No</t>
        </is>
      </c>
      <c r="B236" t="inlineStr">
        <is>
          <t>P325 .B6</t>
        </is>
      </c>
      <c r="C236" t="inlineStr">
        <is>
          <t>0                      P  0325000B  6</t>
        </is>
      </c>
      <c r="D236" t="inlineStr">
        <is>
          <t>The definition of definition; a new linguistic approach to the integration of knowledge.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Borsodi, Ralph, 1888-1977.</t>
        </is>
      </c>
      <c r="L236" t="inlineStr">
        <is>
          <t>Boston, P. Sargent [1967]</t>
        </is>
      </c>
      <c r="M236" t="inlineStr">
        <is>
          <t>1967</t>
        </is>
      </c>
      <c r="O236" t="inlineStr">
        <is>
          <t>eng</t>
        </is>
      </c>
      <c r="P236" t="inlineStr">
        <is>
          <t>mau</t>
        </is>
      </c>
      <c r="Q236" t="inlineStr">
        <is>
          <t>Extending horizons books</t>
        </is>
      </c>
      <c r="R236" t="inlineStr">
        <is>
          <t xml:space="preserve">P  </t>
        </is>
      </c>
      <c r="S236" t="n">
        <v>2</v>
      </c>
      <c r="T236" t="n">
        <v>2</v>
      </c>
      <c r="U236" t="inlineStr">
        <is>
          <t>1999-02-18</t>
        </is>
      </c>
      <c r="V236" t="inlineStr">
        <is>
          <t>1999-02-18</t>
        </is>
      </c>
      <c r="W236" t="inlineStr">
        <is>
          <t>1997-08-19</t>
        </is>
      </c>
      <c r="X236" t="inlineStr">
        <is>
          <t>1997-08-19</t>
        </is>
      </c>
      <c r="Y236" t="n">
        <v>366</v>
      </c>
      <c r="Z236" t="n">
        <v>328</v>
      </c>
      <c r="AA236" t="n">
        <v>330</v>
      </c>
      <c r="AB236" t="n">
        <v>5</v>
      </c>
      <c r="AC236" t="n">
        <v>5</v>
      </c>
      <c r="AD236" t="n">
        <v>20</v>
      </c>
      <c r="AE236" t="n">
        <v>20</v>
      </c>
      <c r="AF236" t="n">
        <v>5</v>
      </c>
      <c r="AG236" t="n">
        <v>5</v>
      </c>
      <c r="AH236" t="n">
        <v>5</v>
      </c>
      <c r="AI236" t="n">
        <v>5</v>
      </c>
      <c r="AJ236" t="n">
        <v>10</v>
      </c>
      <c r="AK236" t="n">
        <v>10</v>
      </c>
      <c r="AL236" t="n">
        <v>4</v>
      </c>
      <c r="AM236" t="n">
        <v>4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HYPERLINK("http://catalog.hathitrust.org/Record/001181135","HathiTrust Record")</f>
        <v/>
      </c>
      <c r="AS236">
        <f>HYPERLINK("https://creighton-primo.hosted.exlibrisgroup.com/primo-explore/search?tab=default_tab&amp;search_scope=EVERYTHING&amp;vid=01CRU&amp;lang=en_US&amp;offset=0&amp;query=any,contains,991002274909702656","Catalog Record")</f>
        <v/>
      </c>
      <c r="AT236">
        <f>HYPERLINK("http://www.worldcat.org/oclc/310023","WorldCat Record")</f>
        <v/>
      </c>
      <c r="AU236" t="inlineStr">
        <is>
          <t>365605032:eng</t>
        </is>
      </c>
      <c r="AV236" t="inlineStr">
        <is>
          <t>310023</t>
        </is>
      </c>
      <c r="AW236" t="inlineStr">
        <is>
          <t>991002274909702656</t>
        </is>
      </c>
      <c r="AX236" t="inlineStr">
        <is>
          <t>991002274909702656</t>
        </is>
      </c>
      <c r="AY236" t="inlineStr">
        <is>
          <t>2259702780002656</t>
        </is>
      </c>
      <c r="AZ236" t="inlineStr">
        <is>
          <t>BOOK</t>
        </is>
      </c>
      <c r="BC236" t="inlineStr">
        <is>
          <t>32285003098067</t>
        </is>
      </c>
      <c r="BD236" t="inlineStr">
        <is>
          <t>893316607</t>
        </is>
      </c>
    </row>
    <row r="237">
      <c r="A237" t="inlineStr">
        <is>
          <t>No</t>
        </is>
      </c>
      <c r="B237" t="inlineStr">
        <is>
          <t>P325 .H47</t>
        </is>
      </c>
      <c r="C237" t="inlineStr">
        <is>
          <t>0                      P  0325000H  47</t>
        </is>
      </c>
      <c r="D237" t="inlineStr">
        <is>
          <t>Axiomatic semantics : a theory of linguistics semantics / Sándor G. J. Hervey.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Hervey, Sándor G. J.</t>
        </is>
      </c>
      <c r="L237" t="inlineStr">
        <is>
          <t>Edinburgh : Scottish Academic Press, 1979.</t>
        </is>
      </c>
      <c r="M237" t="inlineStr">
        <is>
          <t>1979</t>
        </is>
      </c>
      <c r="N237" t="inlineStr">
        <is>
          <t>1st ed.</t>
        </is>
      </c>
      <c r="O237" t="inlineStr">
        <is>
          <t>eng</t>
        </is>
      </c>
      <c r="P237" t="inlineStr">
        <is>
          <t>stk</t>
        </is>
      </c>
      <c r="R237" t="inlineStr">
        <is>
          <t xml:space="preserve">P  </t>
        </is>
      </c>
      <c r="S237" t="n">
        <v>4</v>
      </c>
      <c r="T237" t="n">
        <v>4</v>
      </c>
      <c r="U237" t="inlineStr">
        <is>
          <t>1999-10-10</t>
        </is>
      </c>
      <c r="V237" t="inlineStr">
        <is>
          <t>1999-10-10</t>
        </is>
      </c>
      <c r="W237" t="inlineStr">
        <is>
          <t>1993-04-06</t>
        </is>
      </c>
      <c r="X237" t="inlineStr">
        <is>
          <t>1993-04-06</t>
        </is>
      </c>
      <c r="Y237" t="n">
        <v>231</v>
      </c>
      <c r="Z237" t="n">
        <v>134</v>
      </c>
      <c r="AA237" t="n">
        <v>141</v>
      </c>
      <c r="AB237" t="n">
        <v>3</v>
      </c>
      <c r="AC237" t="n">
        <v>3</v>
      </c>
      <c r="AD237" t="n">
        <v>5</v>
      </c>
      <c r="AE237" t="n">
        <v>5</v>
      </c>
      <c r="AF237" t="n">
        <v>0</v>
      </c>
      <c r="AG237" t="n">
        <v>0</v>
      </c>
      <c r="AH237" t="n">
        <v>3</v>
      </c>
      <c r="AI237" t="n">
        <v>3</v>
      </c>
      <c r="AJ237" t="n">
        <v>2</v>
      </c>
      <c r="AK237" t="n">
        <v>2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HYPERLINK("http://catalog.hathitrust.org/Record/000087144","HathiTrust Record")</f>
        <v/>
      </c>
      <c r="AS237">
        <f>HYPERLINK("https://creighton-primo.hosted.exlibrisgroup.com/primo-explore/search?tab=default_tab&amp;search_scope=EVERYTHING&amp;vid=01CRU&amp;lang=en_US&amp;offset=0&amp;query=any,contains,991004975589702656","Catalog Record")</f>
        <v/>
      </c>
      <c r="AT237">
        <f>HYPERLINK("http://www.worldcat.org/oclc/6210538","WorldCat Record")</f>
        <v/>
      </c>
      <c r="AU237" t="inlineStr">
        <is>
          <t>318740365:eng</t>
        </is>
      </c>
      <c r="AV237" t="inlineStr">
        <is>
          <t>6210538</t>
        </is>
      </c>
      <c r="AW237" t="inlineStr">
        <is>
          <t>991004975589702656</t>
        </is>
      </c>
      <c r="AX237" t="inlineStr">
        <is>
          <t>991004975589702656</t>
        </is>
      </c>
      <c r="AY237" t="inlineStr">
        <is>
          <t>2272302740002656</t>
        </is>
      </c>
      <c r="AZ237" t="inlineStr">
        <is>
          <t>BOOK</t>
        </is>
      </c>
      <c r="BB237" t="inlineStr">
        <is>
          <t>9780707302225</t>
        </is>
      </c>
      <c r="BC237" t="inlineStr">
        <is>
          <t>32285001614139</t>
        </is>
      </c>
      <c r="BD237" t="inlineStr">
        <is>
          <t>893344468</t>
        </is>
      </c>
    </row>
    <row r="238">
      <c r="A238" t="inlineStr">
        <is>
          <t>No</t>
        </is>
      </c>
      <c r="B238" t="inlineStr">
        <is>
          <t>P325 .K35</t>
        </is>
      </c>
      <c r="C238" t="inlineStr">
        <is>
          <t>0                      P  0325000K  35</t>
        </is>
      </c>
      <c r="D238" t="inlineStr">
        <is>
          <t>Semantic theory [by] Jerrold J. Katz.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Katz, Jerrold J.</t>
        </is>
      </c>
      <c r="L238" t="inlineStr">
        <is>
          <t>New York, Harper &amp; Row [1972]</t>
        </is>
      </c>
      <c r="M238" t="inlineStr">
        <is>
          <t>1972</t>
        </is>
      </c>
      <c r="O238" t="inlineStr">
        <is>
          <t>eng</t>
        </is>
      </c>
      <c r="P238" t="inlineStr">
        <is>
          <t>nyu</t>
        </is>
      </c>
      <c r="Q238" t="inlineStr">
        <is>
          <t>Studies in language</t>
        </is>
      </c>
      <c r="R238" t="inlineStr">
        <is>
          <t xml:space="preserve">P  </t>
        </is>
      </c>
      <c r="S238" t="n">
        <v>2</v>
      </c>
      <c r="T238" t="n">
        <v>2</v>
      </c>
      <c r="U238" t="inlineStr">
        <is>
          <t>1999-01-26</t>
        </is>
      </c>
      <c r="V238" t="inlineStr">
        <is>
          <t>1999-01-26</t>
        </is>
      </c>
      <c r="W238" t="inlineStr">
        <is>
          <t>1997-08-19</t>
        </is>
      </c>
      <c r="X238" t="inlineStr">
        <is>
          <t>1997-08-19</t>
        </is>
      </c>
      <c r="Y238" t="n">
        <v>605</v>
      </c>
      <c r="Z238" t="n">
        <v>394</v>
      </c>
      <c r="AA238" t="n">
        <v>396</v>
      </c>
      <c r="AB238" t="n">
        <v>4</v>
      </c>
      <c r="AC238" t="n">
        <v>4</v>
      </c>
      <c r="AD238" t="n">
        <v>20</v>
      </c>
      <c r="AE238" t="n">
        <v>20</v>
      </c>
      <c r="AF238" t="n">
        <v>5</v>
      </c>
      <c r="AG238" t="n">
        <v>5</v>
      </c>
      <c r="AH238" t="n">
        <v>7</v>
      </c>
      <c r="AI238" t="n">
        <v>7</v>
      </c>
      <c r="AJ238" t="n">
        <v>9</v>
      </c>
      <c r="AK238" t="n">
        <v>9</v>
      </c>
      <c r="AL238" t="n">
        <v>3</v>
      </c>
      <c r="AM238" t="n">
        <v>3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HYPERLINK("http://catalog.hathitrust.org/Record/001898353","HathiTrust Record")</f>
        <v/>
      </c>
      <c r="AS238">
        <f>HYPERLINK("https://creighton-primo.hosted.exlibrisgroup.com/primo-explore/search?tab=default_tab&amp;search_scope=EVERYTHING&amp;vid=01CRU&amp;lang=en_US&amp;offset=0&amp;query=any,contains,991002620199702656","Catalog Record")</f>
        <v/>
      </c>
      <c r="AT238">
        <f>HYPERLINK("http://www.worldcat.org/oclc/380538","WorldCat Record")</f>
        <v/>
      </c>
      <c r="AU238" t="inlineStr">
        <is>
          <t>1488673:eng</t>
        </is>
      </c>
      <c r="AV238" t="inlineStr">
        <is>
          <t>380538</t>
        </is>
      </c>
      <c r="AW238" t="inlineStr">
        <is>
          <t>991002620199702656</t>
        </is>
      </c>
      <c r="AX238" t="inlineStr">
        <is>
          <t>991002620199702656</t>
        </is>
      </c>
      <c r="AY238" t="inlineStr">
        <is>
          <t>2261415630002656</t>
        </is>
      </c>
      <c r="AZ238" t="inlineStr">
        <is>
          <t>BOOK</t>
        </is>
      </c>
      <c r="BB238" t="inlineStr">
        <is>
          <t>9780060435677</t>
        </is>
      </c>
      <c r="BC238" t="inlineStr">
        <is>
          <t>32285003098109</t>
        </is>
      </c>
      <c r="BD238" t="inlineStr">
        <is>
          <t>893616340</t>
        </is>
      </c>
    </row>
    <row r="239">
      <c r="A239" t="inlineStr">
        <is>
          <t>No</t>
        </is>
      </c>
      <c r="B239" t="inlineStr">
        <is>
          <t>P325 .S3</t>
        </is>
      </c>
      <c r="C239" t="inlineStr">
        <is>
          <t>0                      P  0325000S  3</t>
        </is>
      </c>
      <c r="D239" t="inlineStr">
        <is>
          <t>Semantics and common sense [by] Louis B. Salomon.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Salomon, Louis Bernard, 1908-</t>
        </is>
      </c>
      <c r="L239" t="inlineStr">
        <is>
          <t>New York Holt, Rinehart and Winston [1966]</t>
        </is>
      </c>
      <c r="M239" t="inlineStr">
        <is>
          <t>1966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P  </t>
        </is>
      </c>
      <c r="S239" t="n">
        <v>1</v>
      </c>
      <c r="T239" t="n">
        <v>1</v>
      </c>
      <c r="U239" t="inlineStr">
        <is>
          <t>2010-03-13</t>
        </is>
      </c>
      <c r="V239" t="inlineStr">
        <is>
          <t>2010-03-13</t>
        </is>
      </c>
      <c r="W239" t="inlineStr">
        <is>
          <t>1997-08-19</t>
        </is>
      </c>
      <c r="X239" t="inlineStr">
        <is>
          <t>1997-08-19</t>
        </is>
      </c>
      <c r="Y239" t="n">
        <v>683</v>
      </c>
      <c r="Z239" t="n">
        <v>533</v>
      </c>
      <c r="AA239" t="n">
        <v>547</v>
      </c>
      <c r="AB239" t="n">
        <v>6</v>
      </c>
      <c r="AC239" t="n">
        <v>6</v>
      </c>
      <c r="AD239" t="n">
        <v>20</v>
      </c>
      <c r="AE239" t="n">
        <v>22</v>
      </c>
      <c r="AF239" t="n">
        <v>6</v>
      </c>
      <c r="AG239" t="n">
        <v>7</v>
      </c>
      <c r="AH239" t="n">
        <v>3</v>
      </c>
      <c r="AI239" t="n">
        <v>4</v>
      </c>
      <c r="AJ239" t="n">
        <v>9</v>
      </c>
      <c r="AK239" t="n">
        <v>9</v>
      </c>
      <c r="AL239" t="n">
        <v>5</v>
      </c>
      <c r="AM239" t="n">
        <v>5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HYPERLINK("http://catalog.hathitrust.org/Record/001181139","HathiTrust Record")</f>
        <v/>
      </c>
      <c r="AS239">
        <f>HYPERLINK("https://creighton-primo.hosted.exlibrisgroup.com/primo-explore/search?tab=default_tab&amp;search_scope=EVERYTHING&amp;vid=01CRU&amp;lang=en_US&amp;offset=0&amp;query=any,contains,991003511739702656","Catalog Record")</f>
        <v/>
      </c>
      <c r="AT239">
        <f>HYPERLINK("http://www.worldcat.org/oclc/1066869","WorldCat Record")</f>
        <v/>
      </c>
      <c r="AU239" t="inlineStr">
        <is>
          <t>7297455691:eng</t>
        </is>
      </c>
      <c r="AV239" t="inlineStr">
        <is>
          <t>1066869</t>
        </is>
      </c>
      <c r="AW239" t="inlineStr">
        <is>
          <t>991003511739702656</t>
        </is>
      </c>
      <c r="AX239" t="inlineStr">
        <is>
          <t>991003511739702656</t>
        </is>
      </c>
      <c r="AY239" t="inlineStr">
        <is>
          <t>2269051910002656</t>
        </is>
      </c>
      <c r="AZ239" t="inlineStr">
        <is>
          <t>BOOK</t>
        </is>
      </c>
      <c r="BC239" t="inlineStr">
        <is>
          <t>32285003098133</t>
        </is>
      </c>
      <c r="BD239" t="inlineStr">
        <is>
          <t>893441364</t>
        </is>
      </c>
    </row>
    <row r="240">
      <c r="A240" t="inlineStr">
        <is>
          <t>No</t>
        </is>
      </c>
      <c r="B240" t="inlineStr">
        <is>
          <t>P325 .S3815 2005</t>
        </is>
      </c>
      <c r="C240" t="inlineStr">
        <is>
          <t>0                      P  0325000S  3815        2005</t>
        </is>
      </c>
      <c r="D240" t="inlineStr">
        <is>
          <t>Semantics vs. pragmatics / edited by Zoltán Gendler Szabó.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Oxford : Clarendon Press ; New York, N.Y. : Oxford University Press, 2005.</t>
        </is>
      </c>
      <c r="M240" t="inlineStr">
        <is>
          <t>2005</t>
        </is>
      </c>
      <c r="O240" t="inlineStr">
        <is>
          <t>eng</t>
        </is>
      </c>
      <c r="P240" t="inlineStr">
        <is>
          <t>enk</t>
        </is>
      </c>
      <c r="R240" t="inlineStr">
        <is>
          <t xml:space="preserve">P  </t>
        </is>
      </c>
      <c r="S240" t="n">
        <v>1</v>
      </c>
      <c r="T240" t="n">
        <v>1</v>
      </c>
      <c r="U240" t="inlineStr">
        <is>
          <t>2006-02-22</t>
        </is>
      </c>
      <c r="V240" t="inlineStr">
        <is>
          <t>2006-02-22</t>
        </is>
      </c>
      <c r="W240" t="inlineStr">
        <is>
          <t>2006-02-22</t>
        </is>
      </c>
      <c r="X240" t="inlineStr">
        <is>
          <t>2006-02-22</t>
        </is>
      </c>
      <c r="Y240" t="n">
        <v>240</v>
      </c>
      <c r="Z240" t="n">
        <v>147</v>
      </c>
      <c r="AA240" t="n">
        <v>990</v>
      </c>
      <c r="AB240" t="n">
        <v>2</v>
      </c>
      <c r="AC240" t="n">
        <v>19</v>
      </c>
      <c r="AD240" t="n">
        <v>8</v>
      </c>
      <c r="AE240" t="n">
        <v>37</v>
      </c>
      <c r="AF240" t="n">
        <v>2</v>
      </c>
      <c r="AG240" t="n">
        <v>11</v>
      </c>
      <c r="AH240" t="n">
        <v>3</v>
      </c>
      <c r="AI240" t="n">
        <v>6</v>
      </c>
      <c r="AJ240" t="n">
        <v>4</v>
      </c>
      <c r="AK240" t="n">
        <v>9</v>
      </c>
      <c r="AL240" t="n">
        <v>1</v>
      </c>
      <c r="AM240" t="n">
        <v>15</v>
      </c>
      <c r="AN240" t="n">
        <v>0</v>
      </c>
      <c r="AO240" t="n">
        <v>1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HYPERLINK("https://creighton-primo.hosted.exlibrisgroup.com/primo-explore/search?tab=default_tab&amp;search_scope=EVERYTHING&amp;vid=01CRU&amp;lang=en_US&amp;offset=0&amp;query=any,contains,991004735289702656","Catalog Record")</f>
        <v/>
      </c>
      <c r="AT240">
        <f>HYPERLINK("http://www.worldcat.org/oclc/56329911","WorldCat Record")</f>
        <v/>
      </c>
      <c r="AU240" t="inlineStr">
        <is>
          <t>1053943673:eng</t>
        </is>
      </c>
      <c r="AV240" t="inlineStr">
        <is>
          <t>56329911</t>
        </is>
      </c>
      <c r="AW240" t="inlineStr">
        <is>
          <t>991004735289702656</t>
        </is>
      </c>
      <c r="AX240" t="inlineStr">
        <is>
          <t>991004735289702656</t>
        </is>
      </c>
      <c r="AY240" t="inlineStr">
        <is>
          <t>2264372530002656</t>
        </is>
      </c>
      <c r="AZ240" t="inlineStr">
        <is>
          <t>BOOK</t>
        </is>
      </c>
      <c r="BB240" t="inlineStr">
        <is>
          <t>9780199251513</t>
        </is>
      </c>
      <c r="BC240" t="inlineStr">
        <is>
          <t>32285005159594</t>
        </is>
      </c>
      <c r="BD240" t="inlineStr">
        <is>
          <t>893241781</t>
        </is>
      </c>
    </row>
    <row r="241">
      <c r="A241" t="inlineStr">
        <is>
          <t>No</t>
        </is>
      </c>
      <c r="B241" t="inlineStr">
        <is>
          <t>P325 .U5 1957</t>
        </is>
      </c>
      <c r="C241" t="inlineStr">
        <is>
          <t>0                      P  0325000U  5           1957</t>
        </is>
      </c>
      <c r="D241" t="inlineStr">
        <is>
          <t>The principles of semantics.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Ullmann, Stephen.</t>
        </is>
      </c>
      <c r="L241" t="inlineStr">
        <is>
          <t>New York] Philosophical Library [1957]</t>
        </is>
      </c>
      <c r="M241" t="inlineStr">
        <is>
          <t>1957</t>
        </is>
      </c>
      <c r="N241" t="inlineStr">
        <is>
          <t>[2d ed.</t>
        </is>
      </c>
      <c r="O241" t="inlineStr">
        <is>
          <t>eng</t>
        </is>
      </c>
      <c r="P241" t="inlineStr">
        <is>
          <t>nyu</t>
        </is>
      </c>
      <c r="Q241" t="inlineStr">
        <is>
          <t>Glasgow University publications ; 84</t>
        </is>
      </c>
      <c r="R241" t="inlineStr">
        <is>
          <t xml:space="preserve">P  </t>
        </is>
      </c>
      <c r="S241" t="n">
        <v>1</v>
      </c>
      <c r="T241" t="n">
        <v>1</v>
      </c>
      <c r="U241" t="inlineStr">
        <is>
          <t>1999-11-02</t>
        </is>
      </c>
      <c r="V241" t="inlineStr">
        <is>
          <t>1999-11-02</t>
        </is>
      </c>
      <c r="W241" t="inlineStr">
        <is>
          <t>1997-08-19</t>
        </is>
      </c>
      <c r="X241" t="inlineStr">
        <is>
          <t>1997-08-19</t>
        </is>
      </c>
      <c r="Y241" t="n">
        <v>245</v>
      </c>
      <c r="Z241" t="n">
        <v>231</v>
      </c>
      <c r="AA241" t="n">
        <v>658</v>
      </c>
      <c r="AB241" t="n">
        <v>3</v>
      </c>
      <c r="AC241" t="n">
        <v>5</v>
      </c>
      <c r="AD241" t="n">
        <v>17</v>
      </c>
      <c r="AE241" t="n">
        <v>33</v>
      </c>
      <c r="AF241" t="n">
        <v>5</v>
      </c>
      <c r="AG241" t="n">
        <v>13</v>
      </c>
      <c r="AH241" t="n">
        <v>4</v>
      </c>
      <c r="AI241" t="n">
        <v>8</v>
      </c>
      <c r="AJ241" t="n">
        <v>9</v>
      </c>
      <c r="AK241" t="n">
        <v>20</v>
      </c>
      <c r="AL241" t="n">
        <v>2</v>
      </c>
      <c r="AM241" t="n">
        <v>4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HYPERLINK("http://catalog.hathitrust.org/Record/001462952","HathiTrust Record")</f>
        <v/>
      </c>
      <c r="AS241">
        <f>HYPERLINK("https://creighton-primo.hosted.exlibrisgroup.com/primo-explore/search?tab=default_tab&amp;search_scope=EVERYTHING&amp;vid=01CRU&amp;lang=en_US&amp;offset=0&amp;query=any,contains,991004128199702656","Catalog Record")</f>
        <v/>
      </c>
      <c r="AT241">
        <f>HYPERLINK("http://www.worldcat.org/oclc/2463209","WorldCat Record")</f>
        <v/>
      </c>
      <c r="AU241" t="inlineStr">
        <is>
          <t>2231011:eng</t>
        </is>
      </c>
      <c r="AV241" t="inlineStr">
        <is>
          <t>2463209</t>
        </is>
      </c>
      <c r="AW241" t="inlineStr">
        <is>
          <t>991004128199702656</t>
        </is>
      </c>
      <c r="AX241" t="inlineStr">
        <is>
          <t>991004128199702656</t>
        </is>
      </c>
      <c r="AY241" t="inlineStr">
        <is>
          <t>2269457990002656</t>
        </is>
      </c>
      <c r="AZ241" t="inlineStr">
        <is>
          <t>BOOK</t>
        </is>
      </c>
      <c r="BC241" t="inlineStr">
        <is>
          <t>32285003098166</t>
        </is>
      </c>
      <c r="BD241" t="inlineStr">
        <is>
          <t>893423415</t>
        </is>
      </c>
    </row>
    <row r="242">
      <c r="A242" t="inlineStr">
        <is>
          <t>No</t>
        </is>
      </c>
      <c r="B242" t="inlineStr">
        <is>
          <t>P325 .W43</t>
        </is>
      </c>
      <c r="C242" t="inlineStr">
        <is>
          <t>0                      P  0325000W  43</t>
        </is>
      </c>
      <c r="D242" t="inlineStr">
        <is>
          <t>Metaphor &amp; reality.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Wheelwright, Philip, 1901-1970.</t>
        </is>
      </c>
      <c r="L242" t="inlineStr">
        <is>
          <t>Bloomington : Indiana University Press, 1962.</t>
        </is>
      </c>
      <c r="M242" t="inlineStr">
        <is>
          <t>1962</t>
        </is>
      </c>
      <c r="O242" t="inlineStr">
        <is>
          <t>eng</t>
        </is>
      </c>
      <c r="P242" t="inlineStr">
        <is>
          <t>inu</t>
        </is>
      </c>
      <c r="R242" t="inlineStr">
        <is>
          <t xml:space="preserve">P  </t>
        </is>
      </c>
      <c r="S242" t="n">
        <v>5</v>
      </c>
      <c r="T242" t="n">
        <v>5</v>
      </c>
      <c r="U242" t="inlineStr">
        <is>
          <t>2005-11-17</t>
        </is>
      </c>
      <c r="V242" t="inlineStr">
        <is>
          <t>2005-11-17</t>
        </is>
      </c>
      <c r="W242" t="inlineStr">
        <is>
          <t>1993-01-27</t>
        </is>
      </c>
      <c r="X242" t="inlineStr">
        <is>
          <t>1993-01-27</t>
        </is>
      </c>
      <c r="Y242" t="n">
        <v>946</v>
      </c>
      <c r="Z242" t="n">
        <v>848</v>
      </c>
      <c r="AA242" t="n">
        <v>935</v>
      </c>
      <c r="AB242" t="n">
        <v>6</v>
      </c>
      <c r="AC242" t="n">
        <v>6</v>
      </c>
      <c r="AD242" t="n">
        <v>45</v>
      </c>
      <c r="AE242" t="n">
        <v>46</v>
      </c>
      <c r="AF242" t="n">
        <v>18</v>
      </c>
      <c r="AG242" t="n">
        <v>19</v>
      </c>
      <c r="AH242" t="n">
        <v>11</v>
      </c>
      <c r="AI242" t="n">
        <v>11</v>
      </c>
      <c r="AJ242" t="n">
        <v>23</v>
      </c>
      <c r="AK242" t="n">
        <v>23</v>
      </c>
      <c r="AL242" t="n">
        <v>5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R242">
        <f>HYPERLINK("http://catalog.hathitrust.org/Record/001435130","HathiTrust Record")</f>
        <v/>
      </c>
      <c r="AS242">
        <f>HYPERLINK("https://creighton-primo.hosted.exlibrisgroup.com/primo-explore/search?tab=default_tab&amp;search_scope=EVERYTHING&amp;vid=01CRU&amp;lang=en_US&amp;offset=0&amp;query=any,contains,991002826499702656","Catalog Record")</f>
        <v/>
      </c>
      <c r="AT242">
        <f>HYPERLINK("http://www.worldcat.org/oclc/475688","WorldCat Record")</f>
        <v/>
      </c>
      <c r="AU242" t="inlineStr">
        <is>
          <t>1547582:eng</t>
        </is>
      </c>
      <c r="AV242" t="inlineStr">
        <is>
          <t>475688</t>
        </is>
      </c>
      <c r="AW242" t="inlineStr">
        <is>
          <t>991002826499702656</t>
        </is>
      </c>
      <c r="AX242" t="inlineStr">
        <is>
          <t>991002826499702656</t>
        </is>
      </c>
      <c r="AY242" t="inlineStr">
        <is>
          <t>2255215320002656</t>
        </is>
      </c>
      <c r="AZ242" t="inlineStr">
        <is>
          <t>BOOK</t>
        </is>
      </c>
      <c r="BC242" t="inlineStr">
        <is>
          <t>32285001478568</t>
        </is>
      </c>
      <c r="BD242" t="inlineStr">
        <is>
          <t>893805082</t>
        </is>
      </c>
    </row>
    <row r="243">
      <c r="A243" t="inlineStr">
        <is>
          <t>No</t>
        </is>
      </c>
      <c r="B243" t="inlineStr">
        <is>
          <t>P325 .Z5</t>
        </is>
      </c>
      <c r="C243" t="inlineStr">
        <is>
          <t>0                      P  0325000Z  5</t>
        </is>
      </c>
      <c r="D243" t="inlineStr">
        <is>
          <t>Semantic analysis.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Ziff, Paul, 1920-2003.</t>
        </is>
      </c>
      <c r="L243" t="inlineStr">
        <is>
          <t>Ithaca, N.Y., Cornell University Press [1960]</t>
        </is>
      </c>
      <c r="M243" t="inlineStr">
        <is>
          <t>1960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P  </t>
        </is>
      </c>
      <c r="S243" t="n">
        <v>1</v>
      </c>
      <c r="T243" t="n">
        <v>1</v>
      </c>
      <c r="U243" t="inlineStr">
        <is>
          <t>1999-11-02</t>
        </is>
      </c>
      <c r="V243" t="inlineStr">
        <is>
          <t>1999-11-02</t>
        </is>
      </c>
      <c r="W243" t="inlineStr">
        <is>
          <t>1997-08-19</t>
        </is>
      </c>
      <c r="X243" t="inlineStr">
        <is>
          <t>1997-08-19</t>
        </is>
      </c>
      <c r="Y243" t="n">
        <v>793</v>
      </c>
      <c r="Z243" t="n">
        <v>641</v>
      </c>
      <c r="AA243" t="n">
        <v>718</v>
      </c>
      <c r="AB243" t="n">
        <v>7</v>
      </c>
      <c r="AC243" t="n">
        <v>7</v>
      </c>
      <c r="AD243" t="n">
        <v>34</v>
      </c>
      <c r="AE243" t="n">
        <v>36</v>
      </c>
      <c r="AF243" t="n">
        <v>11</v>
      </c>
      <c r="AG243" t="n">
        <v>11</v>
      </c>
      <c r="AH243" t="n">
        <v>7</v>
      </c>
      <c r="AI243" t="n">
        <v>9</v>
      </c>
      <c r="AJ243" t="n">
        <v>18</v>
      </c>
      <c r="AK243" t="n">
        <v>19</v>
      </c>
      <c r="AL243" t="n">
        <v>6</v>
      </c>
      <c r="AM243" t="n">
        <v>6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HYPERLINK("http://catalog.hathitrust.org/Record/001435134","HathiTrust Record")</f>
        <v/>
      </c>
      <c r="AS243">
        <f>HYPERLINK("https://creighton-primo.hosted.exlibrisgroup.com/primo-explore/search?tab=default_tab&amp;search_scope=EVERYTHING&amp;vid=01CRU&amp;lang=en_US&amp;offset=0&amp;query=any,contains,991002266589702656","Catalog Record")</f>
        <v/>
      </c>
      <c r="AT243">
        <f>HYPERLINK("http://www.worldcat.org/oclc/307174","WorldCat Record")</f>
        <v/>
      </c>
      <c r="AU243" t="inlineStr">
        <is>
          <t>9988679410:eng</t>
        </is>
      </c>
      <c r="AV243" t="inlineStr">
        <is>
          <t>307174</t>
        </is>
      </c>
      <c r="AW243" t="inlineStr">
        <is>
          <t>991002266589702656</t>
        </is>
      </c>
      <c r="AX243" t="inlineStr">
        <is>
          <t>991002266589702656</t>
        </is>
      </c>
      <c r="AY243" t="inlineStr">
        <is>
          <t>2265589080002656</t>
        </is>
      </c>
      <c r="AZ243" t="inlineStr">
        <is>
          <t>BOOK</t>
        </is>
      </c>
      <c r="BC243" t="inlineStr">
        <is>
          <t>32285003098208</t>
        </is>
      </c>
      <c r="BD243" t="inlineStr">
        <is>
          <t>893504200</t>
        </is>
      </c>
    </row>
    <row r="244">
      <c r="A244" t="inlineStr">
        <is>
          <t>No</t>
        </is>
      </c>
      <c r="B244" t="inlineStr">
        <is>
          <t>P325.5.C63 R47 2000</t>
        </is>
      </c>
      <c r="C244" t="inlineStr">
        <is>
          <t>0                      P  0325500C  63                 R  47          2000</t>
        </is>
      </c>
      <c r="D244" t="inlineStr">
        <is>
          <t>Oratio obliqua, oratio recta : an essay on metarepresentation / François Recanati.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Récanati, François, 1952-</t>
        </is>
      </c>
      <c r="L244" t="inlineStr">
        <is>
          <t>Cambridge, Mass. : MIT Press, c2000.</t>
        </is>
      </c>
      <c r="M244" t="inlineStr">
        <is>
          <t>2000</t>
        </is>
      </c>
      <c r="O244" t="inlineStr">
        <is>
          <t>eng</t>
        </is>
      </c>
      <c r="P244" t="inlineStr">
        <is>
          <t>mau</t>
        </is>
      </c>
      <c r="Q244" t="inlineStr">
        <is>
          <t>Representation and mind</t>
        </is>
      </c>
      <c r="R244" t="inlineStr">
        <is>
          <t xml:space="preserve">P  </t>
        </is>
      </c>
      <c r="S244" t="n">
        <v>1</v>
      </c>
      <c r="T244" t="n">
        <v>1</v>
      </c>
      <c r="U244" t="inlineStr">
        <is>
          <t>2001-10-15</t>
        </is>
      </c>
      <c r="V244" t="inlineStr">
        <is>
          <t>2001-10-15</t>
        </is>
      </c>
      <c r="W244" t="inlineStr">
        <is>
          <t>2001-10-15</t>
        </is>
      </c>
      <c r="X244" t="inlineStr">
        <is>
          <t>2001-10-15</t>
        </is>
      </c>
      <c r="Y244" t="n">
        <v>233</v>
      </c>
      <c r="Z244" t="n">
        <v>170</v>
      </c>
      <c r="AA244" t="n">
        <v>197</v>
      </c>
      <c r="AB244" t="n">
        <v>3</v>
      </c>
      <c r="AC244" t="n">
        <v>3</v>
      </c>
      <c r="AD244" t="n">
        <v>12</v>
      </c>
      <c r="AE244" t="n">
        <v>12</v>
      </c>
      <c r="AF244" t="n">
        <v>0</v>
      </c>
      <c r="AG244" t="n">
        <v>0</v>
      </c>
      <c r="AH244" t="n">
        <v>4</v>
      </c>
      <c r="AI244" t="n">
        <v>4</v>
      </c>
      <c r="AJ244" t="n">
        <v>7</v>
      </c>
      <c r="AK244" t="n">
        <v>7</v>
      </c>
      <c r="AL244" t="n">
        <v>2</v>
      </c>
      <c r="AM244" t="n">
        <v>2</v>
      </c>
      <c r="AN244" t="n">
        <v>1</v>
      </c>
      <c r="AO244" t="n">
        <v>1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HYPERLINK("https://creighton-primo.hosted.exlibrisgroup.com/primo-explore/search?tab=default_tab&amp;search_scope=EVERYTHING&amp;vid=01CRU&amp;lang=en_US&amp;offset=0&amp;query=any,contains,991003620509702656","Catalog Record")</f>
        <v/>
      </c>
      <c r="AT244">
        <f>HYPERLINK("http://www.worldcat.org/oclc/43118284","WorldCat Record")</f>
        <v/>
      </c>
      <c r="AU244" t="inlineStr">
        <is>
          <t>792879352:eng</t>
        </is>
      </c>
      <c r="AV244" t="inlineStr">
        <is>
          <t>43118284</t>
        </is>
      </c>
      <c r="AW244" t="inlineStr">
        <is>
          <t>991003620509702656</t>
        </is>
      </c>
      <c r="AX244" t="inlineStr">
        <is>
          <t>991003620509702656</t>
        </is>
      </c>
      <c r="AY244" t="inlineStr">
        <is>
          <t>2264317890002656</t>
        </is>
      </c>
      <c r="AZ244" t="inlineStr">
        <is>
          <t>BOOK</t>
        </is>
      </c>
      <c r="BB244" t="inlineStr">
        <is>
          <t>9780262181990</t>
        </is>
      </c>
      <c r="BC244" t="inlineStr">
        <is>
          <t>32285004396601</t>
        </is>
      </c>
      <c r="BD244" t="inlineStr">
        <is>
          <t>893252549</t>
        </is>
      </c>
    </row>
    <row r="245">
      <c r="A245" t="inlineStr">
        <is>
          <t>No</t>
        </is>
      </c>
      <c r="B245" t="inlineStr">
        <is>
          <t>P325.5.E94 F35 1985</t>
        </is>
      </c>
      <c r="C245" t="inlineStr">
        <is>
          <t>0                      P  0325500E  94                 F  35          1985</t>
        </is>
      </c>
      <c r="D245" t="inlineStr">
        <is>
          <t>Fair of speech : the uses of euphemism / edited by D.J. Enright.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Oxford [Oxfordshire] ; New York : Oxford University Press, 1985.</t>
        </is>
      </c>
      <c r="M245" t="inlineStr">
        <is>
          <t>1985</t>
        </is>
      </c>
      <c r="O245" t="inlineStr">
        <is>
          <t>eng</t>
        </is>
      </c>
      <c r="P245" t="inlineStr">
        <is>
          <t>enk</t>
        </is>
      </c>
      <c r="R245" t="inlineStr">
        <is>
          <t xml:space="preserve">P  </t>
        </is>
      </c>
      <c r="S245" t="n">
        <v>5</v>
      </c>
      <c r="T245" t="n">
        <v>5</v>
      </c>
      <c r="U245" t="inlineStr">
        <is>
          <t>1999-12-08</t>
        </is>
      </c>
      <c r="V245" t="inlineStr">
        <is>
          <t>1999-12-08</t>
        </is>
      </c>
      <c r="W245" t="inlineStr">
        <is>
          <t>1991-12-05</t>
        </is>
      </c>
      <c r="X245" t="inlineStr">
        <is>
          <t>1991-12-05</t>
        </is>
      </c>
      <c r="Y245" t="n">
        <v>734</v>
      </c>
      <c r="Z245" t="n">
        <v>563</v>
      </c>
      <c r="AA245" t="n">
        <v>569</v>
      </c>
      <c r="AB245" t="n">
        <v>7</v>
      </c>
      <c r="AC245" t="n">
        <v>7</v>
      </c>
      <c r="AD245" t="n">
        <v>25</v>
      </c>
      <c r="AE245" t="n">
        <v>26</v>
      </c>
      <c r="AF245" t="n">
        <v>8</v>
      </c>
      <c r="AG245" t="n">
        <v>8</v>
      </c>
      <c r="AH245" t="n">
        <v>5</v>
      </c>
      <c r="AI245" t="n">
        <v>5</v>
      </c>
      <c r="AJ245" t="n">
        <v>11</v>
      </c>
      <c r="AK245" t="n">
        <v>12</v>
      </c>
      <c r="AL245" t="n">
        <v>5</v>
      </c>
      <c r="AM245" t="n">
        <v>5</v>
      </c>
      <c r="AN245" t="n">
        <v>2</v>
      </c>
      <c r="AO245" t="n">
        <v>2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HYPERLINK("http://catalog.hathitrust.org/Record/000611814","HathiTrust Record")</f>
        <v/>
      </c>
      <c r="AS245">
        <f>HYPERLINK("https://creighton-primo.hosted.exlibrisgroup.com/primo-explore/search?tab=default_tab&amp;search_scope=EVERYTHING&amp;vid=01CRU&amp;lang=en_US&amp;offset=0&amp;query=any,contains,991000567639702656","Catalog Record")</f>
        <v/>
      </c>
      <c r="AT245">
        <f>HYPERLINK("http://www.worldcat.org/oclc/11623285","WorldCat Record")</f>
        <v/>
      </c>
      <c r="AU245" t="inlineStr">
        <is>
          <t>30265116:eng</t>
        </is>
      </c>
      <c r="AV245" t="inlineStr">
        <is>
          <t>11623285</t>
        </is>
      </c>
      <c r="AW245" t="inlineStr">
        <is>
          <t>991000567639702656</t>
        </is>
      </c>
      <c r="AX245" t="inlineStr">
        <is>
          <t>991000567639702656</t>
        </is>
      </c>
      <c r="AY245" t="inlineStr">
        <is>
          <t>2262197630002656</t>
        </is>
      </c>
      <c r="AZ245" t="inlineStr">
        <is>
          <t>BOOK</t>
        </is>
      </c>
      <c r="BB245" t="inlineStr">
        <is>
          <t>9780192122360</t>
        </is>
      </c>
      <c r="BC245" t="inlineStr">
        <is>
          <t>32285000654722</t>
        </is>
      </c>
      <c r="BD245" t="inlineStr">
        <is>
          <t>893802895</t>
        </is>
      </c>
    </row>
    <row r="246">
      <c r="A246" t="inlineStr">
        <is>
          <t>No</t>
        </is>
      </c>
      <c r="B246" t="inlineStr">
        <is>
          <t>P326 .A4 1987</t>
        </is>
      </c>
      <c r="C246" t="inlineStr">
        <is>
          <t>0                      P  0326000A  4           1987</t>
        </is>
      </c>
      <c r="D246" t="inlineStr">
        <is>
          <t>Words in the mind : an introduction to the mental lexicon / Jean Aitchison.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Aitchison, Jean, 1938-</t>
        </is>
      </c>
      <c r="L246" t="inlineStr">
        <is>
          <t>Oxford, UK ; New York, NY, USA : Blackwell, 1987.</t>
        </is>
      </c>
      <c r="M246" t="inlineStr">
        <is>
          <t>1987</t>
        </is>
      </c>
      <c r="O246" t="inlineStr">
        <is>
          <t>eng</t>
        </is>
      </c>
      <c r="P246" t="inlineStr">
        <is>
          <t>enk</t>
        </is>
      </c>
      <c r="R246" t="inlineStr">
        <is>
          <t xml:space="preserve">P  </t>
        </is>
      </c>
      <c r="S246" t="n">
        <v>4</v>
      </c>
      <c r="T246" t="n">
        <v>4</v>
      </c>
      <c r="U246" t="inlineStr">
        <is>
          <t>1996-12-07</t>
        </is>
      </c>
      <c r="V246" t="inlineStr">
        <is>
          <t>1996-12-07</t>
        </is>
      </c>
      <c r="W246" t="inlineStr">
        <is>
          <t>1992-05-07</t>
        </is>
      </c>
      <c r="X246" t="inlineStr">
        <is>
          <t>1992-05-07</t>
        </is>
      </c>
      <c r="Y246" t="n">
        <v>520</v>
      </c>
      <c r="Z246" t="n">
        <v>333</v>
      </c>
      <c r="AA246" t="n">
        <v>491</v>
      </c>
      <c r="AB246" t="n">
        <v>3</v>
      </c>
      <c r="AC246" t="n">
        <v>5</v>
      </c>
      <c r="AD246" t="n">
        <v>14</v>
      </c>
      <c r="AE246" t="n">
        <v>23</v>
      </c>
      <c r="AF246" t="n">
        <v>3</v>
      </c>
      <c r="AG246" t="n">
        <v>6</v>
      </c>
      <c r="AH246" t="n">
        <v>5</v>
      </c>
      <c r="AI246" t="n">
        <v>7</v>
      </c>
      <c r="AJ246" t="n">
        <v>7</v>
      </c>
      <c r="AK246" t="n">
        <v>11</v>
      </c>
      <c r="AL246" t="n">
        <v>2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HYPERLINK("https://creighton-primo.hosted.exlibrisgroup.com/primo-explore/search?tab=default_tab&amp;search_scope=EVERYTHING&amp;vid=01CRU&amp;lang=en_US&amp;offset=0&amp;query=any,contains,991000940889702656","Catalog Record")</f>
        <v/>
      </c>
      <c r="AT246">
        <f>HYPERLINK("http://www.worldcat.org/oclc/14411876","WorldCat Record")</f>
        <v/>
      </c>
      <c r="AU246" t="inlineStr">
        <is>
          <t>8548636:eng</t>
        </is>
      </c>
      <c r="AV246" t="inlineStr">
        <is>
          <t>14411876</t>
        </is>
      </c>
      <c r="AW246" t="inlineStr">
        <is>
          <t>991000940889702656</t>
        </is>
      </c>
      <c r="AX246" t="inlineStr">
        <is>
          <t>991000940889702656</t>
        </is>
      </c>
      <c r="AY246" t="inlineStr">
        <is>
          <t>2262122350002656</t>
        </is>
      </c>
      <c r="AZ246" t="inlineStr">
        <is>
          <t>BOOK</t>
        </is>
      </c>
      <c r="BB246" t="inlineStr">
        <is>
          <t>9780631144410</t>
        </is>
      </c>
      <c r="BC246" t="inlineStr">
        <is>
          <t>32285001105831</t>
        </is>
      </c>
      <c r="BD246" t="inlineStr">
        <is>
          <t>893791005</t>
        </is>
      </c>
    </row>
    <row r="247">
      <c r="A247" t="inlineStr">
        <is>
          <t>No</t>
        </is>
      </c>
      <c r="B247" t="inlineStr">
        <is>
          <t>P327 .L3 1989</t>
        </is>
      </c>
      <c r="C247" t="inlineStr">
        <is>
          <t>0                      P  0327000L  3           1989</t>
        </is>
      </c>
      <c r="D247" t="inlineStr">
        <is>
          <t>Dictionaries : the art and craft of lexicography / Sidney I. Landau.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Landau, Sidney I.</t>
        </is>
      </c>
      <c r="L247" t="inlineStr">
        <is>
          <t>Cambridge ; New York : Cambridge University Press, 1989.</t>
        </is>
      </c>
      <c r="M247" t="inlineStr">
        <is>
          <t>1989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P  </t>
        </is>
      </c>
      <c r="S247" t="n">
        <v>1</v>
      </c>
      <c r="T247" t="n">
        <v>1</v>
      </c>
      <c r="U247" t="inlineStr">
        <is>
          <t>2005-03-21</t>
        </is>
      </c>
      <c r="V247" t="inlineStr">
        <is>
          <t>2005-03-21</t>
        </is>
      </c>
      <c r="W247" t="inlineStr">
        <is>
          <t>1993-04-06</t>
        </is>
      </c>
      <c r="X247" t="inlineStr">
        <is>
          <t>1993-04-06</t>
        </is>
      </c>
      <c r="Y247" t="n">
        <v>152</v>
      </c>
      <c r="Z247" t="n">
        <v>84</v>
      </c>
      <c r="AA247" t="n">
        <v>815</v>
      </c>
      <c r="AB247" t="n">
        <v>1</v>
      </c>
      <c r="AC247" t="n">
        <v>5</v>
      </c>
      <c r="AD247" t="n">
        <v>4</v>
      </c>
      <c r="AE247" t="n">
        <v>32</v>
      </c>
      <c r="AF247" t="n">
        <v>3</v>
      </c>
      <c r="AG247" t="n">
        <v>14</v>
      </c>
      <c r="AH247" t="n">
        <v>0</v>
      </c>
      <c r="AI247" t="n">
        <v>7</v>
      </c>
      <c r="AJ247" t="n">
        <v>2</v>
      </c>
      <c r="AK247" t="n">
        <v>15</v>
      </c>
      <c r="AL247" t="n">
        <v>0</v>
      </c>
      <c r="AM247" t="n">
        <v>4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HYPERLINK("https://creighton-primo.hosted.exlibrisgroup.com/primo-explore/search?tab=default_tab&amp;search_scope=EVERYTHING&amp;vid=01CRU&amp;lang=en_US&amp;offset=0&amp;query=any,contains,991001412929702656","Catalog Record")</f>
        <v/>
      </c>
      <c r="AT247">
        <f>HYPERLINK("http://www.worldcat.org/oclc/18909481","WorldCat Record")</f>
        <v/>
      </c>
      <c r="AU247" t="inlineStr">
        <is>
          <t>63433:eng</t>
        </is>
      </c>
      <c r="AV247" t="inlineStr">
        <is>
          <t>18909481</t>
        </is>
      </c>
      <c r="AW247" t="inlineStr">
        <is>
          <t>991001412929702656</t>
        </is>
      </c>
      <c r="AX247" t="inlineStr">
        <is>
          <t>991001412929702656</t>
        </is>
      </c>
      <c r="AY247" t="inlineStr">
        <is>
          <t>2256436030002656</t>
        </is>
      </c>
      <c r="AZ247" t="inlineStr">
        <is>
          <t>BOOK</t>
        </is>
      </c>
      <c r="BB247" t="inlineStr">
        <is>
          <t>9780521367257</t>
        </is>
      </c>
      <c r="BC247" t="inlineStr">
        <is>
          <t>32285001614154</t>
        </is>
      </c>
      <c r="BD247" t="inlineStr">
        <is>
          <t>893244120</t>
        </is>
      </c>
    </row>
    <row r="248">
      <c r="A248" t="inlineStr">
        <is>
          <t>No</t>
        </is>
      </c>
      <c r="B248" t="inlineStr">
        <is>
          <t>P327 .R5 1969</t>
        </is>
      </c>
      <c r="C248" t="inlineStr">
        <is>
          <t>0                      P  0327000R  5           1969</t>
        </is>
      </c>
      <c r="D248" t="inlineStr">
        <is>
          <t>New aspects of lexicography; literary criticism, intellectual history, and social change. Edited by Howard D. Weinbrot.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Riverside Conference on Lexicography (1969 : University of California, Riverside)</t>
        </is>
      </c>
      <c r="L248" t="inlineStr">
        <is>
          <t>Carbondale, Southern Illinois University Press [1972]</t>
        </is>
      </c>
      <c r="M248" t="inlineStr">
        <is>
          <t>1972</t>
        </is>
      </c>
      <c r="O248" t="inlineStr">
        <is>
          <t>eng</t>
        </is>
      </c>
      <c r="P248" t="inlineStr">
        <is>
          <t>ilu</t>
        </is>
      </c>
      <c r="R248" t="inlineStr">
        <is>
          <t xml:space="preserve">P  </t>
        </is>
      </c>
      <c r="S248" t="n">
        <v>1</v>
      </c>
      <c r="T248" t="n">
        <v>1</v>
      </c>
      <c r="U248" t="inlineStr">
        <is>
          <t>2005-03-21</t>
        </is>
      </c>
      <c r="V248" t="inlineStr">
        <is>
          <t>2005-03-21</t>
        </is>
      </c>
      <c r="W248" t="inlineStr">
        <is>
          <t>1997-08-19</t>
        </is>
      </c>
      <c r="X248" t="inlineStr">
        <is>
          <t>1997-08-19</t>
        </is>
      </c>
      <c r="Y248" t="n">
        <v>421</v>
      </c>
      <c r="Z248" t="n">
        <v>319</v>
      </c>
      <c r="AA248" t="n">
        <v>322</v>
      </c>
      <c r="AB248" t="n">
        <v>3</v>
      </c>
      <c r="AC248" t="n">
        <v>3</v>
      </c>
      <c r="AD248" t="n">
        <v>20</v>
      </c>
      <c r="AE248" t="n">
        <v>20</v>
      </c>
      <c r="AF248" t="n">
        <v>5</v>
      </c>
      <c r="AG248" t="n">
        <v>5</v>
      </c>
      <c r="AH248" t="n">
        <v>4</v>
      </c>
      <c r="AI248" t="n">
        <v>4</v>
      </c>
      <c r="AJ248" t="n">
        <v>12</v>
      </c>
      <c r="AK248" t="n">
        <v>12</v>
      </c>
      <c r="AL248" t="n">
        <v>2</v>
      </c>
      <c r="AM248" t="n">
        <v>2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HYPERLINK("http://catalog.hathitrust.org/Record/001435065","HathiTrust Record")</f>
        <v/>
      </c>
      <c r="AS248">
        <f>HYPERLINK("https://creighton-primo.hosted.exlibrisgroup.com/primo-explore/search?tab=default_tab&amp;search_scope=EVERYTHING&amp;vid=01CRU&amp;lang=en_US&amp;offset=0&amp;query=any,contains,991002456249702656","Catalog Record")</f>
        <v/>
      </c>
      <c r="AT248">
        <f>HYPERLINK("http://www.worldcat.org/oclc/354620","WorldCat Record")</f>
        <v/>
      </c>
      <c r="AU248" t="inlineStr">
        <is>
          <t>197857638:eng</t>
        </is>
      </c>
      <c r="AV248" t="inlineStr">
        <is>
          <t>354620</t>
        </is>
      </c>
      <c r="AW248" t="inlineStr">
        <is>
          <t>991002456249702656</t>
        </is>
      </c>
      <c r="AX248" t="inlineStr">
        <is>
          <t>991002456249702656</t>
        </is>
      </c>
      <c r="AY248" t="inlineStr">
        <is>
          <t>2266357430002656</t>
        </is>
      </c>
      <c r="AZ248" t="inlineStr">
        <is>
          <t>BOOK</t>
        </is>
      </c>
      <c r="BB248" t="inlineStr">
        <is>
          <t>9780809305155</t>
        </is>
      </c>
      <c r="BC248" t="inlineStr">
        <is>
          <t>32285003098216</t>
        </is>
      </c>
      <c r="BD248" t="inlineStr">
        <is>
          <t>893226854</t>
        </is>
      </c>
    </row>
    <row r="249">
      <c r="A249" t="inlineStr">
        <is>
          <t>No</t>
        </is>
      </c>
      <c r="B249" t="inlineStr">
        <is>
          <t>P33 .U4 1969</t>
        </is>
      </c>
      <c r="C249" t="inlineStr">
        <is>
          <t>0                      P  0033000U  4           1969</t>
        </is>
      </c>
      <c r="D249" t="inlineStr">
        <is>
          <t>Linguistics and literary theory / Karl D. Uitti.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Uitti, Karl D.</t>
        </is>
      </c>
      <c r="L249" t="inlineStr">
        <is>
          <t>New York, N.Y. : Norton, c1969.</t>
        </is>
      </c>
      <c r="M249" t="inlineStr">
        <is>
          <t>1969</t>
        </is>
      </c>
      <c r="O249" t="inlineStr">
        <is>
          <t>eng</t>
        </is>
      </c>
      <c r="P249" t="inlineStr">
        <is>
          <t>nyu</t>
        </is>
      </c>
      <c r="Q249" t="inlineStr">
        <is>
          <t>The Princeton studies of humanistic scholarship in America.</t>
        </is>
      </c>
      <c r="R249" t="inlineStr">
        <is>
          <t xml:space="preserve">P  </t>
        </is>
      </c>
      <c r="S249" t="n">
        <v>1</v>
      </c>
      <c r="T249" t="n">
        <v>1</v>
      </c>
      <c r="U249" t="inlineStr">
        <is>
          <t>2001-07-16</t>
        </is>
      </c>
      <c r="V249" t="inlineStr">
        <is>
          <t>2001-07-16</t>
        </is>
      </c>
      <c r="W249" t="inlineStr">
        <is>
          <t>2001-07-16</t>
        </is>
      </c>
      <c r="X249" t="inlineStr">
        <is>
          <t>2001-07-16</t>
        </is>
      </c>
      <c r="Y249" t="n">
        <v>38</v>
      </c>
      <c r="Z249" t="n">
        <v>32</v>
      </c>
      <c r="AA249" t="n">
        <v>485</v>
      </c>
      <c r="AB249" t="n">
        <v>1</v>
      </c>
      <c r="AC249" t="n">
        <v>8</v>
      </c>
      <c r="AD249" t="n">
        <v>1</v>
      </c>
      <c r="AE249" t="n">
        <v>29</v>
      </c>
      <c r="AF249" t="n">
        <v>0</v>
      </c>
      <c r="AG249" t="n">
        <v>7</v>
      </c>
      <c r="AH249" t="n">
        <v>0</v>
      </c>
      <c r="AI249" t="n">
        <v>7</v>
      </c>
      <c r="AJ249" t="n">
        <v>1</v>
      </c>
      <c r="AK249" t="n">
        <v>14</v>
      </c>
      <c r="AL249" t="n">
        <v>0</v>
      </c>
      <c r="AM249" t="n">
        <v>7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HYPERLINK("https://creighton-primo.hosted.exlibrisgroup.com/primo-explore/search?tab=default_tab&amp;search_scope=EVERYTHING&amp;vid=01CRU&amp;lang=en_US&amp;offset=0&amp;query=any,contains,991003569229702656","Catalog Record")</f>
        <v/>
      </c>
      <c r="AT249">
        <f>HYPERLINK("http://www.worldcat.org/oclc/13181281","WorldCat Record")</f>
        <v/>
      </c>
      <c r="AU249" t="inlineStr">
        <is>
          <t>1128508:eng</t>
        </is>
      </c>
      <c r="AV249" t="inlineStr">
        <is>
          <t>13181281</t>
        </is>
      </c>
      <c r="AW249" t="inlineStr">
        <is>
          <t>991003569229702656</t>
        </is>
      </c>
      <c r="AX249" t="inlineStr">
        <is>
          <t>991003569229702656</t>
        </is>
      </c>
      <c r="AY249" t="inlineStr">
        <is>
          <t>2258114190002656</t>
        </is>
      </c>
      <c r="AZ249" t="inlineStr">
        <is>
          <t>BOOK</t>
        </is>
      </c>
      <c r="BB249" t="inlineStr">
        <is>
          <t>9780393092936</t>
        </is>
      </c>
      <c r="BC249" t="inlineStr">
        <is>
          <t>32285004332564</t>
        </is>
      </c>
      <c r="BD249" t="inlineStr">
        <is>
          <t>893416524</t>
        </is>
      </c>
    </row>
    <row r="250">
      <c r="A250" t="inlineStr">
        <is>
          <t>No</t>
        </is>
      </c>
      <c r="B250" t="inlineStr">
        <is>
          <t>P341 .B47 1991</t>
        </is>
      </c>
      <c r="C250" t="inlineStr">
        <is>
          <t>0                      P  0341000B  47          1991</t>
        </is>
      </c>
      <c r="D250" t="inlineStr">
        <is>
          <t>Basic color terms : their universality and evolution / Brent Berlin and Paul Kay.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Berlin, Brent.</t>
        </is>
      </c>
      <c r="L250" t="inlineStr">
        <is>
          <t>Berkeley : University of California Press, 1991, c1969.</t>
        </is>
      </c>
      <c r="M250" t="inlineStr">
        <is>
          <t>1991</t>
        </is>
      </c>
      <c r="O250" t="inlineStr">
        <is>
          <t>eng</t>
        </is>
      </c>
      <c r="P250" t="inlineStr">
        <is>
          <t>cau</t>
        </is>
      </c>
      <c r="R250" t="inlineStr">
        <is>
          <t xml:space="preserve">P  </t>
        </is>
      </c>
      <c r="S250" t="n">
        <v>11</v>
      </c>
      <c r="T250" t="n">
        <v>11</v>
      </c>
      <c r="U250" t="inlineStr">
        <is>
          <t>2008-03-03</t>
        </is>
      </c>
      <c r="V250" t="inlineStr">
        <is>
          <t>2008-03-03</t>
        </is>
      </c>
      <c r="W250" t="inlineStr">
        <is>
          <t>1994-05-24</t>
        </is>
      </c>
      <c r="X250" t="inlineStr">
        <is>
          <t>1994-05-24</t>
        </is>
      </c>
      <c r="Y250" t="n">
        <v>116</v>
      </c>
      <c r="Z250" t="n">
        <v>85</v>
      </c>
      <c r="AA250" t="n">
        <v>544</v>
      </c>
      <c r="AB250" t="n">
        <v>1</v>
      </c>
      <c r="AC250" t="n">
        <v>4</v>
      </c>
      <c r="AD250" t="n">
        <v>4</v>
      </c>
      <c r="AE250" t="n">
        <v>27</v>
      </c>
      <c r="AF250" t="n">
        <v>2</v>
      </c>
      <c r="AG250" t="n">
        <v>9</v>
      </c>
      <c r="AH250" t="n">
        <v>1</v>
      </c>
      <c r="AI250" t="n">
        <v>8</v>
      </c>
      <c r="AJ250" t="n">
        <v>3</v>
      </c>
      <c r="AK250" t="n">
        <v>13</v>
      </c>
      <c r="AL250" t="n">
        <v>0</v>
      </c>
      <c r="AM250" t="n">
        <v>3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HYPERLINK("https://creighton-primo.hosted.exlibrisgroup.com/primo-explore/search?tab=default_tab&amp;search_scope=EVERYTHING&amp;vid=01CRU&amp;lang=en_US&amp;offset=0&amp;query=any,contains,991002011829702656","Catalog Record")</f>
        <v/>
      </c>
      <c r="AT250">
        <f>HYPERLINK("http://www.worldcat.org/oclc/25609729","WorldCat Record")</f>
        <v/>
      </c>
      <c r="AU250" t="inlineStr">
        <is>
          <t>1188172:eng</t>
        </is>
      </c>
      <c r="AV250" t="inlineStr">
        <is>
          <t>25609729</t>
        </is>
      </c>
      <c r="AW250" t="inlineStr">
        <is>
          <t>991002011829702656</t>
        </is>
      </c>
      <c r="AX250" t="inlineStr">
        <is>
          <t>991002011829702656</t>
        </is>
      </c>
      <c r="AY250" t="inlineStr">
        <is>
          <t>2261944840002656</t>
        </is>
      </c>
      <c r="AZ250" t="inlineStr">
        <is>
          <t>BOOK</t>
        </is>
      </c>
      <c r="BB250" t="inlineStr">
        <is>
          <t>9780520076358</t>
        </is>
      </c>
      <c r="BC250" t="inlineStr">
        <is>
          <t>32285001898617</t>
        </is>
      </c>
      <c r="BD250" t="inlineStr">
        <is>
          <t>893603109</t>
        </is>
      </c>
    </row>
    <row r="251">
      <c r="A251" t="inlineStr">
        <is>
          <t>No</t>
        </is>
      </c>
      <c r="B251" t="inlineStr">
        <is>
          <t>P35 .E2 1990</t>
        </is>
      </c>
      <c r="C251" t="inlineStr">
        <is>
          <t>0                      P  0035000E  2           1990</t>
        </is>
      </c>
      <c r="D251" t="inlineStr">
        <is>
          <t>Aspects of language and culture / Carol M. Eastman.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Eastman, Carol M., 1941-</t>
        </is>
      </c>
      <c r="L251" t="inlineStr">
        <is>
          <t>Novato, CA : Chandler &amp; Sharp, c1990.</t>
        </is>
      </c>
      <c r="M251" t="inlineStr">
        <is>
          <t>1990</t>
        </is>
      </c>
      <c r="N251" t="inlineStr">
        <is>
          <t>2nd ed.</t>
        </is>
      </c>
      <c r="O251" t="inlineStr">
        <is>
          <t>eng</t>
        </is>
      </c>
      <c r="P251" t="inlineStr">
        <is>
          <t>cau</t>
        </is>
      </c>
      <c r="Q251" t="inlineStr">
        <is>
          <t>Chandler &amp; Sharp publications in anthropology</t>
        </is>
      </c>
      <c r="R251" t="inlineStr">
        <is>
          <t xml:space="preserve">P  </t>
        </is>
      </c>
      <c r="S251" t="n">
        <v>16</v>
      </c>
      <c r="T251" t="n">
        <v>16</v>
      </c>
      <c r="U251" t="inlineStr">
        <is>
          <t>2005-05-01</t>
        </is>
      </c>
      <c r="V251" t="inlineStr">
        <is>
          <t>2005-05-01</t>
        </is>
      </c>
      <c r="W251" t="inlineStr">
        <is>
          <t>1991-06-11</t>
        </is>
      </c>
      <c r="X251" t="inlineStr">
        <is>
          <t>1991-06-11</t>
        </is>
      </c>
      <c r="Y251" t="n">
        <v>138</v>
      </c>
      <c r="Z251" t="n">
        <v>103</v>
      </c>
      <c r="AA251" t="n">
        <v>409</v>
      </c>
      <c r="AB251" t="n">
        <v>1</v>
      </c>
      <c r="AC251" t="n">
        <v>4</v>
      </c>
      <c r="AD251" t="n">
        <v>2</v>
      </c>
      <c r="AE251" t="n">
        <v>18</v>
      </c>
      <c r="AF251" t="n">
        <v>1</v>
      </c>
      <c r="AG251" t="n">
        <v>8</v>
      </c>
      <c r="AH251" t="n">
        <v>0</v>
      </c>
      <c r="AI251" t="n">
        <v>2</v>
      </c>
      <c r="AJ251" t="n">
        <v>2</v>
      </c>
      <c r="AK251" t="n">
        <v>8</v>
      </c>
      <c r="AL251" t="n">
        <v>0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HYPERLINK("https://creighton-primo.hosted.exlibrisgroup.com/primo-explore/search?tab=default_tab&amp;search_scope=EVERYTHING&amp;vid=01CRU&amp;lang=en_US&amp;offset=0&amp;query=any,contains,991001767259702656","Catalog Record")</f>
        <v/>
      </c>
      <c r="AT251">
        <f>HYPERLINK("http://www.worldcat.org/oclc/22314241","WorldCat Record")</f>
        <v/>
      </c>
      <c r="AU251" t="inlineStr">
        <is>
          <t>2513201:eng</t>
        </is>
      </c>
      <c r="AV251" t="inlineStr">
        <is>
          <t>22314241</t>
        </is>
      </c>
      <c r="AW251" t="inlineStr">
        <is>
          <t>991001767259702656</t>
        </is>
      </c>
      <c r="AX251" t="inlineStr">
        <is>
          <t>991001767259702656</t>
        </is>
      </c>
      <c r="AY251" t="inlineStr">
        <is>
          <t>2263958430002656</t>
        </is>
      </c>
      <c r="AZ251" t="inlineStr">
        <is>
          <t>BOOK</t>
        </is>
      </c>
      <c r="BB251" t="inlineStr">
        <is>
          <t>9780883165614</t>
        </is>
      </c>
      <c r="BC251" t="inlineStr">
        <is>
          <t>32285000594555</t>
        </is>
      </c>
      <c r="BD251" t="inlineStr">
        <is>
          <t>893866462</t>
        </is>
      </c>
    </row>
    <row r="252">
      <c r="A252" t="inlineStr">
        <is>
          <t>No</t>
        </is>
      </c>
      <c r="B252" t="inlineStr">
        <is>
          <t>P35 .H5 1980</t>
        </is>
      </c>
      <c r="C252" t="inlineStr">
        <is>
          <t>0                      P  0035000H  5           1980</t>
        </is>
      </c>
      <c r="D252" t="inlineStr">
        <is>
          <t>Linguistic anthropology / Nancy Parrott Hickerson.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Hickerson, Nancy Parrott.</t>
        </is>
      </c>
      <c r="L252" t="inlineStr">
        <is>
          <t>New York : Holt, Rinehart, and Winston, c1980.</t>
        </is>
      </c>
      <c r="M252" t="inlineStr">
        <is>
          <t>1980</t>
        </is>
      </c>
      <c r="O252" t="inlineStr">
        <is>
          <t>eng</t>
        </is>
      </c>
      <c r="P252" t="inlineStr">
        <is>
          <t>nyu</t>
        </is>
      </c>
      <c r="Q252" t="inlineStr">
        <is>
          <t>Basic anthropology units</t>
        </is>
      </c>
      <c r="R252" t="inlineStr">
        <is>
          <t xml:space="preserve">P  </t>
        </is>
      </c>
      <c r="S252" t="n">
        <v>1</v>
      </c>
      <c r="T252" t="n">
        <v>1</v>
      </c>
      <c r="U252" t="inlineStr">
        <is>
          <t>2008-03-31</t>
        </is>
      </c>
      <c r="V252" t="inlineStr">
        <is>
          <t>2008-03-31</t>
        </is>
      </c>
      <c r="W252" t="inlineStr">
        <is>
          <t>2008-03-27</t>
        </is>
      </c>
      <c r="X252" t="inlineStr">
        <is>
          <t>2008-03-27</t>
        </is>
      </c>
      <c r="Y252" t="n">
        <v>299</v>
      </c>
      <c r="Z252" t="n">
        <v>189</v>
      </c>
      <c r="AA252" t="n">
        <v>213</v>
      </c>
      <c r="AB252" t="n">
        <v>1</v>
      </c>
      <c r="AC252" t="n">
        <v>1</v>
      </c>
      <c r="AD252" t="n">
        <v>3</v>
      </c>
      <c r="AE252" t="n">
        <v>4</v>
      </c>
      <c r="AF252" t="n">
        <v>0</v>
      </c>
      <c r="AG252" t="n">
        <v>0</v>
      </c>
      <c r="AH252" t="n">
        <v>1</v>
      </c>
      <c r="AI252" t="n">
        <v>1</v>
      </c>
      <c r="AJ252" t="n">
        <v>3</v>
      </c>
      <c r="AK252" t="n">
        <v>4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HYPERLINK("http://catalog.hathitrust.org/Record/002704143","HathiTrust Record")</f>
        <v/>
      </c>
      <c r="AS252">
        <f>HYPERLINK("https://creighton-primo.hosted.exlibrisgroup.com/primo-explore/search?tab=default_tab&amp;search_scope=EVERYTHING&amp;vid=01CRU&amp;lang=en_US&amp;offset=0&amp;query=any,contains,991005198929702656","Catalog Record")</f>
        <v/>
      </c>
      <c r="AT252">
        <f>HYPERLINK("http://www.worldcat.org/oclc/5831673","WorldCat Record")</f>
        <v/>
      </c>
      <c r="AU252" t="inlineStr">
        <is>
          <t>400947:eng</t>
        </is>
      </c>
      <c r="AV252" t="inlineStr">
        <is>
          <t>5831673</t>
        </is>
      </c>
      <c r="AW252" t="inlineStr">
        <is>
          <t>991005198929702656</t>
        </is>
      </c>
      <c r="AX252" t="inlineStr">
        <is>
          <t>991005198929702656</t>
        </is>
      </c>
      <c r="AY252" t="inlineStr">
        <is>
          <t>2263340780002656</t>
        </is>
      </c>
      <c r="AZ252" t="inlineStr">
        <is>
          <t>BOOK</t>
        </is>
      </c>
      <c r="BB252" t="inlineStr">
        <is>
          <t>9780030069567</t>
        </is>
      </c>
      <c r="BC252" t="inlineStr">
        <is>
          <t>32285005399497</t>
        </is>
      </c>
      <c r="BD252" t="inlineStr">
        <is>
          <t>893870681</t>
        </is>
      </c>
    </row>
    <row r="253">
      <c r="A253" t="inlineStr">
        <is>
          <t>No</t>
        </is>
      </c>
      <c r="B253" t="inlineStr">
        <is>
          <t>P35 .I5 1973</t>
        </is>
      </c>
      <c r="C253" t="inlineStr">
        <is>
          <t>0                      P  0035000I  5           1973</t>
        </is>
      </c>
      <c r="D253" t="inlineStr">
        <is>
          <t>Language and man : anthropological issues / ed. William C. McCormack, Stephen A. Wurm.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International Congress of Anthropological and Ethnological Sciences (9th : 1973 : Chicago, Ill.)</t>
        </is>
      </c>
      <c r="L253" t="inlineStr">
        <is>
          <t>The Hague : Mouton ; Chicago : distributed in the USA and Canada by Aldine, c1976.</t>
        </is>
      </c>
      <c r="M253" t="inlineStr">
        <is>
          <t>1976</t>
        </is>
      </c>
      <c r="O253" t="inlineStr">
        <is>
          <t>eng</t>
        </is>
      </c>
      <c r="P253" t="inlineStr">
        <is>
          <t xml:space="preserve">ne </t>
        </is>
      </c>
      <c r="Q253" t="inlineStr">
        <is>
          <t>World anthropology</t>
        </is>
      </c>
      <c r="R253" t="inlineStr">
        <is>
          <t xml:space="preserve">P  </t>
        </is>
      </c>
      <c r="S253" t="n">
        <v>4</v>
      </c>
      <c r="T253" t="n">
        <v>4</v>
      </c>
      <c r="U253" t="inlineStr">
        <is>
          <t>1993-09-06</t>
        </is>
      </c>
      <c r="V253" t="inlineStr">
        <is>
          <t>1993-09-06</t>
        </is>
      </c>
      <c r="W253" t="inlineStr">
        <is>
          <t>1993-03-30</t>
        </is>
      </c>
      <c r="X253" t="inlineStr">
        <is>
          <t>1993-03-30</t>
        </is>
      </c>
      <c r="Y253" t="n">
        <v>463</v>
      </c>
      <c r="Z253" t="n">
        <v>326</v>
      </c>
      <c r="AA253" t="n">
        <v>339</v>
      </c>
      <c r="AB253" t="n">
        <v>2</v>
      </c>
      <c r="AC253" t="n">
        <v>2</v>
      </c>
      <c r="AD253" t="n">
        <v>12</v>
      </c>
      <c r="AE253" t="n">
        <v>12</v>
      </c>
      <c r="AF253" t="n">
        <v>1</v>
      </c>
      <c r="AG253" t="n">
        <v>1</v>
      </c>
      <c r="AH253" t="n">
        <v>5</v>
      </c>
      <c r="AI253" t="n">
        <v>5</v>
      </c>
      <c r="AJ253" t="n">
        <v>8</v>
      </c>
      <c r="AK253" t="n">
        <v>8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HYPERLINK("http://catalog.hathitrust.org/Record/000083653","HathiTrust Record")</f>
        <v/>
      </c>
      <c r="AS253">
        <f>HYPERLINK("https://creighton-primo.hosted.exlibrisgroup.com/primo-explore/search?tab=default_tab&amp;search_scope=EVERYTHING&amp;vid=01CRU&amp;lang=en_US&amp;offset=0&amp;query=any,contains,991004147559702656","Catalog Record")</f>
        <v/>
      </c>
      <c r="AT253">
        <f>HYPERLINK("http://www.worldcat.org/oclc/2515556","WorldCat Record")</f>
        <v/>
      </c>
      <c r="AU253" t="inlineStr">
        <is>
          <t>821693876:eng</t>
        </is>
      </c>
      <c r="AV253" t="inlineStr">
        <is>
          <t>2515556</t>
        </is>
      </c>
      <c r="AW253" t="inlineStr">
        <is>
          <t>991004147559702656</t>
        </is>
      </c>
      <c r="AX253" t="inlineStr">
        <is>
          <t>991004147559702656</t>
        </is>
      </c>
      <c r="AY253" t="inlineStr">
        <is>
          <t>2259379700002656</t>
        </is>
      </c>
      <c r="AZ253" t="inlineStr">
        <is>
          <t>BOOK</t>
        </is>
      </c>
      <c r="BB253" t="inlineStr">
        <is>
          <t>9780202900353</t>
        </is>
      </c>
      <c r="BC253" t="inlineStr">
        <is>
          <t>32285001610335</t>
        </is>
      </c>
      <c r="BD253" t="inlineStr">
        <is>
          <t>893235105</t>
        </is>
      </c>
    </row>
    <row r="254">
      <c r="A254" t="inlineStr">
        <is>
          <t>No</t>
        </is>
      </c>
      <c r="B254" t="inlineStr">
        <is>
          <t>P35 .L84 1992</t>
        </is>
      </c>
      <c r="C254" t="inlineStr">
        <is>
          <t>0                      P  0035000L  84          1992</t>
        </is>
      </c>
      <c r="D254" t="inlineStr">
        <is>
          <t>Language diversity and thought : a reformulation of the linguistic relativity hypothesis / John A. Lucy.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Lucy, John Arthur, 1949-</t>
        </is>
      </c>
      <c r="L254" t="inlineStr">
        <is>
          <t>Cambridge ; New York : Cambridge University Press, 1992.</t>
        </is>
      </c>
      <c r="M254" t="inlineStr">
        <is>
          <t>1992</t>
        </is>
      </c>
      <c r="O254" t="inlineStr">
        <is>
          <t>eng</t>
        </is>
      </c>
      <c r="P254" t="inlineStr">
        <is>
          <t>enk</t>
        </is>
      </c>
      <c r="Q254" t="inlineStr">
        <is>
          <t>Studies in the social and cultural foundations of language ; no. 12</t>
        </is>
      </c>
      <c r="R254" t="inlineStr">
        <is>
          <t xml:space="preserve">P  </t>
        </is>
      </c>
      <c r="S254" t="n">
        <v>3</v>
      </c>
      <c r="T254" t="n">
        <v>3</v>
      </c>
      <c r="U254" t="inlineStr">
        <is>
          <t>2010-11-21</t>
        </is>
      </c>
      <c r="V254" t="inlineStr">
        <is>
          <t>2010-11-21</t>
        </is>
      </c>
      <c r="W254" t="inlineStr">
        <is>
          <t>2008-04-03</t>
        </is>
      </c>
      <c r="X254" t="inlineStr">
        <is>
          <t>2008-04-03</t>
        </is>
      </c>
      <c r="Y254" t="n">
        <v>432</v>
      </c>
      <c r="Z254" t="n">
        <v>257</v>
      </c>
      <c r="AA254" t="n">
        <v>265</v>
      </c>
      <c r="AB254" t="n">
        <v>2</v>
      </c>
      <c r="AC254" t="n">
        <v>2</v>
      </c>
      <c r="AD254" t="n">
        <v>10</v>
      </c>
      <c r="AE254" t="n">
        <v>10</v>
      </c>
      <c r="AF254" t="n">
        <v>2</v>
      </c>
      <c r="AG254" t="n">
        <v>2</v>
      </c>
      <c r="AH254" t="n">
        <v>5</v>
      </c>
      <c r="AI254" t="n">
        <v>5</v>
      </c>
      <c r="AJ254" t="n">
        <v>5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HYPERLINK("https://creighton-primo.hosted.exlibrisgroup.com/primo-explore/search?tab=default_tab&amp;search_scope=EVERYTHING&amp;vid=01CRU&amp;lang=en_US&amp;offset=0&amp;query=any,contains,991005194139702656","Catalog Record")</f>
        <v/>
      </c>
      <c r="AT254">
        <f>HYPERLINK("http://www.worldcat.org/oclc/24174700","WorldCat Record")</f>
        <v/>
      </c>
      <c r="AU254" t="inlineStr">
        <is>
          <t>836893552:eng</t>
        </is>
      </c>
      <c r="AV254" t="inlineStr">
        <is>
          <t>24174700</t>
        </is>
      </c>
      <c r="AW254" t="inlineStr">
        <is>
          <t>991005194139702656</t>
        </is>
      </c>
      <c r="AX254" t="inlineStr">
        <is>
          <t>991005194139702656</t>
        </is>
      </c>
      <c r="AY254" t="inlineStr">
        <is>
          <t>2269672890002656</t>
        </is>
      </c>
      <c r="AZ254" t="inlineStr">
        <is>
          <t>BOOK</t>
        </is>
      </c>
      <c r="BB254" t="inlineStr">
        <is>
          <t>9780521384186</t>
        </is>
      </c>
      <c r="BC254" t="inlineStr">
        <is>
          <t>32285005401053</t>
        </is>
      </c>
      <c r="BD254" t="inlineStr">
        <is>
          <t>893789594</t>
        </is>
      </c>
    </row>
    <row r="255">
      <c r="A255" t="inlineStr">
        <is>
          <t>No</t>
        </is>
      </c>
      <c r="B255" t="inlineStr">
        <is>
          <t>P35 .R46 1992</t>
        </is>
      </c>
      <c r="C255" t="inlineStr">
        <is>
          <t>0                      P  0035000R  46          1992</t>
        </is>
      </c>
      <c r="D255" t="inlineStr">
        <is>
          <t>Rethinking context : language as an interactive phenomenon / edited by Alessandro Duranti and Charles Goodwin.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Cambridge [England] ; New York : Cambridge University Press, 1992.</t>
        </is>
      </c>
      <c r="M255" t="inlineStr">
        <is>
          <t>1992</t>
        </is>
      </c>
      <c r="O255" t="inlineStr">
        <is>
          <t>eng</t>
        </is>
      </c>
      <c r="P255" t="inlineStr">
        <is>
          <t>enk</t>
        </is>
      </c>
      <c r="Q255" t="inlineStr">
        <is>
          <t>Studies in the social and cultural foundations of language ; no. 11</t>
        </is>
      </c>
      <c r="R255" t="inlineStr">
        <is>
          <t xml:space="preserve">P  </t>
        </is>
      </c>
      <c r="S255" t="n">
        <v>1</v>
      </c>
      <c r="T255" t="n">
        <v>1</v>
      </c>
      <c r="U255" t="inlineStr">
        <is>
          <t>2008-03-26</t>
        </is>
      </c>
      <c r="V255" t="inlineStr">
        <is>
          <t>2008-03-26</t>
        </is>
      </c>
      <c r="W255" t="inlineStr">
        <is>
          <t>2008-03-26</t>
        </is>
      </c>
      <c r="X255" t="inlineStr">
        <is>
          <t>2008-03-26</t>
        </is>
      </c>
      <c r="Y255" t="n">
        <v>444</v>
      </c>
      <c r="Z255" t="n">
        <v>251</v>
      </c>
      <c r="AA255" t="n">
        <v>257</v>
      </c>
      <c r="AB255" t="n">
        <v>2</v>
      </c>
      <c r="AC255" t="n">
        <v>2</v>
      </c>
      <c r="AD255" t="n">
        <v>9</v>
      </c>
      <c r="AE255" t="n">
        <v>9</v>
      </c>
      <c r="AF255" t="n">
        <v>2</v>
      </c>
      <c r="AG255" t="n">
        <v>2</v>
      </c>
      <c r="AH255" t="n">
        <v>4</v>
      </c>
      <c r="AI255" t="n">
        <v>4</v>
      </c>
      <c r="AJ255" t="n">
        <v>6</v>
      </c>
      <c r="AK255" t="n">
        <v>6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HYPERLINK("https://creighton-primo.hosted.exlibrisgroup.com/primo-explore/search?tab=default_tab&amp;search_scope=EVERYTHING&amp;vid=01CRU&amp;lang=en_US&amp;offset=0&amp;query=any,contains,991005194369702656","Catalog Record")</f>
        <v/>
      </c>
      <c r="AT255">
        <f>HYPERLINK("http://www.worldcat.org/oclc/22984311","WorldCat Record")</f>
        <v/>
      </c>
      <c r="AU255" t="inlineStr">
        <is>
          <t>807077375:eng</t>
        </is>
      </c>
      <c r="AV255" t="inlineStr">
        <is>
          <t>22984311</t>
        </is>
      </c>
      <c r="AW255" t="inlineStr">
        <is>
          <t>991005194369702656</t>
        </is>
      </c>
      <c r="AX255" t="inlineStr">
        <is>
          <t>991005194369702656</t>
        </is>
      </c>
      <c r="AY255" t="inlineStr">
        <is>
          <t>2271532670002656</t>
        </is>
      </c>
      <c r="AZ255" t="inlineStr">
        <is>
          <t>BOOK</t>
        </is>
      </c>
      <c r="BB255" t="inlineStr">
        <is>
          <t>9780521381697</t>
        </is>
      </c>
      <c r="BC255" t="inlineStr">
        <is>
          <t>32285005398929</t>
        </is>
      </c>
      <c r="BD255" t="inlineStr">
        <is>
          <t>893795768</t>
        </is>
      </c>
    </row>
    <row r="256">
      <c r="A256" t="inlineStr">
        <is>
          <t>No</t>
        </is>
      </c>
      <c r="B256" t="inlineStr">
        <is>
          <t>P35 .W54 1997</t>
        </is>
      </c>
      <c r="C256" t="inlineStr">
        <is>
          <t>0                      P  0035000W  54          1997</t>
        </is>
      </c>
      <c r="D256" t="inlineStr">
        <is>
          <t>Understanding cultures through their key words : English, Russian, Polish, German, and Japanese / Anna Wierzbicka.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Wierzbicka, Anna.</t>
        </is>
      </c>
      <c r="L256" t="inlineStr">
        <is>
          <t>New York : Oxford University Press, 1997.</t>
        </is>
      </c>
      <c r="M256" t="inlineStr">
        <is>
          <t>1997</t>
        </is>
      </c>
      <c r="O256" t="inlineStr">
        <is>
          <t>eng</t>
        </is>
      </c>
      <c r="P256" t="inlineStr">
        <is>
          <t>nyu</t>
        </is>
      </c>
      <c r="Q256" t="inlineStr">
        <is>
          <t>Oxford studies in anthropological linguistics ; 8</t>
        </is>
      </c>
      <c r="R256" t="inlineStr">
        <is>
          <t xml:space="preserve">P  </t>
        </is>
      </c>
      <c r="S256" t="n">
        <v>1</v>
      </c>
      <c r="T256" t="n">
        <v>1</v>
      </c>
      <c r="U256" t="inlineStr">
        <is>
          <t>2008-04-09</t>
        </is>
      </c>
      <c r="V256" t="inlineStr">
        <is>
          <t>2008-04-09</t>
        </is>
      </c>
      <c r="W256" t="inlineStr">
        <is>
          <t>1998-05-18</t>
        </is>
      </c>
      <c r="X256" t="inlineStr">
        <is>
          <t>1998-05-18</t>
        </is>
      </c>
      <c r="Y256" t="n">
        <v>471</v>
      </c>
      <c r="Z256" t="n">
        <v>306</v>
      </c>
      <c r="AA256" t="n">
        <v>1276</v>
      </c>
      <c r="AB256" t="n">
        <v>2</v>
      </c>
      <c r="AC256" t="n">
        <v>6</v>
      </c>
      <c r="AD256" t="n">
        <v>11</v>
      </c>
      <c r="AE256" t="n">
        <v>38</v>
      </c>
      <c r="AF256" t="n">
        <v>1</v>
      </c>
      <c r="AG256" t="n">
        <v>14</v>
      </c>
      <c r="AH256" t="n">
        <v>4</v>
      </c>
      <c r="AI256" t="n">
        <v>10</v>
      </c>
      <c r="AJ256" t="n">
        <v>7</v>
      </c>
      <c r="AK256" t="n">
        <v>16</v>
      </c>
      <c r="AL256" t="n">
        <v>1</v>
      </c>
      <c r="AM256" t="n">
        <v>5</v>
      </c>
      <c r="AN256" t="n">
        <v>0</v>
      </c>
      <c r="AO256" t="n">
        <v>1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HYPERLINK("https://creighton-primo.hosted.exlibrisgroup.com/primo-explore/search?tab=default_tab&amp;search_scope=EVERYTHING&amp;vid=01CRU&amp;lang=en_US&amp;offset=0&amp;query=any,contains,991002656209702656","Catalog Record")</f>
        <v/>
      </c>
      <c r="AT256">
        <f>HYPERLINK("http://www.worldcat.org/oclc/34730633","WorldCat Record")</f>
        <v/>
      </c>
      <c r="AU256" t="inlineStr">
        <is>
          <t>34529473:eng</t>
        </is>
      </c>
      <c r="AV256" t="inlineStr">
        <is>
          <t>34730633</t>
        </is>
      </c>
      <c r="AW256" t="inlineStr">
        <is>
          <t>991002656209702656</t>
        </is>
      </c>
      <c r="AX256" t="inlineStr">
        <is>
          <t>991002656209702656</t>
        </is>
      </c>
      <c r="AY256" t="inlineStr">
        <is>
          <t>2270516560002656</t>
        </is>
      </c>
      <c r="AZ256" t="inlineStr">
        <is>
          <t>BOOK</t>
        </is>
      </c>
      <c r="BB256" t="inlineStr">
        <is>
          <t>9780195088359</t>
        </is>
      </c>
      <c r="BC256" t="inlineStr">
        <is>
          <t>32285003409447</t>
        </is>
      </c>
      <c r="BD256" t="inlineStr">
        <is>
          <t>893434128</t>
        </is>
      </c>
    </row>
    <row r="257">
      <c r="A257" t="inlineStr">
        <is>
          <t>No</t>
        </is>
      </c>
      <c r="B257" t="inlineStr">
        <is>
          <t>P37 .E47 1986</t>
        </is>
      </c>
      <c r="C257" t="inlineStr">
        <is>
          <t>0                      P  0037000E  47          1986</t>
        </is>
      </c>
      <c r="D257" t="inlineStr">
        <is>
          <t>The psychology of language and communication / Andrew Ellis, Geoffrey Beattie.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Ellis, Andrew W.</t>
        </is>
      </c>
      <c r="L257" t="inlineStr">
        <is>
          <t>New York : Guilford Press, 1986.</t>
        </is>
      </c>
      <c r="M257" t="inlineStr">
        <is>
          <t>1986</t>
        </is>
      </c>
      <c r="O257" t="inlineStr">
        <is>
          <t>eng</t>
        </is>
      </c>
      <c r="P257" t="inlineStr">
        <is>
          <t>nyu</t>
        </is>
      </c>
      <c r="R257" t="inlineStr">
        <is>
          <t xml:space="preserve">P  </t>
        </is>
      </c>
      <c r="S257" t="n">
        <v>3</v>
      </c>
      <c r="T257" t="n">
        <v>3</v>
      </c>
      <c r="U257" t="inlineStr">
        <is>
          <t>2008-04-09</t>
        </is>
      </c>
      <c r="V257" t="inlineStr">
        <is>
          <t>2008-04-09</t>
        </is>
      </c>
      <c r="W257" t="inlineStr">
        <is>
          <t>1993-03-30</t>
        </is>
      </c>
      <c r="X257" t="inlineStr">
        <is>
          <t>1993-03-30</t>
        </is>
      </c>
      <c r="Y257" t="n">
        <v>619</v>
      </c>
      <c r="Z257" t="n">
        <v>542</v>
      </c>
      <c r="AA257" t="n">
        <v>640</v>
      </c>
      <c r="AB257" t="n">
        <v>5</v>
      </c>
      <c r="AC257" t="n">
        <v>7</v>
      </c>
      <c r="AD257" t="n">
        <v>31</v>
      </c>
      <c r="AE257" t="n">
        <v>33</v>
      </c>
      <c r="AF257" t="n">
        <v>13</v>
      </c>
      <c r="AG257" t="n">
        <v>13</v>
      </c>
      <c r="AH257" t="n">
        <v>6</v>
      </c>
      <c r="AI257" t="n">
        <v>6</v>
      </c>
      <c r="AJ257" t="n">
        <v>15</v>
      </c>
      <c r="AK257" t="n">
        <v>15</v>
      </c>
      <c r="AL257" t="n">
        <v>4</v>
      </c>
      <c r="AM257" t="n">
        <v>6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HYPERLINK("https://creighton-primo.hosted.exlibrisgroup.com/primo-explore/search?tab=default_tab&amp;search_scope=EVERYTHING&amp;vid=01CRU&amp;lang=en_US&amp;offset=0&amp;query=any,contains,991000874929702656","Catalog Record")</f>
        <v/>
      </c>
      <c r="AT257">
        <f>HYPERLINK("http://www.worldcat.org/oclc/13795936","WorldCat Record")</f>
        <v/>
      </c>
      <c r="AU257" t="inlineStr">
        <is>
          <t>7962824:eng</t>
        </is>
      </c>
      <c r="AV257" t="inlineStr">
        <is>
          <t>13795936</t>
        </is>
      </c>
      <c r="AW257" t="inlineStr">
        <is>
          <t>991000874929702656</t>
        </is>
      </c>
      <c r="AX257" t="inlineStr">
        <is>
          <t>991000874929702656</t>
        </is>
      </c>
      <c r="AY257" t="inlineStr">
        <is>
          <t>2269130570002656</t>
        </is>
      </c>
      <c r="AZ257" t="inlineStr">
        <is>
          <t>BOOK</t>
        </is>
      </c>
      <c r="BB257" t="inlineStr">
        <is>
          <t>9780898629118</t>
        </is>
      </c>
      <c r="BC257" t="inlineStr">
        <is>
          <t>32285001610376</t>
        </is>
      </c>
      <c r="BD257" t="inlineStr">
        <is>
          <t>893620880</t>
        </is>
      </c>
    </row>
    <row r="258">
      <c r="A258" t="inlineStr">
        <is>
          <t>No</t>
        </is>
      </c>
      <c r="B258" t="inlineStr">
        <is>
          <t>P37 .G5</t>
        </is>
      </c>
      <c r="C258" t="inlineStr">
        <is>
          <t>0                      P  0037000G  5</t>
        </is>
      </c>
      <c r="D258" t="inlineStr">
        <is>
          <t>Experimental psycholinguistics : an introduction / Sam Glucksberg, Joseph H. Danks.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Glucksberg, Sam.</t>
        </is>
      </c>
      <c r="L258" t="inlineStr">
        <is>
          <t>Hillsdale, N.J. : L. Erlbaum Associates ; New York : distributed by Halsted Press Division of Wiley, 1975.</t>
        </is>
      </c>
      <c r="M258" t="inlineStr">
        <is>
          <t>1975</t>
        </is>
      </c>
      <c r="O258" t="inlineStr">
        <is>
          <t>eng</t>
        </is>
      </c>
      <c r="P258" t="inlineStr">
        <is>
          <t>nju</t>
        </is>
      </c>
      <c r="R258" t="inlineStr">
        <is>
          <t xml:space="preserve">P  </t>
        </is>
      </c>
      <c r="S258" t="n">
        <v>1</v>
      </c>
      <c r="T258" t="n">
        <v>1</v>
      </c>
      <c r="U258" t="inlineStr">
        <is>
          <t>2002-03-07</t>
        </is>
      </c>
      <c r="V258" t="inlineStr">
        <is>
          <t>2002-03-07</t>
        </is>
      </c>
      <c r="W258" t="inlineStr">
        <is>
          <t>1997-08-11</t>
        </is>
      </c>
      <c r="X258" t="inlineStr">
        <is>
          <t>1997-08-11</t>
        </is>
      </c>
      <c r="Y258" t="n">
        <v>591</v>
      </c>
      <c r="Z258" t="n">
        <v>472</v>
      </c>
      <c r="AA258" t="n">
        <v>506</v>
      </c>
      <c r="AB258" t="n">
        <v>4</v>
      </c>
      <c r="AC258" t="n">
        <v>4</v>
      </c>
      <c r="AD258" t="n">
        <v>22</v>
      </c>
      <c r="AE258" t="n">
        <v>22</v>
      </c>
      <c r="AF258" t="n">
        <v>8</v>
      </c>
      <c r="AG258" t="n">
        <v>8</v>
      </c>
      <c r="AH258" t="n">
        <v>6</v>
      </c>
      <c r="AI258" t="n">
        <v>6</v>
      </c>
      <c r="AJ258" t="n">
        <v>11</v>
      </c>
      <c r="AK258" t="n">
        <v>11</v>
      </c>
      <c r="AL258" t="n">
        <v>3</v>
      </c>
      <c r="AM258" t="n">
        <v>3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HYPERLINK("http://catalog.hathitrust.org/Record/000043754","HathiTrust Record")</f>
        <v/>
      </c>
      <c r="AS258">
        <f>HYPERLINK("https://creighton-primo.hosted.exlibrisgroup.com/primo-explore/search?tab=default_tab&amp;search_scope=EVERYTHING&amp;vid=01CRU&amp;lang=en_US&amp;offset=0&amp;query=any,contains,991003613209702656","Catalog Record")</f>
        <v/>
      </c>
      <c r="AT258">
        <f>HYPERLINK("http://www.worldcat.org/oclc/1195923","WorldCat Record")</f>
        <v/>
      </c>
      <c r="AU258" t="inlineStr">
        <is>
          <t>867391104:eng</t>
        </is>
      </c>
      <c r="AV258" t="inlineStr">
        <is>
          <t>1195923</t>
        </is>
      </c>
      <c r="AW258" t="inlineStr">
        <is>
          <t>991003613209702656</t>
        </is>
      </c>
      <c r="AX258" t="inlineStr">
        <is>
          <t>991003613209702656</t>
        </is>
      </c>
      <c r="AY258" t="inlineStr">
        <is>
          <t>2260195680002656</t>
        </is>
      </c>
      <c r="AZ258" t="inlineStr">
        <is>
          <t>BOOK</t>
        </is>
      </c>
      <c r="BB258" t="inlineStr">
        <is>
          <t>9780470308400</t>
        </is>
      </c>
      <c r="BC258" t="inlineStr">
        <is>
          <t>32285003049136</t>
        </is>
      </c>
      <c r="BD258" t="inlineStr">
        <is>
          <t>893336708</t>
        </is>
      </c>
    </row>
    <row r="259">
      <c r="A259" t="inlineStr">
        <is>
          <t>No</t>
        </is>
      </c>
      <c r="B259" t="inlineStr">
        <is>
          <t>P37 .H6313 1979</t>
        </is>
      </c>
      <c r="C259" t="inlineStr">
        <is>
          <t>0                      P  0037000H  6313        1979</t>
        </is>
      </c>
      <c r="D259" t="inlineStr">
        <is>
          <t>Psycholinguistics : an introduction to research and theory / Hans Hörmann ; translated by H. H. Stern and Peter Leppmann.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Hörmann, Hans, 1924-1983.</t>
        </is>
      </c>
      <c r="L259" t="inlineStr">
        <is>
          <t>New York : Springer-Verlag, c1979.</t>
        </is>
      </c>
      <c r="M259" t="inlineStr">
        <is>
          <t>1979</t>
        </is>
      </c>
      <c r="N259" t="inlineStr">
        <is>
          <t>2d ed. rev.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P  </t>
        </is>
      </c>
      <c r="S259" t="n">
        <v>2</v>
      </c>
      <c r="T259" t="n">
        <v>2</v>
      </c>
      <c r="U259" t="inlineStr">
        <is>
          <t>1996-04-20</t>
        </is>
      </c>
      <c r="V259" t="inlineStr">
        <is>
          <t>1996-04-20</t>
        </is>
      </c>
      <c r="W259" t="inlineStr">
        <is>
          <t>1993-03-30</t>
        </is>
      </c>
      <c r="X259" t="inlineStr">
        <is>
          <t>1993-03-30</t>
        </is>
      </c>
      <c r="Y259" t="n">
        <v>261</v>
      </c>
      <c r="Z259" t="n">
        <v>184</v>
      </c>
      <c r="AA259" t="n">
        <v>490</v>
      </c>
      <c r="AB259" t="n">
        <v>2</v>
      </c>
      <c r="AC259" t="n">
        <v>4</v>
      </c>
      <c r="AD259" t="n">
        <v>6</v>
      </c>
      <c r="AE259" t="n">
        <v>24</v>
      </c>
      <c r="AF259" t="n">
        <v>1</v>
      </c>
      <c r="AG259" t="n">
        <v>7</v>
      </c>
      <c r="AH259" t="n">
        <v>3</v>
      </c>
      <c r="AI259" t="n">
        <v>8</v>
      </c>
      <c r="AJ259" t="n">
        <v>3</v>
      </c>
      <c r="AK259" t="n">
        <v>15</v>
      </c>
      <c r="AL259" t="n">
        <v>1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HYPERLINK("http://catalog.hathitrust.org/Record/000743598","HathiTrust Record")</f>
        <v/>
      </c>
      <c r="AS259">
        <f>HYPERLINK("https://creighton-primo.hosted.exlibrisgroup.com/primo-explore/search?tab=default_tab&amp;search_scope=EVERYTHING&amp;vid=01CRU&amp;lang=en_US&amp;offset=0&amp;query=any,contains,991004801259702656","Catalog Record")</f>
        <v/>
      </c>
      <c r="AT259">
        <f>HYPERLINK("http://www.worldcat.org/oclc/5219111","WorldCat Record")</f>
        <v/>
      </c>
      <c r="AU259" t="inlineStr">
        <is>
          <t>149122206:eng</t>
        </is>
      </c>
      <c r="AV259" t="inlineStr">
        <is>
          <t>5219111</t>
        </is>
      </c>
      <c r="AW259" t="inlineStr">
        <is>
          <t>991004801259702656</t>
        </is>
      </c>
      <c r="AX259" t="inlineStr">
        <is>
          <t>991004801259702656</t>
        </is>
      </c>
      <c r="AY259" t="inlineStr">
        <is>
          <t>2268290990002656</t>
        </is>
      </c>
      <c r="AZ259" t="inlineStr">
        <is>
          <t>BOOK</t>
        </is>
      </c>
      <c r="BB259" t="inlineStr">
        <is>
          <t>9780387904177</t>
        </is>
      </c>
      <c r="BC259" t="inlineStr">
        <is>
          <t>32285001610384</t>
        </is>
      </c>
      <c r="BD259" t="inlineStr">
        <is>
          <t>893722617</t>
        </is>
      </c>
    </row>
    <row r="260">
      <c r="A260" t="inlineStr">
        <is>
          <t>No</t>
        </is>
      </c>
      <c r="B260" t="inlineStr">
        <is>
          <t>P37 .N43 2004</t>
        </is>
      </c>
      <c r="C260" t="inlineStr">
        <is>
          <t>0                      P  0037000N  43          2004</t>
        </is>
      </c>
      <c r="D260" t="inlineStr">
        <is>
          <t>New essays in the philosophy of language and mind / edited by Maite Ezcurdia, Robert J. Stainton, and Christopher Viger.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Calgary : University of Calgary Press, 2004.</t>
        </is>
      </c>
      <c r="M260" t="inlineStr">
        <is>
          <t>2004</t>
        </is>
      </c>
      <c r="O260" t="inlineStr">
        <is>
          <t>eng</t>
        </is>
      </c>
      <c r="P260" t="inlineStr">
        <is>
          <t>abc</t>
        </is>
      </c>
      <c r="Q260" t="inlineStr">
        <is>
          <t>Canadian journal of philosophy. Supplementary volume, 0229-7951 ; 30</t>
        </is>
      </c>
      <c r="R260" t="inlineStr">
        <is>
          <t xml:space="preserve">P  </t>
        </is>
      </c>
      <c r="S260" t="n">
        <v>4</v>
      </c>
      <c r="T260" t="n">
        <v>4</v>
      </c>
      <c r="U260" t="inlineStr">
        <is>
          <t>2008-03-31</t>
        </is>
      </c>
      <c r="V260" t="inlineStr">
        <is>
          <t>2008-03-31</t>
        </is>
      </c>
      <c r="W260" t="inlineStr">
        <is>
          <t>2006-01-11</t>
        </is>
      </c>
      <c r="X260" t="inlineStr">
        <is>
          <t>2006-01-11</t>
        </is>
      </c>
      <c r="Y260" t="n">
        <v>367</v>
      </c>
      <c r="Z260" t="n">
        <v>259</v>
      </c>
      <c r="AA260" t="n">
        <v>283</v>
      </c>
      <c r="AB260" t="n">
        <v>2</v>
      </c>
      <c r="AC260" t="n">
        <v>2</v>
      </c>
      <c r="AD260" t="n">
        <v>16</v>
      </c>
      <c r="AE260" t="n">
        <v>17</v>
      </c>
      <c r="AF260" t="n">
        <v>3</v>
      </c>
      <c r="AG260" t="n">
        <v>4</v>
      </c>
      <c r="AH260" t="n">
        <v>6</v>
      </c>
      <c r="AI260" t="n">
        <v>6</v>
      </c>
      <c r="AJ260" t="n">
        <v>10</v>
      </c>
      <c r="AK260" t="n">
        <v>11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HYPERLINK("http://catalog.hathitrust.org/Record/005124734","HathiTrust Record")</f>
        <v/>
      </c>
      <c r="AS260">
        <f>HYPERLINK("https://creighton-primo.hosted.exlibrisgroup.com/primo-explore/search?tab=default_tab&amp;search_scope=EVERYTHING&amp;vid=01CRU&amp;lang=en_US&amp;offset=0&amp;query=any,contains,991004711139702656","Catalog Record")</f>
        <v/>
      </c>
      <c r="AT260">
        <f>HYPERLINK("http://www.worldcat.org/oclc/61476305","WorldCat Record")</f>
        <v/>
      </c>
      <c r="AU260" t="inlineStr">
        <is>
          <t>1075475686:eng</t>
        </is>
      </c>
      <c r="AV260" t="inlineStr">
        <is>
          <t>61476305</t>
        </is>
      </c>
      <c r="AW260" t="inlineStr">
        <is>
          <t>991004711139702656</t>
        </is>
      </c>
      <c r="AX260" t="inlineStr">
        <is>
          <t>991004711139702656</t>
        </is>
      </c>
      <c r="AY260" t="inlineStr">
        <is>
          <t>2270268960002656</t>
        </is>
      </c>
      <c r="AZ260" t="inlineStr">
        <is>
          <t>BOOK</t>
        </is>
      </c>
      <c r="BB260" t="inlineStr">
        <is>
          <t>9780919491304</t>
        </is>
      </c>
      <c r="BC260" t="inlineStr">
        <is>
          <t>32285005154744</t>
        </is>
      </c>
      <c r="BD260" t="inlineStr">
        <is>
          <t>893776347</t>
        </is>
      </c>
    </row>
    <row r="261">
      <c r="A261" t="inlineStr">
        <is>
          <t>No</t>
        </is>
      </c>
      <c r="B261" t="inlineStr">
        <is>
          <t>P37 .P36</t>
        </is>
      </c>
      <c r="C261" t="inlineStr">
        <is>
          <t>0                      P  0037000P  36</t>
        </is>
      </c>
      <c r="D261" t="inlineStr">
        <is>
          <t>Psychology of language / David S. Palermo ; Lyle E. Bourne, Jr., consulting editor.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Palermo, David Stuart, 1929-</t>
        </is>
      </c>
      <c r="L261" t="inlineStr">
        <is>
          <t>Glenview, Ill. : Scott, Foresman, c1978.</t>
        </is>
      </c>
      <c r="M261" t="inlineStr">
        <is>
          <t>1978</t>
        </is>
      </c>
      <c r="O261" t="inlineStr">
        <is>
          <t>eng</t>
        </is>
      </c>
      <c r="P261" t="inlineStr">
        <is>
          <t>ilu</t>
        </is>
      </c>
      <c r="R261" t="inlineStr">
        <is>
          <t xml:space="preserve">P  </t>
        </is>
      </c>
      <c r="S261" t="n">
        <v>1</v>
      </c>
      <c r="T261" t="n">
        <v>1</v>
      </c>
      <c r="U261" t="inlineStr">
        <is>
          <t>2002-03-07</t>
        </is>
      </c>
      <c r="V261" t="inlineStr">
        <is>
          <t>2002-03-07</t>
        </is>
      </c>
      <c r="W261" t="inlineStr">
        <is>
          <t>1997-08-11</t>
        </is>
      </c>
      <c r="X261" t="inlineStr">
        <is>
          <t>1997-08-11</t>
        </is>
      </c>
      <c r="Y261" t="n">
        <v>424</v>
      </c>
      <c r="Z261" t="n">
        <v>286</v>
      </c>
      <c r="AA261" t="n">
        <v>287</v>
      </c>
      <c r="AB261" t="n">
        <v>3</v>
      </c>
      <c r="AC261" t="n">
        <v>3</v>
      </c>
      <c r="AD261" t="n">
        <v>16</v>
      </c>
      <c r="AE261" t="n">
        <v>16</v>
      </c>
      <c r="AF261" t="n">
        <v>4</v>
      </c>
      <c r="AG261" t="n">
        <v>4</v>
      </c>
      <c r="AH261" t="n">
        <v>6</v>
      </c>
      <c r="AI261" t="n">
        <v>6</v>
      </c>
      <c r="AJ261" t="n">
        <v>10</v>
      </c>
      <c r="AK261" t="n">
        <v>10</v>
      </c>
      <c r="AL261" t="n">
        <v>2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HYPERLINK("http://catalog.hathitrust.org/Record/102004119","HathiTrust Record")</f>
        <v/>
      </c>
      <c r="AS261">
        <f>HYPERLINK("https://creighton-primo.hosted.exlibrisgroup.com/primo-explore/search?tab=default_tab&amp;search_scope=EVERYTHING&amp;vid=01CRU&amp;lang=en_US&amp;offset=0&amp;query=any,contains,991004433639702656","Catalog Record")</f>
        <v/>
      </c>
      <c r="AT261">
        <f>HYPERLINK("http://www.worldcat.org/oclc/3433457","WorldCat Record")</f>
        <v/>
      </c>
      <c r="AU261" t="inlineStr">
        <is>
          <t>3769359504:eng</t>
        </is>
      </c>
      <c r="AV261" t="inlineStr">
        <is>
          <t>3433457</t>
        </is>
      </c>
      <c r="AW261" t="inlineStr">
        <is>
          <t>991004433639702656</t>
        </is>
      </c>
      <c r="AX261" t="inlineStr">
        <is>
          <t>991004433639702656</t>
        </is>
      </c>
      <c r="AY261" t="inlineStr">
        <is>
          <t>2266631330002656</t>
        </is>
      </c>
      <c r="AZ261" t="inlineStr">
        <is>
          <t>BOOK</t>
        </is>
      </c>
      <c r="BB261" t="inlineStr">
        <is>
          <t>9780673077158</t>
        </is>
      </c>
      <c r="BC261" t="inlineStr">
        <is>
          <t>32285003049151</t>
        </is>
      </c>
      <c r="BD261" t="inlineStr">
        <is>
          <t>893337726</t>
        </is>
      </c>
    </row>
    <row r="262">
      <c r="A262" t="inlineStr">
        <is>
          <t>No</t>
        </is>
      </c>
      <c r="B262" t="inlineStr">
        <is>
          <t>P37 .S46 1990</t>
        </is>
      </c>
      <c r="C262" t="inlineStr">
        <is>
          <t>0                      P  0037000S  46          1990</t>
        </is>
      </c>
      <c r="D262" t="inlineStr">
        <is>
          <t>Psychology of language : an introduction to sentence and discourse processes / by Murray Singer.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Singer, Murray.</t>
        </is>
      </c>
      <c r="L262" t="inlineStr">
        <is>
          <t>Hillsdale, N.J. : L. Erlbaum Associates, 1990.</t>
        </is>
      </c>
      <c r="M262" t="inlineStr">
        <is>
          <t>1990</t>
        </is>
      </c>
      <c r="O262" t="inlineStr">
        <is>
          <t>eng</t>
        </is>
      </c>
      <c r="P262" t="inlineStr">
        <is>
          <t>nju</t>
        </is>
      </c>
      <c r="R262" t="inlineStr">
        <is>
          <t xml:space="preserve">P  </t>
        </is>
      </c>
      <c r="S262" t="n">
        <v>1</v>
      </c>
      <c r="T262" t="n">
        <v>1</v>
      </c>
      <c r="U262" t="inlineStr">
        <is>
          <t>1995-04-22</t>
        </is>
      </c>
      <c r="V262" t="inlineStr">
        <is>
          <t>1995-04-22</t>
        </is>
      </c>
      <c r="W262" t="inlineStr">
        <is>
          <t>1992-05-08</t>
        </is>
      </c>
      <c r="X262" t="inlineStr">
        <is>
          <t>1992-05-08</t>
        </is>
      </c>
      <c r="Y262" t="n">
        <v>343</v>
      </c>
      <c r="Z262" t="n">
        <v>224</v>
      </c>
      <c r="AA262" t="n">
        <v>252</v>
      </c>
      <c r="AB262" t="n">
        <v>3</v>
      </c>
      <c r="AC262" t="n">
        <v>3</v>
      </c>
      <c r="AD262" t="n">
        <v>7</v>
      </c>
      <c r="AE262" t="n">
        <v>7</v>
      </c>
      <c r="AF262" t="n">
        <v>2</v>
      </c>
      <c r="AG262" t="n">
        <v>2</v>
      </c>
      <c r="AH262" t="n">
        <v>2</v>
      </c>
      <c r="AI262" t="n">
        <v>2</v>
      </c>
      <c r="AJ262" t="n">
        <v>2</v>
      </c>
      <c r="AK262" t="n">
        <v>2</v>
      </c>
      <c r="AL262" t="n">
        <v>2</v>
      </c>
      <c r="AM262" t="n">
        <v>2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HYPERLINK("http://catalog.hathitrust.org/Record/001952901","HathiTrust Record")</f>
        <v/>
      </c>
      <c r="AS262">
        <f>HYPERLINK("https://creighton-primo.hosted.exlibrisgroup.com/primo-explore/search?tab=default_tab&amp;search_scope=EVERYTHING&amp;vid=01CRU&amp;lang=en_US&amp;offset=0&amp;query=any,contains,991001560559702656","Catalog Record")</f>
        <v/>
      </c>
      <c r="AT262">
        <f>HYPERLINK("http://www.worldcat.org/oclc/20296620","WorldCat Record")</f>
        <v/>
      </c>
      <c r="AU262" t="inlineStr">
        <is>
          <t>365538183:eng</t>
        </is>
      </c>
      <c r="AV262" t="inlineStr">
        <is>
          <t>20296620</t>
        </is>
      </c>
      <c r="AW262" t="inlineStr">
        <is>
          <t>991001560559702656</t>
        </is>
      </c>
      <c r="AX262" t="inlineStr">
        <is>
          <t>991001560559702656</t>
        </is>
      </c>
      <c r="AY262" t="inlineStr">
        <is>
          <t>2260251530002656</t>
        </is>
      </c>
      <c r="AZ262" t="inlineStr">
        <is>
          <t>BOOK</t>
        </is>
      </c>
      <c r="BB262" t="inlineStr">
        <is>
          <t>9780805800050</t>
        </is>
      </c>
      <c r="BC262" t="inlineStr">
        <is>
          <t>32285001039006</t>
        </is>
      </c>
      <c r="BD262" t="inlineStr">
        <is>
          <t>893897863</t>
        </is>
      </c>
    </row>
    <row r="263">
      <c r="A263" t="inlineStr">
        <is>
          <t>No</t>
        </is>
      </c>
      <c r="B263" t="inlineStr">
        <is>
          <t>P37.3 .P8</t>
        </is>
      </c>
      <c r="C263" t="inlineStr">
        <is>
          <t>0                      P  0037300P  8</t>
        </is>
      </c>
      <c r="D263" t="inlineStr">
        <is>
          <t>Psycholinguistic research : implications and applications / edited by Doris Aaronson, Robert W. Rieber.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L263" t="inlineStr">
        <is>
          <t>Hillsdale, N.J. : L. Erlbaum Associates ; New York : distributed by the Halsted Press Division of Wiley, 1979.</t>
        </is>
      </c>
      <c r="M263" t="inlineStr">
        <is>
          <t>1979</t>
        </is>
      </c>
      <c r="O263" t="inlineStr">
        <is>
          <t>eng</t>
        </is>
      </c>
      <c r="P263" t="inlineStr">
        <is>
          <t>nju</t>
        </is>
      </c>
      <c r="R263" t="inlineStr">
        <is>
          <t xml:space="preserve">P  </t>
        </is>
      </c>
      <c r="S263" t="n">
        <v>2</v>
      </c>
      <c r="T263" t="n">
        <v>2</v>
      </c>
      <c r="U263" t="inlineStr">
        <is>
          <t>2002-03-07</t>
        </is>
      </c>
      <c r="V263" t="inlineStr">
        <is>
          <t>2002-03-07</t>
        </is>
      </c>
      <c r="W263" t="inlineStr">
        <is>
          <t>1993-03-30</t>
        </is>
      </c>
      <c r="X263" t="inlineStr">
        <is>
          <t>1993-03-30</t>
        </is>
      </c>
      <c r="Y263" t="n">
        <v>402</v>
      </c>
      <c r="Z263" t="n">
        <v>277</v>
      </c>
      <c r="AA263" t="n">
        <v>309</v>
      </c>
      <c r="AB263" t="n">
        <v>4</v>
      </c>
      <c r="AC263" t="n">
        <v>4</v>
      </c>
      <c r="AD263" t="n">
        <v>12</v>
      </c>
      <c r="AE263" t="n">
        <v>12</v>
      </c>
      <c r="AF263" t="n">
        <v>3</v>
      </c>
      <c r="AG263" t="n">
        <v>3</v>
      </c>
      <c r="AH263" t="n">
        <v>4</v>
      </c>
      <c r="AI263" t="n">
        <v>4</v>
      </c>
      <c r="AJ263" t="n">
        <v>5</v>
      </c>
      <c r="AK263" t="n">
        <v>5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HYPERLINK("http://catalog.hathitrust.org/Record/000691794","HathiTrust Record")</f>
        <v/>
      </c>
      <c r="AS263">
        <f>HYPERLINK("https://creighton-primo.hosted.exlibrisgroup.com/primo-explore/search?tab=default_tab&amp;search_scope=EVERYTHING&amp;vid=01CRU&amp;lang=en_US&amp;offset=0&amp;query=any,contains,991004835899702656","Catalog Record")</f>
        <v/>
      </c>
      <c r="AT263">
        <f>HYPERLINK("http://www.worldcat.org/oclc/5447802","WorldCat Record")</f>
        <v/>
      </c>
      <c r="AU263" t="inlineStr">
        <is>
          <t>889829517:eng</t>
        </is>
      </c>
      <c r="AV263" t="inlineStr">
        <is>
          <t>5447802</t>
        </is>
      </c>
      <c r="AW263" t="inlineStr">
        <is>
          <t>991004835899702656</t>
        </is>
      </c>
      <c r="AX263" t="inlineStr">
        <is>
          <t>991004835899702656</t>
        </is>
      </c>
      <c r="AY263" t="inlineStr">
        <is>
          <t>2259301830002656</t>
        </is>
      </c>
      <c r="AZ263" t="inlineStr">
        <is>
          <t>BOOK</t>
        </is>
      </c>
      <c r="BB263" t="inlineStr">
        <is>
          <t>9780470268780</t>
        </is>
      </c>
      <c r="BC263" t="inlineStr">
        <is>
          <t>32285001610467</t>
        </is>
      </c>
      <c r="BD263" t="inlineStr">
        <is>
          <t>893719459</t>
        </is>
      </c>
    </row>
    <row r="264">
      <c r="A264" t="inlineStr">
        <is>
          <t>No</t>
        </is>
      </c>
      <c r="B264" t="inlineStr">
        <is>
          <t>P37.5.C64 C65 1984</t>
        </is>
      </c>
      <c r="C264" t="inlineStr">
        <is>
          <t>0                      P  0037500C  64                 C  65          1984</t>
        </is>
      </c>
      <c r="D264" t="inlineStr">
        <is>
          <t>Competence in communication : a multidisciplinary approach / edited by Robert N. Bostrom.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Beverly Hills, Calif. : Sage Publications, c1984.</t>
        </is>
      </c>
      <c r="M264" t="inlineStr">
        <is>
          <t>1984</t>
        </is>
      </c>
      <c r="O264" t="inlineStr">
        <is>
          <t>eng</t>
        </is>
      </c>
      <c r="P264" t="inlineStr">
        <is>
          <t>cau</t>
        </is>
      </c>
      <c r="Q264" t="inlineStr">
        <is>
          <t>Sage focus editions ; 66</t>
        </is>
      </c>
      <c r="R264" t="inlineStr">
        <is>
          <t xml:space="preserve">P  </t>
        </is>
      </c>
      <c r="S264" t="n">
        <v>5</v>
      </c>
      <c r="T264" t="n">
        <v>5</v>
      </c>
      <c r="U264" t="inlineStr">
        <is>
          <t>2000-04-03</t>
        </is>
      </c>
      <c r="V264" t="inlineStr">
        <is>
          <t>2000-04-03</t>
        </is>
      </c>
      <c r="W264" t="inlineStr">
        <is>
          <t>1993-03-30</t>
        </is>
      </c>
      <c r="X264" t="inlineStr">
        <is>
          <t>1993-03-30</t>
        </is>
      </c>
      <c r="Y264" t="n">
        <v>430</v>
      </c>
      <c r="Z264" t="n">
        <v>330</v>
      </c>
      <c r="AA264" t="n">
        <v>332</v>
      </c>
      <c r="AB264" t="n">
        <v>4</v>
      </c>
      <c r="AC264" t="n">
        <v>4</v>
      </c>
      <c r="AD264" t="n">
        <v>17</v>
      </c>
      <c r="AE264" t="n">
        <v>17</v>
      </c>
      <c r="AF264" t="n">
        <v>6</v>
      </c>
      <c r="AG264" t="n">
        <v>6</v>
      </c>
      <c r="AH264" t="n">
        <v>3</v>
      </c>
      <c r="AI264" t="n">
        <v>3</v>
      </c>
      <c r="AJ264" t="n">
        <v>10</v>
      </c>
      <c r="AK264" t="n">
        <v>10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HYPERLINK("http://catalog.hathitrust.org/Record/000558792","HathiTrust Record")</f>
        <v/>
      </c>
      <c r="AS264">
        <f>HYPERLINK("https://creighton-primo.hosted.exlibrisgroup.com/primo-explore/search?tab=default_tab&amp;search_scope=EVERYTHING&amp;vid=01CRU&amp;lang=en_US&amp;offset=0&amp;query=any,contains,991000336359702656","Catalog Record")</f>
        <v/>
      </c>
      <c r="AT264">
        <f>HYPERLINK("http://www.worldcat.org/oclc/10229968","WorldCat Record")</f>
        <v/>
      </c>
      <c r="AU264" t="inlineStr">
        <is>
          <t>836646629:eng</t>
        </is>
      </c>
      <c r="AV264" t="inlineStr">
        <is>
          <t>10229968</t>
        </is>
      </c>
      <c r="AW264" t="inlineStr">
        <is>
          <t>991000336359702656</t>
        </is>
      </c>
      <c r="AX264" t="inlineStr">
        <is>
          <t>991000336359702656</t>
        </is>
      </c>
      <c r="AY264" t="inlineStr">
        <is>
          <t>2262241340002656</t>
        </is>
      </c>
      <c r="AZ264" t="inlineStr">
        <is>
          <t>BOOK</t>
        </is>
      </c>
      <c r="BB264" t="inlineStr">
        <is>
          <t>9780803922013</t>
        </is>
      </c>
      <c r="BC264" t="inlineStr">
        <is>
          <t>32285001610475</t>
        </is>
      </c>
      <c r="BD264" t="inlineStr">
        <is>
          <t>893620385</t>
        </is>
      </c>
    </row>
    <row r="265">
      <c r="A265" t="inlineStr">
        <is>
          <t>No</t>
        </is>
      </c>
      <c r="B265" t="inlineStr">
        <is>
          <t>P377 .F5 1978</t>
        </is>
      </c>
      <c r="C265" t="inlineStr">
        <is>
          <t>0                      P  0377000F  5           1978</t>
        </is>
      </c>
      <c r="D265" t="inlineStr">
        <is>
          <t>Language loyalty in the United States / Joshua A. Fishman.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Fishman, Joshua A.</t>
        </is>
      </c>
      <c r="L265" t="inlineStr">
        <is>
          <t>New York : Arno Press, 1978, c1966.</t>
        </is>
      </c>
      <c r="M265" t="inlineStr">
        <is>
          <t>1978</t>
        </is>
      </c>
      <c r="O265" t="inlineStr">
        <is>
          <t>eng</t>
        </is>
      </c>
      <c r="P265" t="inlineStr">
        <is>
          <t>nyu</t>
        </is>
      </c>
      <c r="Q265" t="inlineStr">
        <is>
          <t>Bilingual-bicultural education in the United States</t>
        </is>
      </c>
      <c r="R265" t="inlineStr">
        <is>
          <t xml:space="preserve">P  </t>
        </is>
      </c>
      <c r="S265" t="n">
        <v>4</v>
      </c>
      <c r="T265" t="n">
        <v>4</v>
      </c>
      <c r="U265" t="inlineStr">
        <is>
          <t>2005-11-14</t>
        </is>
      </c>
      <c r="V265" t="inlineStr">
        <is>
          <t>2005-11-14</t>
        </is>
      </c>
      <c r="W265" t="inlineStr">
        <is>
          <t>1993-04-06</t>
        </is>
      </c>
      <c r="X265" t="inlineStr">
        <is>
          <t>1993-04-06</t>
        </is>
      </c>
      <c r="Y265" t="n">
        <v>97</v>
      </c>
      <c r="Z265" t="n">
        <v>83</v>
      </c>
      <c r="AA265" t="n">
        <v>88</v>
      </c>
      <c r="AB265" t="n">
        <v>1</v>
      </c>
      <c r="AC265" t="n">
        <v>1</v>
      </c>
      <c r="AD265" t="n">
        <v>2</v>
      </c>
      <c r="AE265" t="n">
        <v>2</v>
      </c>
      <c r="AF265" t="n">
        <v>0</v>
      </c>
      <c r="AG265" t="n">
        <v>0</v>
      </c>
      <c r="AH265" t="n">
        <v>2</v>
      </c>
      <c r="AI265" t="n">
        <v>2</v>
      </c>
      <c r="AJ265" t="n">
        <v>1</v>
      </c>
      <c r="AK265" t="n">
        <v>1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HYPERLINK("https://creighton-primo.hosted.exlibrisgroup.com/primo-explore/search?tab=default_tab&amp;search_scope=EVERYTHING&amp;vid=01CRU&amp;lang=en_US&amp;offset=0&amp;query=any,contains,991004595819702656","Catalog Record")</f>
        <v/>
      </c>
      <c r="AT265">
        <f>HYPERLINK("http://www.worldcat.org/oclc/4136636","WorldCat Record")</f>
        <v/>
      </c>
      <c r="AU265" t="inlineStr">
        <is>
          <t>8908503118:eng</t>
        </is>
      </c>
      <c r="AV265" t="inlineStr">
        <is>
          <t>4136636</t>
        </is>
      </c>
      <c r="AW265" t="inlineStr">
        <is>
          <t>991004595819702656</t>
        </is>
      </c>
      <c r="AX265" t="inlineStr">
        <is>
          <t>991004595819702656</t>
        </is>
      </c>
      <c r="AY265" t="inlineStr">
        <is>
          <t>2258170240002656</t>
        </is>
      </c>
      <c r="AZ265" t="inlineStr">
        <is>
          <t>BOOK</t>
        </is>
      </c>
      <c r="BB265" t="inlineStr">
        <is>
          <t>9780405110788</t>
        </is>
      </c>
      <c r="BC265" t="inlineStr">
        <is>
          <t>32285001614204</t>
        </is>
      </c>
      <c r="BD265" t="inlineStr">
        <is>
          <t>893801123</t>
        </is>
      </c>
    </row>
    <row r="266">
      <c r="A266" t="inlineStr">
        <is>
          <t>No</t>
        </is>
      </c>
      <c r="B266" t="inlineStr">
        <is>
          <t>P380 .E53 2000</t>
        </is>
      </c>
      <c r="C266" t="inlineStr">
        <is>
          <t>0                      P  0380000E  53          2000</t>
        </is>
      </c>
      <c r="D266" t="inlineStr">
        <is>
          <t>Encyclopedia of the languages of Europe / edited by Glanville Price.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Oxford, UK ; Malden, Mass. : Blackwell, c2000.</t>
        </is>
      </c>
      <c r="M266" t="inlineStr">
        <is>
          <t>2000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P  </t>
        </is>
      </c>
      <c r="S266" t="n">
        <v>2</v>
      </c>
      <c r="T266" t="n">
        <v>2</v>
      </c>
      <c r="U266" t="inlineStr">
        <is>
          <t>2000-09-19</t>
        </is>
      </c>
      <c r="V266" t="inlineStr">
        <is>
          <t>2000-09-19</t>
        </is>
      </c>
      <c r="W266" t="inlineStr">
        <is>
          <t>2000-09-19</t>
        </is>
      </c>
      <c r="X266" t="inlineStr">
        <is>
          <t>2000-09-19</t>
        </is>
      </c>
      <c r="Y266" t="n">
        <v>88</v>
      </c>
      <c r="Z266" t="n">
        <v>46</v>
      </c>
      <c r="AA266" t="n">
        <v>427</v>
      </c>
      <c r="AB266" t="n">
        <v>1</v>
      </c>
      <c r="AC266" t="n">
        <v>2</v>
      </c>
      <c r="AD266" t="n">
        <v>3</v>
      </c>
      <c r="AE266" t="n">
        <v>20</v>
      </c>
      <c r="AF266" t="n">
        <v>2</v>
      </c>
      <c r="AG266" t="n">
        <v>8</v>
      </c>
      <c r="AH266" t="n">
        <v>0</v>
      </c>
      <c r="AI266" t="n">
        <v>5</v>
      </c>
      <c r="AJ266" t="n">
        <v>1</v>
      </c>
      <c r="AK266" t="n">
        <v>11</v>
      </c>
      <c r="AL266" t="n">
        <v>0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HYPERLINK("https://creighton-primo.hosted.exlibrisgroup.com/primo-explore/search?tab=default_tab&amp;search_scope=EVERYTHING&amp;vid=01CRU&amp;lang=en_US&amp;offset=0&amp;query=any,contains,991003262979702656","Catalog Record")</f>
        <v/>
      </c>
      <c r="AT266">
        <f>HYPERLINK("http://www.worldcat.org/oclc/44441910","WorldCat Record")</f>
        <v/>
      </c>
      <c r="AU266" t="inlineStr">
        <is>
          <t>9381806214:eng</t>
        </is>
      </c>
      <c r="AV266" t="inlineStr">
        <is>
          <t>44441910</t>
        </is>
      </c>
      <c r="AW266" t="inlineStr">
        <is>
          <t>991003262979702656</t>
        </is>
      </c>
      <c r="AX266" t="inlineStr">
        <is>
          <t>991003262979702656</t>
        </is>
      </c>
      <c r="AY266" t="inlineStr">
        <is>
          <t>2270560480002656</t>
        </is>
      </c>
      <c r="AZ266" t="inlineStr">
        <is>
          <t>BOOK</t>
        </is>
      </c>
      <c r="BB266" t="inlineStr">
        <is>
          <t>9780631192862</t>
        </is>
      </c>
      <c r="BC266" t="inlineStr">
        <is>
          <t>32285003763025</t>
        </is>
      </c>
      <c r="BD266" t="inlineStr">
        <is>
          <t>893592350</t>
        </is>
      </c>
    </row>
    <row r="267">
      <c r="A267" t="inlineStr">
        <is>
          <t>No</t>
        </is>
      </c>
      <c r="B267" t="inlineStr">
        <is>
          <t>P380 .S73 1983</t>
        </is>
      </c>
      <c r="C267" t="inlineStr">
        <is>
          <t>0                      P  0380000S  73          1983</t>
        </is>
      </c>
      <c r="D267" t="inlineStr">
        <is>
          <t>Words, the evolution of Western languages / edited by Victor Stevenson ; foreword by Philip Howard.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Stevenson, Victor.</t>
        </is>
      </c>
      <c r="L267" t="inlineStr">
        <is>
          <t>New York : Van Nostrand Reinhold, c1983.</t>
        </is>
      </c>
      <c r="M267" t="inlineStr">
        <is>
          <t>1983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P  </t>
        </is>
      </c>
      <c r="S267" t="n">
        <v>3</v>
      </c>
      <c r="T267" t="n">
        <v>3</v>
      </c>
      <c r="U267" t="inlineStr">
        <is>
          <t>1999-02-01</t>
        </is>
      </c>
      <c r="V267" t="inlineStr">
        <is>
          <t>1999-02-01</t>
        </is>
      </c>
      <c r="W267" t="inlineStr">
        <is>
          <t>1993-04-06</t>
        </is>
      </c>
      <c r="X267" t="inlineStr">
        <is>
          <t>1993-04-06</t>
        </is>
      </c>
      <c r="Y267" t="n">
        <v>827</v>
      </c>
      <c r="Z267" t="n">
        <v>777</v>
      </c>
      <c r="AA267" t="n">
        <v>798</v>
      </c>
      <c r="AB267" t="n">
        <v>4</v>
      </c>
      <c r="AC267" t="n">
        <v>4</v>
      </c>
      <c r="AD267" t="n">
        <v>15</v>
      </c>
      <c r="AE267" t="n">
        <v>15</v>
      </c>
      <c r="AF267" t="n">
        <v>5</v>
      </c>
      <c r="AG267" t="n">
        <v>5</v>
      </c>
      <c r="AH267" t="n">
        <v>5</v>
      </c>
      <c r="AI267" t="n">
        <v>5</v>
      </c>
      <c r="AJ267" t="n">
        <v>6</v>
      </c>
      <c r="AK267" t="n">
        <v>6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HYPERLINK("http://catalog.hathitrust.org/Record/004431245","HathiTrust Record")</f>
        <v/>
      </c>
      <c r="AS267">
        <f>HYPERLINK("https://creighton-primo.hosted.exlibrisgroup.com/primo-explore/search?tab=default_tab&amp;search_scope=EVERYTHING&amp;vid=01CRU&amp;lang=en_US&amp;offset=0&amp;query=any,contains,991000204999702656","Catalog Record")</f>
        <v/>
      </c>
      <c r="AT267">
        <f>HYPERLINK("http://www.worldcat.org/oclc/9488616","WorldCat Record")</f>
        <v/>
      </c>
      <c r="AU267" t="inlineStr">
        <is>
          <t>3887522622:eng</t>
        </is>
      </c>
      <c r="AV267" t="inlineStr">
        <is>
          <t>9488616</t>
        </is>
      </c>
      <c r="AW267" t="inlineStr">
        <is>
          <t>991000204999702656</t>
        </is>
      </c>
      <c r="AX267" t="inlineStr">
        <is>
          <t>991000204999702656</t>
        </is>
      </c>
      <c r="AY267" t="inlineStr">
        <is>
          <t>2259110830002656</t>
        </is>
      </c>
      <c r="AZ267" t="inlineStr">
        <is>
          <t>BOOK</t>
        </is>
      </c>
      <c r="BB267" t="inlineStr">
        <is>
          <t>9780442281786</t>
        </is>
      </c>
      <c r="BC267" t="inlineStr">
        <is>
          <t>32285001614212</t>
        </is>
      </c>
      <c r="BD267" t="inlineStr">
        <is>
          <t>893714404</t>
        </is>
      </c>
    </row>
    <row r="268">
      <c r="A268" t="inlineStr">
        <is>
          <t>No</t>
        </is>
      </c>
      <c r="B268" t="inlineStr">
        <is>
          <t>P381.B3 S55</t>
        </is>
      </c>
      <c r="C268" t="inlineStr">
        <is>
          <t>0                      P  0381000B  3                  S  55</t>
        </is>
      </c>
      <c r="D268" t="inlineStr">
        <is>
          <t>Balkan cultural studies / Stavro Skendi.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Skendi, Stavro.</t>
        </is>
      </c>
      <c r="L268" t="inlineStr">
        <is>
          <t>Boulder, [Colo.] : East European Monographs ; New York : distributed by Columbia University Press, 1980.</t>
        </is>
      </c>
      <c r="M268" t="inlineStr">
        <is>
          <t>1980</t>
        </is>
      </c>
      <c r="O268" t="inlineStr">
        <is>
          <t>eng</t>
        </is>
      </c>
      <c r="P268" t="inlineStr">
        <is>
          <t>cou</t>
        </is>
      </c>
      <c r="Q268" t="inlineStr">
        <is>
          <t>East European monographs ; no. 72</t>
        </is>
      </c>
      <c r="R268" t="inlineStr">
        <is>
          <t xml:space="preserve">P  </t>
        </is>
      </c>
      <c r="S268" t="n">
        <v>2</v>
      </c>
      <c r="T268" t="n">
        <v>2</v>
      </c>
      <c r="U268" t="inlineStr">
        <is>
          <t>1997-03-20</t>
        </is>
      </c>
      <c r="V268" t="inlineStr">
        <is>
          <t>1997-03-20</t>
        </is>
      </c>
      <c r="W268" t="inlineStr">
        <is>
          <t>1993-04-06</t>
        </is>
      </c>
      <c r="X268" t="inlineStr">
        <is>
          <t>1993-04-06</t>
        </is>
      </c>
      <c r="Y268" t="n">
        <v>210</v>
      </c>
      <c r="Z268" t="n">
        <v>166</v>
      </c>
      <c r="AA268" t="n">
        <v>168</v>
      </c>
      <c r="AB268" t="n">
        <v>2</v>
      </c>
      <c r="AC268" t="n">
        <v>2</v>
      </c>
      <c r="AD268" t="n">
        <v>7</v>
      </c>
      <c r="AE268" t="n">
        <v>7</v>
      </c>
      <c r="AF268" t="n">
        <v>0</v>
      </c>
      <c r="AG268" t="n">
        <v>0</v>
      </c>
      <c r="AH268" t="n">
        <v>4</v>
      </c>
      <c r="AI268" t="n">
        <v>4</v>
      </c>
      <c r="AJ268" t="n">
        <v>4</v>
      </c>
      <c r="AK268" t="n">
        <v>4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HYPERLINK("http://catalog.hathitrust.org/Record/000086457","HathiTrust Record")</f>
        <v/>
      </c>
      <c r="AS268">
        <f>HYPERLINK("https://creighton-primo.hosted.exlibrisgroup.com/primo-explore/search?tab=default_tab&amp;search_scope=EVERYTHING&amp;vid=01CRU&amp;lang=en_US&amp;offset=0&amp;query=any,contains,991005072679702656","Catalog Record")</f>
        <v/>
      </c>
      <c r="AT268">
        <f>HYPERLINK("http://www.worldcat.org/oclc/7058414","WorldCat Record")</f>
        <v/>
      </c>
      <c r="AU268" t="inlineStr">
        <is>
          <t>24655271:eng</t>
        </is>
      </c>
      <c r="AV268" t="inlineStr">
        <is>
          <t>7058414</t>
        </is>
      </c>
      <c r="AW268" t="inlineStr">
        <is>
          <t>991005072679702656</t>
        </is>
      </c>
      <c r="AX268" t="inlineStr">
        <is>
          <t>991005072679702656</t>
        </is>
      </c>
      <c r="AY268" t="inlineStr">
        <is>
          <t>2262477770002656</t>
        </is>
      </c>
      <c r="AZ268" t="inlineStr">
        <is>
          <t>BOOK</t>
        </is>
      </c>
      <c r="BB268" t="inlineStr">
        <is>
          <t>9780914710660</t>
        </is>
      </c>
      <c r="BC268" t="inlineStr">
        <is>
          <t>32285001614220</t>
        </is>
      </c>
      <c r="BD268" t="inlineStr">
        <is>
          <t>893613069</t>
        </is>
      </c>
    </row>
    <row r="269">
      <c r="A269" t="inlineStr">
        <is>
          <t>No</t>
        </is>
      </c>
      <c r="B269" t="inlineStr">
        <is>
          <t>P40 .A94 1997</t>
        </is>
      </c>
      <c r="C269" t="inlineStr">
        <is>
          <t>0                      P  0040000A  94          1997</t>
        </is>
      </c>
      <c r="D269" t="inlineStr">
        <is>
          <t>The moral parameters of good talk : a feminist analysis / Maryann Neely Ayim.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Ayim, Maryann.</t>
        </is>
      </c>
      <c r="L269" t="inlineStr">
        <is>
          <t>Waterloo, Ont. : Wilfrid Laurier University Press, c1997.</t>
        </is>
      </c>
      <c r="M269" t="inlineStr">
        <is>
          <t>1997</t>
        </is>
      </c>
      <c r="O269" t="inlineStr">
        <is>
          <t>eng</t>
        </is>
      </c>
      <c r="P269" t="inlineStr">
        <is>
          <t>onc</t>
        </is>
      </c>
      <c r="R269" t="inlineStr">
        <is>
          <t xml:space="preserve">P  </t>
        </is>
      </c>
      <c r="S269" t="n">
        <v>4</v>
      </c>
      <c r="T269" t="n">
        <v>4</v>
      </c>
      <c r="U269" t="inlineStr">
        <is>
          <t>2005-05-03</t>
        </is>
      </c>
      <c r="V269" t="inlineStr">
        <is>
          <t>2005-05-03</t>
        </is>
      </c>
      <c r="W269" t="inlineStr">
        <is>
          <t>1998-05-27</t>
        </is>
      </c>
      <c r="X269" t="inlineStr">
        <is>
          <t>1998-05-27</t>
        </is>
      </c>
      <c r="Y269" t="n">
        <v>265</v>
      </c>
      <c r="Z269" t="n">
        <v>206</v>
      </c>
      <c r="AA269" t="n">
        <v>1335</v>
      </c>
      <c r="AB269" t="n">
        <v>3</v>
      </c>
      <c r="AC269" t="n">
        <v>16</v>
      </c>
      <c r="AD269" t="n">
        <v>12</v>
      </c>
      <c r="AE269" t="n">
        <v>42</v>
      </c>
      <c r="AF269" t="n">
        <v>1</v>
      </c>
      <c r="AG269" t="n">
        <v>12</v>
      </c>
      <c r="AH269" t="n">
        <v>5</v>
      </c>
      <c r="AI269" t="n">
        <v>9</v>
      </c>
      <c r="AJ269" t="n">
        <v>7</v>
      </c>
      <c r="AK269" t="n">
        <v>13</v>
      </c>
      <c r="AL269" t="n">
        <v>2</v>
      </c>
      <c r="AM269" t="n">
        <v>14</v>
      </c>
      <c r="AN269" t="n">
        <v>0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HYPERLINK("http://catalog.hathitrust.org/Record/003166122","HathiTrust Record")</f>
        <v/>
      </c>
      <c r="AS269">
        <f>HYPERLINK("https://creighton-primo.hosted.exlibrisgroup.com/primo-explore/search?tab=default_tab&amp;search_scope=EVERYTHING&amp;vid=01CRU&amp;lang=en_US&amp;offset=0&amp;query=any,contains,991002827669702656","Catalog Record")</f>
        <v/>
      </c>
      <c r="AT269">
        <f>HYPERLINK("http://www.worldcat.org/oclc/35969762","WorldCat Record")</f>
        <v/>
      </c>
      <c r="AU269" t="inlineStr">
        <is>
          <t>793995334:eng</t>
        </is>
      </c>
      <c r="AV269" t="inlineStr">
        <is>
          <t>35969762</t>
        </is>
      </c>
      <c r="AW269" t="inlineStr">
        <is>
          <t>991002827669702656</t>
        </is>
      </c>
      <c r="AX269" t="inlineStr">
        <is>
          <t>991002827669702656</t>
        </is>
      </c>
      <c r="AY269" t="inlineStr">
        <is>
          <t>2267360450002656</t>
        </is>
      </c>
      <c r="AZ269" t="inlineStr">
        <is>
          <t>BOOK</t>
        </is>
      </c>
      <c r="BB269" t="inlineStr">
        <is>
          <t>9780889202825</t>
        </is>
      </c>
      <c r="BC269" t="inlineStr">
        <is>
          <t>32285003411674</t>
        </is>
      </c>
      <c r="BD269" t="inlineStr">
        <is>
          <t>893780274</t>
        </is>
      </c>
    </row>
    <row r="270">
      <c r="A270" t="inlineStr">
        <is>
          <t>No</t>
        </is>
      </c>
      <c r="B270" t="inlineStr">
        <is>
          <t>P40 .D49 1986</t>
        </is>
      </c>
      <c r="C270" t="inlineStr">
        <is>
          <t>0                      P  0040000D  49          1986</t>
        </is>
      </c>
      <c r="D270" t="inlineStr">
        <is>
          <t>Directions in sociolinguistics : the ethnography of communication / edited by John J. Gumperz and Dell Hymes.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Oxford, UK ; New York, NY, USA : B. Blackwell, 1986.</t>
        </is>
      </c>
      <c r="M270" t="inlineStr">
        <is>
          <t>1986</t>
        </is>
      </c>
      <c r="O270" t="inlineStr">
        <is>
          <t>eng</t>
        </is>
      </c>
      <c r="P270" t="inlineStr">
        <is>
          <t>enk</t>
        </is>
      </c>
      <c r="R270" t="inlineStr">
        <is>
          <t xml:space="preserve">P  </t>
        </is>
      </c>
      <c r="S270" t="n">
        <v>1</v>
      </c>
      <c r="T270" t="n">
        <v>1</v>
      </c>
      <c r="U270" t="inlineStr">
        <is>
          <t>2008-03-26</t>
        </is>
      </c>
      <c r="V270" t="inlineStr">
        <is>
          <t>2008-03-26</t>
        </is>
      </c>
      <c r="W270" t="inlineStr">
        <is>
          <t>2008-03-26</t>
        </is>
      </c>
      <c r="X270" t="inlineStr">
        <is>
          <t>2008-03-26</t>
        </is>
      </c>
      <c r="Y270" t="n">
        <v>314</v>
      </c>
      <c r="Z270" t="n">
        <v>193</v>
      </c>
      <c r="AA270" t="n">
        <v>616</v>
      </c>
      <c r="AB270" t="n">
        <v>1</v>
      </c>
      <c r="AC270" t="n">
        <v>6</v>
      </c>
      <c r="AD270" t="n">
        <v>8</v>
      </c>
      <c r="AE270" t="n">
        <v>31</v>
      </c>
      <c r="AF270" t="n">
        <v>4</v>
      </c>
      <c r="AG270" t="n">
        <v>10</v>
      </c>
      <c r="AH270" t="n">
        <v>3</v>
      </c>
      <c r="AI270" t="n">
        <v>8</v>
      </c>
      <c r="AJ270" t="n">
        <v>5</v>
      </c>
      <c r="AK270" t="n">
        <v>15</v>
      </c>
      <c r="AL270" t="n">
        <v>0</v>
      </c>
      <c r="AM270" t="n">
        <v>5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HYPERLINK("https://creighton-primo.hosted.exlibrisgroup.com/primo-explore/search?tab=default_tab&amp;search_scope=EVERYTHING&amp;vid=01CRU&amp;lang=en_US&amp;offset=0&amp;query=any,contains,991005197679702656","Catalog Record")</f>
        <v/>
      </c>
      <c r="AT270">
        <f>HYPERLINK("http://www.worldcat.org/oclc/13095130","WorldCat Record")</f>
        <v/>
      </c>
      <c r="AU270" t="inlineStr">
        <is>
          <t>150469393:eng</t>
        </is>
      </c>
      <c r="AV270" t="inlineStr">
        <is>
          <t>13095130</t>
        </is>
      </c>
      <c r="AW270" t="inlineStr">
        <is>
          <t>991005197679702656</t>
        </is>
      </c>
      <c r="AX270" t="inlineStr">
        <is>
          <t>991005197679702656</t>
        </is>
      </c>
      <c r="AY270" t="inlineStr">
        <is>
          <t>2255641300002656</t>
        </is>
      </c>
      <c r="AZ270" t="inlineStr">
        <is>
          <t>BOOK</t>
        </is>
      </c>
      <c r="BB270" t="inlineStr">
        <is>
          <t>9780631149866</t>
        </is>
      </c>
      <c r="BC270" t="inlineStr">
        <is>
          <t>32285005398812</t>
        </is>
      </c>
      <c r="BD270" t="inlineStr">
        <is>
          <t>893320220</t>
        </is>
      </c>
    </row>
    <row r="271">
      <c r="A271" t="inlineStr">
        <is>
          <t>No</t>
        </is>
      </c>
      <c r="B271" t="inlineStr">
        <is>
          <t>P40 .H8 1980</t>
        </is>
      </c>
      <c r="C271" t="inlineStr">
        <is>
          <t>0                      P  0040000H  8           1980</t>
        </is>
      </c>
      <c r="D271" t="inlineStr">
        <is>
          <t>Sociolinguistics / R. A. Hudson.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Hudson, Richard A.</t>
        </is>
      </c>
      <c r="L271" t="inlineStr">
        <is>
          <t>Cambridge [Eng.] ; New York : Cambridge University Press, 1980.</t>
        </is>
      </c>
      <c r="M271" t="inlineStr">
        <is>
          <t>1980</t>
        </is>
      </c>
      <c r="O271" t="inlineStr">
        <is>
          <t>eng</t>
        </is>
      </c>
      <c r="P271" t="inlineStr">
        <is>
          <t>enk</t>
        </is>
      </c>
      <c r="Q271" t="inlineStr">
        <is>
          <t>Cambridge textbooks in linguistics</t>
        </is>
      </c>
      <c r="R271" t="inlineStr">
        <is>
          <t xml:space="preserve">P  </t>
        </is>
      </c>
      <c r="S271" t="n">
        <v>3</v>
      </c>
      <c r="T271" t="n">
        <v>3</v>
      </c>
      <c r="U271" t="inlineStr">
        <is>
          <t>2005-08-18</t>
        </is>
      </c>
      <c r="V271" t="inlineStr">
        <is>
          <t>2005-08-18</t>
        </is>
      </c>
      <c r="W271" t="inlineStr">
        <is>
          <t>1992-03-23</t>
        </is>
      </c>
      <c r="X271" t="inlineStr">
        <is>
          <t>1992-03-23</t>
        </is>
      </c>
      <c r="Y271" t="n">
        <v>701</v>
      </c>
      <c r="Z271" t="n">
        <v>418</v>
      </c>
      <c r="AA271" t="n">
        <v>482</v>
      </c>
      <c r="AB271" t="n">
        <v>4</v>
      </c>
      <c r="AC271" t="n">
        <v>4</v>
      </c>
      <c r="AD271" t="n">
        <v>20</v>
      </c>
      <c r="AE271" t="n">
        <v>20</v>
      </c>
      <c r="AF271" t="n">
        <v>6</v>
      </c>
      <c r="AG271" t="n">
        <v>6</v>
      </c>
      <c r="AH271" t="n">
        <v>4</v>
      </c>
      <c r="AI271" t="n">
        <v>4</v>
      </c>
      <c r="AJ271" t="n">
        <v>11</v>
      </c>
      <c r="AK271" t="n">
        <v>11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HYPERLINK("https://creighton-primo.hosted.exlibrisgroup.com/primo-explore/search?tab=default_tab&amp;search_scope=EVERYTHING&amp;vid=01CRU&amp;lang=en_US&amp;offset=0&amp;query=any,contains,991004788889702656","Catalog Record")</f>
        <v/>
      </c>
      <c r="AT271">
        <f>HYPERLINK("http://www.worldcat.org/oclc/5170204","WorldCat Record")</f>
        <v/>
      </c>
      <c r="AU271" t="inlineStr">
        <is>
          <t>5534212655:eng</t>
        </is>
      </c>
      <c r="AV271" t="inlineStr">
        <is>
          <t>5170204</t>
        </is>
      </c>
      <c r="AW271" t="inlineStr">
        <is>
          <t>991004788889702656</t>
        </is>
      </c>
      <c r="AX271" t="inlineStr">
        <is>
          <t>991004788889702656</t>
        </is>
      </c>
      <c r="AY271" t="inlineStr">
        <is>
          <t>2256705140002656</t>
        </is>
      </c>
      <c r="AZ271" t="inlineStr">
        <is>
          <t>BOOK</t>
        </is>
      </c>
      <c r="BB271" t="inlineStr">
        <is>
          <t>9780521228336</t>
        </is>
      </c>
      <c r="BC271" t="inlineStr">
        <is>
          <t>32285001027043</t>
        </is>
      </c>
      <c r="BD271" t="inlineStr">
        <is>
          <t>893619091</t>
        </is>
      </c>
    </row>
    <row r="272">
      <c r="A272" t="inlineStr">
        <is>
          <t>No</t>
        </is>
      </c>
      <c r="B272" t="inlineStr">
        <is>
          <t>P40 .H9</t>
        </is>
      </c>
      <c r="C272" t="inlineStr">
        <is>
          <t>0                      P  0040000H  9</t>
        </is>
      </c>
      <c r="D272" t="inlineStr">
        <is>
          <t>Foundations in sociolinguistics; an ethnographic approach [by] Dell Hymes.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Hymes, Dell H.</t>
        </is>
      </c>
      <c r="L272" t="inlineStr">
        <is>
          <t>Philadelphia, University of Pennsylvania Press [1974]</t>
        </is>
      </c>
      <c r="M272" t="inlineStr">
        <is>
          <t>1974</t>
        </is>
      </c>
      <c r="O272" t="inlineStr">
        <is>
          <t>eng</t>
        </is>
      </c>
      <c r="P272" t="inlineStr">
        <is>
          <t>pau</t>
        </is>
      </c>
      <c r="R272" t="inlineStr">
        <is>
          <t xml:space="preserve">P  </t>
        </is>
      </c>
      <c r="S272" t="n">
        <v>3</v>
      </c>
      <c r="T272" t="n">
        <v>3</v>
      </c>
      <c r="U272" t="inlineStr">
        <is>
          <t>2004-04-05</t>
        </is>
      </c>
      <c r="V272" t="inlineStr">
        <is>
          <t>2004-04-05</t>
        </is>
      </c>
      <c r="W272" t="inlineStr">
        <is>
          <t>1993-03-30</t>
        </is>
      </c>
      <c r="X272" t="inlineStr">
        <is>
          <t>1993-03-30</t>
        </is>
      </c>
      <c r="Y272" t="n">
        <v>778</v>
      </c>
      <c r="Z272" t="n">
        <v>612</v>
      </c>
      <c r="AA272" t="n">
        <v>629</v>
      </c>
      <c r="AB272" t="n">
        <v>6</v>
      </c>
      <c r="AC272" t="n">
        <v>6</v>
      </c>
      <c r="AD272" t="n">
        <v>31</v>
      </c>
      <c r="AE272" t="n">
        <v>31</v>
      </c>
      <c r="AF272" t="n">
        <v>12</v>
      </c>
      <c r="AG272" t="n">
        <v>12</v>
      </c>
      <c r="AH272" t="n">
        <v>9</v>
      </c>
      <c r="AI272" t="n">
        <v>9</v>
      </c>
      <c r="AJ272" t="n">
        <v>11</v>
      </c>
      <c r="AK272" t="n">
        <v>11</v>
      </c>
      <c r="AL272" t="n">
        <v>5</v>
      </c>
      <c r="AM272" t="n">
        <v>5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HYPERLINK("http://catalog.hathitrust.org/Record/001180683","HathiTrust Record")</f>
        <v/>
      </c>
      <c r="AS272">
        <f>HYPERLINK("https://creighton-primo.hosted.exlibrisgroup.com/primo-explore/search?tab=default_tab&amp;search_scope=EVERYTHING&amp;vid=01CRU&amp;lang=en_US&amp;offset=0&amp;query=any,contains,991003461229702656","Catalog Record")</f>
        <v/>
      </c>
      <c r="AT272">
        <f>HYPERLINK("http://www.worldcat.org/oclc/1002947","WorldCat Record")</f>
        <v/>
      </c>
      <c r="AU272" t="inlineStr">
        <is>
          <t>472325:eng</t>
        </is>
      </c>
      <c r="AV272" t="inlineStr">
        <is>
          <t>1002947</t>
        </is>
      </c>
      <c r="AW272" t="inlineStr">
        <is>
          <t>991003461229702656</t>
        </is>
      </c>
      <c r="AX272" t="inlineStr">
        <is>
          <t>991003461229702656</t>
        </is>
      </c>
      <c r="AY272" t="inlineStr">
        <is>
          <t>2257134640002656</t>
        </is>
      </c>
      <c r="AZ272" t="inlineStr">
        <is>
          <t>BOOK</t>
        </is>
      </c>
      <c r="BB272" t="inlineStr">
        <is>
          <t>9780812276756</t>
        </is>
      </c>
      <c r="BC272" t="inlineStr">
        <is>
          <t>32285001610541</t>
        </is>
      </c>
      <c r="BD272" t="inlineStr">
        <is>
          <t>893623497</t>
        </is>
      </c>
    </row>
    <row r="273">
      <c r="A273" t="inlineStr">
        <is>
          <t>No</t>
        </is>
      </c>
      <c r="B273" t="inlineStr">
        <is>
          <t>P40 .S5775 1997</t>
        </is>
      </c>
      <c r="C273" t="inlineStr">
        <is>
          <t>0                      P  0040000S  5775        1997</t>
        </is>
      </c>
      <c r="D273" t="inlineStr">
        <is>
          <t>Sociolinguistics : a reader / edited by Nikolas Coupland and Adam Jaworski.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New York : St. Martin's Press, 1997.</t>
        </is>
      </c>
      <c r="M273" t="inlineStr">
        <is>
          <t>1997</t>
        </is>
      </c>
      <c r="O273" t="inlineStr">
        <is>
          <t>eng</t>
        </is>
      </c>
      <c r="P273" t="inlineStr">
        <is>
          <t>nyu</t>
        </is>
      </c>
      <c r="Q273" t="inlineStr">
        <is>
          <t>Modern linguistics series</t>
        </is>
      </c>
      <c r="R273" t="inlineStr">
        <is>
          <t xml:space="preserve">P  </t>
        </is>
      </c>
      <c r="S273" t="n">
        <v>6</v>
      </c>
      <c r="T273" t="n">
        <v>6</v>
      </c>
      <c r="U273" t="inlineStr">
        <is>
          <t>2004-03-30</t>
        </is>
      </c>
      <c r="V273" t="inlineStr">
        <is>
          <t>2004-03-30</t>
        </is>
      </c>
      <c r="W273" t="inlineStr">
        <is>
          <t>1998-05-07</t>
        </is>
      </c>
      <c r="X273" t="inlineStr">
        <is>
          <t>1998-05-07</t>
        </is>
      </c>
      <c r="Y273" t="n">
        <v>204</v>
      </c>
      <c r="Z273" t="n">
        <v>156</v>
      </c>
      <c r="AA273" t="n">
        <v>200</v>
      </c>
      <c r="AB273" t="n">
        <v>1</v>
      </c>
      <c r="AC273" t="n">
        <v>1</v>
      </c>
      <c r="AD273" t="n">
        <v>8</v>
      </c>
      <c r="AE273" t="n">
        <v>9</v>
      </c>
      <c r="AF273" t="n">
        <v>3</v>
      </c>
      <c r="AG273" t="n">
        <v>3</v>
      </c>
      <c r="AH273" t="n">
        <v>3</v>
      </c>
      <c r="AI273" t="n">
        <v>3</v>
      </c>
      <c r="AJ273" t="n">
        <v>5</v>
      </c>
      <c r="AK273" t="n">
        <v>6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HYPERLINK("https://creighton-primo.hosted.exlibrisgroup.com/primo-explore/search?tab=default_tab&amp;search_scope=EVERYTHING&amp;vid=01CRU&amp;lang=en_US&amp;offset=0&amp;query=any,contains,991002783929702656","Catalog Record")</f>
        <v/>
      </c>
      <c r="AT273">
        <f>HYPERLINK("http://www.worldcat.org/oclc/36549087","WorldCat Record")</f>
        <v/>
      </c>
      <c r="AU273" t="inlineStr">
        <is>
          <t>4925042731:eng</t>
        </is>
      </c>
      <c r="AV273" t="inlineStr">
        <is>
          <t>36549087</t>
        </is>
      </c>
      <c r="AW273" t="inlineStr">
        <is>
          <t>991002783929702656</t>
        </is>
      </c>
      <c r="AX273" t="inlineStr">
        <is>
          <t>991002783929702656</t>
        </is>
      </c>
      <c r="AY273" t="inlineStr">
        <is>
          <t>2257357130002656</t>
        </is>
      </c>
      <c r="AZ273" t="inlineStr">
        <is>
          <t>BOOK</t>
        </is>
      </c>
      <c r="BB273" t="inlineStr">
        <is>
          <t>9780312175726</t>
        </is>
      </c>
      <c r="BC273" t="inlineStr">
        <is>
          <t>32285003406864</t>
        </is>
      </c>
      <c r="BD273" t="inlineStr">
        <is>
          <t>893874010</t>
        </is>
      </c>
    </row>
    <row r="274">
      <c r="A274" t="inlineStr">
        <is>
          <t>No</t>
        </is>
      </c>
      <c r="B274" t="inlineStr">
        <is>
          <t>P40.45.U5 V37 1994</t>
        </is>
      </c>
      <c r="C274" t="inlineStr">
        <is>
          <t>0                      P  0040450U  5                  V  37          1994</t>
        </is>
      </c>
      <c r="D274" t="inlineStr">
        <is>
          <t>Pushing boundaries : language and culture in a Mexicano community / Olga A. Vasquez, Lucinda Pease-Alvarez, Sheila M. Shannon.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Vasquez, Olga A.</t>
        </is>
      </c>
      <c r="L274" t="inlineStr">
        <is>
          <t>Cambridge [England] ; New York, NY, USA : Cambridge University Press, 1994.</t>
        </is>
      </c>
      <c r="M274" t="inlineStr">
        <is>
          <t>1994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P  </t>
        </is>
      </c>
      <c r="S274" t="n">
        <v>4</v>
      </c>
      <c r="T274" t="n">
        <v>4</v>
      </c>
      <c r="U274" t="inlineStr">
        <is>
          <t>1996-09-22</t>
        </is>
      </c>
      <c r="V274" t="inlineStr">
        <is>
          <t>1996-09-22</t>
        </is>
      </c>
      <c r="W274" t="inlineStr">
        <is>
          <t>1995-04-03</t>
        </is>
      </c>
      <c r="X274" t="inlineStr">
        <is>
          <t>1995-04-03</t>
        </is>
      </c>
      <c r="Y274" t="n">
        <v>313</v>
      </c>
      <c r="Z274" t="n">
        <v>257</v>
      </c>
      <c r="AA274" t="n">
        <v>282</v>
      </c>
      <c r="AB274" t="n">
        <v>3</v>
      </c>
      <c r="AC274" t="n">
        <v>3</v>
      </c>
      <c r="AD274" t="n">
        <v>11</v>
      </c>
      <c r="AE274" t="n">
        <v>11</v>
      </c>
      <c r="AF274" t="n">
        <v>1</v>
      </c>
      <c r="AG274" t="n">
        <v>1</v>
      </c>
      <c r="AH274" t="n">
        <v>4</v>
      </c>
      <c r="AI274" t="n">
        <v>4</v>
      </c>
      <c r="AJ274" t="n">
        <v>7</v>
      </c>
      <c r="AK274" t="n">
        <v>7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HYPERLINK("https://creighton-primo.hosted.exlibrisgroup.com/primo-explore/search?tab=default_tab&amp;search_scope=EVERYTHING&amp;vid=01CRU&amp;lang=en_US&amp;offset=0&amp;query=any,contains,991002258969702656","Catalog Record")</f>
        <v/>
      </c>
      <c r="AT274">
        <f>HYPERLINK("http://www.worldcat.org/oclc/29259343","WorldCat Record")</f>
        <v/>
      </c>
      <c r="AU274" t="inlineStr">
        <is>
          <t>836949449:eng</t>
        </is>
      </c>
      <c r="AV274" t="inlineStr">
        <is>
          <t>29259343</t>
        </is>
      </c>
      <c r="AW274" t="inlineStr">
        <is>
          <t>991002258969702656</t>
        </is>
      </c>
      <c r="AX274" t="inlineStr">
        <is>
          <t>991002258969702656</t>
        </is>
      </c>
      <c r="AY274" t="inlineStr">
        <is>
          <t>2266133860002656</t>
        </is>
      </c>
      <c r="AZ274" t="inlineStr">
        <is>
          <t>BOOK</t>
        </is>
      </c>
      <c r="BB274" t="inlineStr">
        <is>
          <t>9780521419352</t>
        </is>
      </c>
      <c r="BC274" t="inlineStr">
        <is>
          <t>32285002015799</t>
        </is>
      </c>
      <c r="BD274" t="inlineStr">
        <is>
          <t>893347293</t>
        </is>
      </c>
    </row>
    <row r="275">
      <c r="A275" t="inlineStr">
        <is>
          <t>No</t>
        </is>
      </c>
      <c r="B275" t="inlineStr">
        <is>
          <t>P40.5.L28 H45 2005</t>
        </is>
      </c>
      <c r="C275" t="inlineStr">
        <is>
          <t>0                      P  0040500L  28                 H  45          2005</t>
        </is>
      </c>
      <c r="D275" t="inlineStr">
        <is>
          <t>Echolalias : on the forgetting of language / Daniel Heller-Roazen.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Heller-Roazen, Daniel.</t>
        </is>
      </c>
      <c r="L275" t="inlineStr">
        <is>
          <t>New York : Zone Books, 2005.</t>
        </is>
      </c>
      <c r="M275" t="inlineStr">
        <is>
          <t>2005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P  </t>
        </is>
      </c>
      <c r="S275" t="n">
        <v>1</v>
      </c>
      <c r="T275" t="n">
        <v>1</v>
      </c>
      <c r="U275" t="inlineStr">
        <is>
          <t>2006-07-17</t>
        </is>
      </c>
      <c r="V275" t="inlineStr">
        <is>
          <t>2006-07-17</t>
        </is>
      </c>
      <c r="W275" t="inlineStr">
        <is>
          <t>2006-07-17</t>
        </is>
      </c>
      <c r="X275" t="inlineStr">
        <is>
          <t>2006-07-17</t>
        </is>
      </c>
      <c r="Y275" t="n">
        <v>474</v>
      </c>
      <c r="Z275" t="n">
        <v>383</v>
      </c>
      <c r="AA275" t="n">
        <v>408</v>
      </c>
      <c r="AB275" t="n">
        <v>5</v>
      </c>
      <c r="AC275" t="n">
        <v>5</v>
      </c>
      <c r="AD275" t="n">
        <v>24</v>
      </c>
      <c r="AE275" t="n">
        <v>24</v>
      </c>
      <c r="AF275" t="n">
        <v>8</v>
      </c>
      <c r="AG275" t="n">
        <v>8</v>
      </c>
      <c r="AH275" t="n">
        <v>6</v>
      </c>
      <c r="AI275" t="n">
        <v>6</v>
      </c>
      <c r="AJ275" t="n">
        <v>11</v>
      </c>
      <c r="AK275" t="n">
        <v>11</v>
      </c>
      <c r="AL275" t="n">
        <v>4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HYPERLINK("http://catalog.hathitrust.org/Record/004963102","HathiTrust Record")</f>
        <v/>
      </c>
      <c r="AS275">
        <f>HYPERLINK("https://creighton-primo.hosted.exlibrisgroup.com/primo-explore/search?tab=default_tab&amp;search_scope=EVERYTHING&amp;vid=01CRU&amp;lang=en_US&amp;offset=0&amp;query=any,contains,991004848289702656","Catalog Record")</f>
        <v/>
      </c>
      <c r="AT275">
        <f>HYPERLINK("http://www.worldcat.org/oclc/55587746","WorldCat Record")</f>
        <v/>
      </c>
      <c r="AU275" t="inlineStr">
        <is>
          <t>16320084:eng</t>
        </is>
      </c>
      <c r="AV275" t="inlineStr">
        <is>
          <t>55587746</t>
        </is>
      </c>
      <c r="AW275" t="inlineStr">
        <is>
          <t>991004848289702656</t>
        </is>
      </c>
      <c r="AX275" t="inlineStr">
        <is>
          <t>991004848289702656</t>
        </is>
      </c>
      <c r="AY275" t="inlineStr">
        <is>
          <t>2259874500002656</t>
        </is>
      </c>
      <c r="AZ275" t="inlineStr">
        <is>
          <t>BOOK</t>
        </is>
      </c>
      <c r="BB275" t="inlineStr">
        <is>
          <t>9781890951498</t>
        </is>
      </c>
      <c r="BC275" t="inlineStr">
        <is>
          <t>32285005195226</t>
        </is>
      </c>
      <c r="BD275" t="inlineStr">
        <is>
          <t>893719477</t>
        </is>
      </c>
    </row>
    <row r="276">
      <c r="A276" t="inlineStr">
        <is>
          <t>No</t>
        </is>
      </c>
      <c r="B276" t="inlineStr">
        <is>
          <t>P40.8 .L83 1994</t>
        </is>
      </c>
      <c r="C276" t="inlineStr">
        <is>
          <t>0                      P  0040800L  83          1994</t>
        </is>
      </c>
      <c r="D276" t="inlineStr">
        <is>
          <t>Language diversity and classroom discourse / Ceil Lucas, Denise Glyn Borders.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Lucas, Ceil.</t>
        </is>
      </c>
      <c r="L276" t="inlineStr">
        <is>
          <t>Norwood, N.J. : Ablex Pub. Corp., c1994.</t>
        </is>
      </c>
      <c r="M276" t="inlineStr">
        <is>
          <t>1994</t>
        </is>
      </c>
      <c r="O276" t="inlineStr">
        <is>
          <t>eng</t>
        </is>
      </c>
      <c r="P276" t="inlineStr">
        <is>
          <t>nju</t>
        </is>
      </c>
      <c r="Q276" t="inlineStr">
        <is>
          <t>Language &amp; educational processes</t>
        </is>
      </c>
      <c r="R276" t="inlineStr">
        <is>
          <t xml:space="preserve">P  </t>
        </is>
      </c>
      <c r="S276" t="n">
        <v>4</v>
      </c>
      <c r="T276" t="n">
        <v>4</v>
      </c>
      <c r="U276" t="inlineStr">
        <is>
          <t>1997-09-23</t>
        </is>
      </c>
      <c r="V276" t="inlineStr">
        <is>
          <t>1997-09-23</t>
        </is>
      </c>
      <c r="W276" t="inlineStr">
        <is>
          <t>1997-05-08</t>
        </is>
      </c>
      <c r="X276" t="inlineStr">
        <is>
          <t>1997-05-08</t>
        </is>
      </c>
      <c r="Y276" t="n">
        <v>181</v>
      </c>
      <c r="Z276" t="n">
        <v>150</v>
      </c>
      <c r="AA276" t="n">
        <v>195</v>
      </c>
      <c r="AB276" t="n">
        <v>2</v>
      </c>
      <c r="AC276" t="n">
        <v>2</v>
      </c>
      <c r="AD276" t="n">
        <v>6</v>
      </c>
      <c r="AE276" t="n">
        <v>6</v>
      </c>
      <c r="AF276" t="n">
        <v>3</v>
      </c>
      <c r="AG276" t="n">
        <v>3</v>
      </c>
      <c r="AH276" t="n">
        <v>2</v>
      </c>
      <c r="AI276" t="n">
        <v>2</v>
      </c>
      <c r="AJ276" t="n">
        <v>3</v>
      </c>
      <c r="AK276" t="n">
        <v>3</v>
      </c>
      <c r="AL276" t="n">
        <v>1</v>
      </c>
      <c r="AM276" t="n">
        <v>1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HYPERLINK("http://catalog.hathitrust.org/Record/002860491","HathiTrust Record")</f>
        <v/>
      </c>
      <c r="AS276">
        <f>HYPERLINK("https://creighton-primo.hosted.exlibrisgroup.com/primo-explore/search?tab=default_tab&amp;search_scope=EVERYTHING&amp;vid=01CRU&amp;lang=en_US&amp;offset=0&amp;query=any,contains,991002249779702656","Catalog Record")</f>
        <v/>
      </c>
      <c r="AT276">
        <f>HYPERLINK("http://www.worldcat.org/oclc/29030883","WorldCat Record")</f>
        <v/>
      </c>
      <c r="AU276" t="inlineStr">
        <is>
          <t>2873463:eng</t>
        </is>
      </c>
      <c r="AV276" t="inlineStr">
        <is>
          <t>29030883</t>
        </is>
      </c>
      <c r="AW276" t="inlineStr">
        <is>
          <t>991002249779702656</t>
        </is>
      </c>
      <c r="AX276" t="inlineStr">
        <is>
          <t>991002249779702656</t>
        </is>
      </c>
      <c r="AY276" t="inlineStr">
        <is>
          <t>2263570750002656</t>
        </is>
      </c>
      <c r="AZ276" t="inlineStr">
        <is>
          <t>BOOK</t>
        </is>
      </c>
      <c r="BB276" t="inlineStr">
        <is>
          <t>9780893919696</t>
        </is>
      </c>
      <c r="BC276" t="inlineStr">
        <is>
          <t>32285002606019</t>
        </is>
      </c>
      <c r="BD276" t="inlineStr">
        <is>
          <t>893226620</t>
        </is>
      </c>
    </row>
    <row r="277">
      <c r="A277" t="inlineStr">
        <is>
          <t>No</t>
        </is>
      </c>
      <c r="B277" t="inlineStr">
        <is>
          <t>P409 .L89 1996</t>
        </is>
      </c>
      <c r="C277" t="inlineStr">
        <is>
          <t>0                      P  0409000L  89          1996</t>
        </is>
      </c>
      <c r="D277" t="inlineStr">
        <is>
          <t>The new doublespeak : why no one knows what anyone's saying anymore / William Lutz.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Lutz, William.</t>
        </is>
      </c>
      <c r="L277" t="inlineStr">
        <is>
          <t>New York, NY : HarperCollins Publishers, c1996.</t>
        </is>
      </c>
      <c r="M277" t="inlineStr">
        <is>
          <t>1996</t>
        </is>
      </c>
      <c r="N277" t="inlineStr">
        <is>
          <t>1st ed.</t>
        </is>
      </c>
      <c r="O277" t="inlineStr">
        <is>
          <t>eng</t>
        </is>
      </c>
      <c r="P277" t="inlineStr">
        <is>
          <t>nyu</t>
        </is>
      </c>
      <c r="R277" t="inlineStr">
        <is>
          <t xml:space="preserve">P  </t>
        </is>
      </c>
      <c r="S277" t="n">
        <v>4</v>
      </c>
      <c r="T277" t="n">
        <v>4</v>
      </c>
      <c r="U277" t="inlineStr">
        <is>
          <t>2007-01-15</t>
        </is>
      </c>
      <c r="V277" t="inlineStr">
        <is>
          <t>2007-01-15</t>
        </is>
      </c>
      <c r="W277" t="inlineStr">
        <is>
          <t>1997-09-22</t>
        </is>
      </c>
      <c r="X277" t="inlineStr">
        <is>
          <t>1997-09-22</t>
        </is>
      </c>
      <c r="Y277" t="n">
        <v>552</v>
      </c>
      <c r="Z277" t="n">
        <v>504</v>
      </c>
      <c r="AA277" t="n">
        <v>560</v>
      </c>
      <c r="AB277" t="n">
        <v>4</v>
      </c>
      <c r="AC277" t="n">
        <v>4</v>
      </c>
      <c r="AD277" t="n">
        <v>17</v>
      </c>
      <c r="AE277" t="n">
        <v>17</v>
      </c>
      <c r="AF277" t="n">
        <v>4</v>
      </c>
      <c r="AG277" t="n">
        <v>4</v>
      </c>
      <c r="AH277" t="n">
        <v>3</v>
      </c>
      <c r="AI277" t="n">
        <v>3</v>
      </c>
      <c r="AJ277" t="n">
        <v>11</v>
      </c>
      <c r="AK277" t="n">
        <v>11</v>
      </c>
      <c r="AL277" t="n">
        <v>3</v>
      </c>
      <c r="AM277" t="n">
        <v>3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HYPERLINK("https://creighton-primo.hosted.exlibrisgroup.com/primo-explore/search?tab=default_tab&amp;search_scope=EVERYTHING&amp;vid=01CRU&amp;lang=en_US&amp;offset=0&amp;query=any,contains,991002683399702656","Catalog Record")</f>
        <v/>
      </c>
      <c r="AT277">
        <f>HYPERLINK("http://www.worldcat.org/oclc/35057557","WorldCat Record")</f>
        <v/>
      </c>
      <c r="AU277" t="inlineStr">
        <is>
          <t>587947:eng</t>
        </is>
      </c>
      <c r="AV277" t="inlineStr">
        <is>
          <t>35057557</t>
        </is>
      </c>
      <c r="AW277" t="inlineStr">
        <is>
          <t>991002683399702656</t>
        </is>
      </c>
      <c r="AX277" t="inlineStr">
        <is>
          <t>991002683399702656</t>
        </is>
      </c>
      <c r="AY277" t="inlineStr">
        <is>
          <t>2258543680002656</t>
        </is>
      </c>
      <c r="AZ277" t="inlineStr">
        <is>
          <t>BOOK</t>
        </is>
      </c>
      <c r="BB277" t="inlineStr">
        <is>
          <t>9780060171346</t>
        </is>
      </c>
      <c r="BC277" t="inlineStr">
        <is>
          <t>32285003176939</t>
        </is>
      </c>
      <c r="BD277" t="inlineStr">
        <is>
          <t>893352459</t>
        </is>
      </c>
    </row>
    <row r="278">
      <c r="A278" t="inlineStr">
        <is>
          <t>No</t>
        </is>
      </c>
      <c r="B278" t="inlineStr">
        <is>
          <t>P41 .B36 1975</t>
        </is>
      </c>
      <c r="C278" t="inlineStr">
        <is>
          <t>0                      P  0041000B  36          1975</t>
        </is>
      </c>
      <c r="D278" t="inlineStr">
        <is>
          <t>Class, codes, and control : theoretical studies towards a sociology of language / [by] Basil Bernstein.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Bernstein, Basil.</t>
        </is>
      </c>
      <c r="L278" t="inlineStr">
        <is>
          <t>New York : Schocken Books, [1975, c1974]</t>
        </is>
      </c>
      <c r="M278" t="inlineStr">
        <is>
          <t>1975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P  </t>
        </is>
      </c>
      <c r="S278" t="n">
        <v>2</v>
      </c>
      <c r="T278" t="n">
        <v>2</v>
      </c>
      <c r="U278" t="inlineStr">
        <is>
          <t>2008-04-09</t>
        </is>
      </c>
      <c r="V278" t="inlineStr">
        <is>
          <t>2008-04-09</t>
        </is>
      </c>
      <c r="W278" t="inlineStr">
        <is>
          <t>1992-04-01</t>
        </is>
      </c>
      <c r="X278" t="inlineStr">
        <is>
          <t>1992-04-01</t>
        </is>
      </c>
      <c r="Y278" t="n">
        <v>134</v>
      </c>
      <c r="Z278" t="n">
        <v>123</v>
      </c>
      <c r="AA278" t="n">
        <v>166</v>
      </c>
      <c r="AB278" t="n">
        <v>1</v>
      </c>
      <c r="AC278" t="n">
        <v>1</v>
      </c>
      <c r="AD278" t="n">
        <v>5</v>
      </c>
      <c r="AE278" t="n">
        <v>5</v>
      </c>
      <c r="AF278" t="n">
        <v>2</v>
      </c>
      <c r="AG278" t="n">
        <v>2</v>
      </c>
      <c r="AH278" t="n">
        <v>1</v>
      </c>
      <c r="AI278" t="n">
        <v>1</v>
      </c>
      <c r="AJ278" t="n">
        <v>3</v>
      </c>
      <c r="AK278" t="n">
        <v>3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HYPERLINK("http://catalog.hathitrust.org/Record/102566163","HathiTrust Record")</f>
        <v/>
      </c>
      <c r="AS278">
        <f>HYPERLINK("https://creighton-primo.hosted.exlibrisgroup.com/primo-explore/search?tab=default_tab&amp;search_scope=EVERYTHING&amp;vid=01CRU&amp;lang=en_US&amp;offset=0&amp;query=any,contains,991003409009702656","Catalog Record")</f>
        <v/>
      </c>
      <c r="AT278">
        <f>HYPERLINK("http://www.worldcat.org/oclc/947925","WorldCat Record")</f>
        <v/>
      </c>
      <c r="AU278" t="inlineStr">
        <is>
          <t>2223523957:eng</t>
        </is>
      </c>
      <c r="AV278" t="inlineStr">
        <is>
          <t>947925</t>
        </is>
      </c>
      <c r="AW278" t="inlineStr">
        <is>
          <t>991003409009702656</t>
        </is>
      </c>
      <c r="AX278" t="inlineStr">
        <is>
          <t>991003409009702656</t>
        </is>
      </c>
      <c r="AY278" t="inlineStr">
        <is>
          <t>2264686120002656</t>
        </is>
      </c>
      <c r="AZ278" t="inlineStr">
        <is>
          <t>BOOK</t>
        </is>
      </c>
      <c r="BB278" t="inlineStr">
        <is>
          <t>9780805204582</t>
        </is>
      </c>
      <c r="BC278" t="inlineStr">
        <is>
          <t>32285001031904</t>
        </is>
      </c>
      <c r="BD278" t="inlineStr">
        <is>
          <t>893774697</t>
        </is>
      </c>
    </row>
    <row r="279">
      <c r="A279" t="inlineStr">
        <is>
          <t>No</t>
        </is>
      </c>
      <c r="B279" t="inlineStr">
        <is>
          <t>P41 .F3</t>
        </is>
      </c>
      <c r="C279" t="inlineStr">
        <is>
          <t>0                      P  0041000F  3</t>
        </is>
      </c>
      <c r="D279" t="inlineStr">
        <is>
          <t>Word play : what happens when people talk.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Farb, Peter.</t>
        </is>
      </c>
      <c r="L279" t="inlineStr">
        <is>
          <t>New York : Knopf ; [distributed by Random House], 1974 [c1973]</t>
        </is>
      </c>
      <c r="M279" t="inlineStr">
        <is>
          <t>1974</t>
        </is>
      </c>
      <c r="N279" t="inlineStr">
        <is>
          <t>[1st ed.]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P  </t>
        </is>
      </c>
      <c r="S279" t="n">
        <v>3</v>
      </c>
      <c r="T279" t="n">
        <v>3</v>
      </c>
      <c r="U279" t="inlineStr">
        <is>
          <t>2001-11-06</t>
        </is>
      </c>
      <c r="V279" t="inlineStr">
        <is>
          <t>2001-11-06</t>
        </is>
      </c>
      <c r="W279" t="inlineStr">
        <is>
          <t>1992-03-24</t>
        </is>
      </c>
      <c r="X279" t="inlineStr">
        <is>
          <t>1992-03-24</t>
        </is>
      </c>
      <c r="Y279" t="n">
        <v>1306</v>
      </c>
      <c r="Z279" t="n">
        <v>1215</v>
      </c>
      <c r="AA279" t="n">
        <v>1474</v>
      </c>
      <c r="AB279" t="n">
        <v>9</v>
      </c>
      <c r="AC279" t="n">
        <v>10</v>
      </c>
      <c r="AD279" t="n">
        <v>39</v>
      </c>
      <c r="AE279" t="n">
        <v>43</v>
      </c>
      <c r="AF279" t="n">
        <v>16</v>
      </c>
      <c r="AG279" t="n">
        <v>18</v>
      </c>
      <c r="AH279" t="n">
        <v>7</v>
      </c>
      <c r="AI279" t="n">
        <v>7</v>
      </c>
      <c r="AJ279" t="n">
        <v>17</v>
      </c>
      <c r="AK279" t="n">
        <v>18</v>
      </c>
      <c r="AL279" t="n">
        <v>8</v>
      </c>
      <c r="AM279" t="n">
        <v>9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HYPERLINK("http://catalog.hathitrust.org/Record/001180689","HathiTrust Record")</f>
        <v/>
      </c>
      <c r="AS279">
        <f>HYPERLINK("https://creighton-primo.hosted.exlibrisgroup.com/primo-explore/search?tab=default_tab&amp;search_scope=EVERYTHING&amp;vid=01CRU&amp;lang=en_US&amp;offset=0&amp;query=any,contains,991003135449702656","Catalog Record")</f>
        <v/>
      </c>
      <c r="AT279">
        <f>HYPERLINK("http://www.worldcat.org/oclc/677317","WorldCat Record")</f>
        <v/>
      </c>
      <c r="AU279" t="inlineStr">
        <is>
          <t>7415186:eng</t>
        </is>
      </c>
      <c r="AV279" t="inlineStr">
        <is>
          <t>677317</t>
        </is>
      </c>
      <c r="AW279" t="inlineStr">
        <is>
          <t>991003135449702656</t>
        </is>
      </c>
      <c r="AX279" t="inlineStr">
        <is>
          <t>991003135449702656</t>
        </is>
      </c>
      <c r="AY279" t="inlineStr">
        <is>
          <t>2272364130002656</t>
        </is>
      </c>
      <c r="AZ279" t="inlineStr">
        <is>
          <t>BOOK</t>
        </is>
      </c>
      <c r="BB279" t="inlineStr">
        <is>
          <t>9780394486758</t>
        </is>
      </c>
      <c r="BC279" t="inlineStr">
        <is>
          <t>32285001027571</t>
        </is>
      </c>
      <c r="BD279" t="inlineStr">
        <is>
          <t>893799416</t>
        </is>
      </c>
    </row>
    <row r="280">
      <c r="A280" t="inlineStr">
        <is>
          <t>No</t>
        </is>
      </c>
      <c r="B280" t="inlineStr">
        <is>
          <t>P47 .B6</t>
        </is>
      </c>
      <c r="C280" t="inlineStr">
        <is>
          <t>0                      P  0047000B  6</t>
        </is>
      </c>
      <c r="D280" t="inlineStr">
        <is>
          <t>Textual &amp; literary criticism.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Bowers, Fredson.</t>
        </is>
      </c>
      <c r="L280" t="inlineStr">
        <is>
          <t>Cambridge [Eng.] University Press, 1959.</t>
        </is>
      </c>
      <c r="M280" t="inlineStr">
        <is>
          <t>1959</t>
        </is>
      </c>
      <c r="O280" t="inlineStr">
        <is>
          <t>eng</t>
        </is>
      </c>
      <c r="P280" t="inlineStr">
        <is>
          <t>enk</t>
        </is>
      </c>
      <c r="Q280" t="inlineStr">
        <is>
          <t>The Sandars lectures in bibliography, 1957-58</t>
        </is>
      </c>
      <c r="R280" t="inlineStr">
        <is>
          <t xml:space="preserve">P  </t>
        </is>
      </c>
      <c r="S280" t="n">
        <v>2</v>
      </c>
      <c r="T280" t="n">
        <v>2</v>
      </c>
      <c r="U280" t="inlineStr">
        <is>
          <t>2000-10-29</t>
        </is>
      </c>
      <c r="V280" t="inlineStr">
        <is>
          <t>2000-10-29</t>
        </is>
      </c>
      <c r="W280" t="inlineStr">
        <is>
          <t>1997-08-11</t>
        </is>
      </c>
      <c r="X280" t="inlineStr">
        <is>
          <t>1997-08-11</t>
        </is>
      </c>
      <c r="Y280" t="n">
        <v>747</v>
      </c>
      <c r="Z280" t="n">
        <v>617</v>
      </c>
      <c r="AA280" t="n">
        <v>755</v>
      </c>
      <c r="AB280" t="n">
        <v>5</v>
      </c>
      <c r="AC280" t="n">
        <v>5</v>
      </c>
      <c r="AD280" t="n">
        <v>30</v>
      </c>
      <c r="AE280" t="n">
        <v>36</v>
      </c>
      <c r="AF280" t="n">
        <v>11</v>
      </c>
      <c r="AG280" t="n">
        <v>15</v>
      </c>
      <c r="AH280" t="n">
        <v>7</v>
      </c>
      <c r="AI280" t="n">
        <v>8</v>
      </c>
      <c r="AJ280" t="n">
        <v>18</v>
      </c>
      <c r="AK280" t="n">
        <v>21</v>
      </c>
      <c r="AL280" t="n">
        <v>4</v>
      </c>
      <c r="AM280" t="n">
        <v>4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HYPERLINK("https://creighton-primo.hosted.exlibrisgroup.com/primo-explore/search?tab=default_tab&amp;search_scope=EVERYTHING&amp;vid=01CRU&amp;lang=en_US&amp;offset=0&amp;query=any,contains,991002265359702656","Catalog Record")</f>
        <v/>
      </c>
      <c r="AT280">
        <f>HYPERLINK("http://www.worldcat.org/oclc/306718","WorldCat Record")</f>
        <v/>
      </c>
      <c r="AU280" t="inlineStr">
        <is>
          <t>1359294:eng</t>
        </is>
      </c>
      <c r="AV280" t="inlineStr">
        <is>
          <t>306718</t>
        </is>
      </c>
      <c r="AW280" t="inlineStr">
        <is>
          <t>991002265359702656</t>
        </is>
      </c>
      <c r="AX280" t="inlineStr">
        <is>
          <t>991002265359702656</t>
        </is>
      </c>
      <c r="AY280" t="inlineStr">
        <is>
          <t>2266137250002656</t>
        </is>
      </c>
      <c r="AZ280" t="inlineStr">
        <is>
          <t>BOOK</t>
        </is>
      </c>
      <c r="BC280" t="inlineStr">
        <is>
          <t>32285003049276</t>
        </is>
      </c>
      <c r="BD280" t="inlineStr">
        <is>
          <t>893615909</t>
        </is>
      </c>
    </row>
    <row r="281">
      <c r="A281" t="inlineStr">
        <is>
          <t>No</t>
        </is>
      </c>
      <c r="B281" t="inlineStr">
        <is>
          <t>P49 .C64 1973</t>
        </is>
      </c>
      <c r="C281" t="inlineStr">
        <is>
          <t>0                      P  0049000C  64          1973</t>
        </is>
      </c>
      <c r="D281" t="inlineStr">
        <is>
          <t>Teoraia del lenguaje y lingeuaistica general : cinco estudios / Eugenio Coseriu.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Coseriu, Eugenio.</t>
        </is>
      </c>
      <c r="L281" t="inlineStr">
        <is>
          <t>Madrid : Editorial Gredos, [1973]</t>
        </is>
      </c>
      <c r="M281" t="inlineStr">
        <is>
          <t>1973</t>
        </is>
      </c>
      <c r="N281" t="inlineStr">
        <is>
          <t>3. ed. rev. y corr.</t>
        </is>
      </c>
      <c r="O281" t="inlineStr">
        <is>
          <t>spa</t>
        </is>
      </c>
      <c r="P281" t="inlineStr">
        <is>
          <t xml:space="preserve">sp </t>
        </is>
      </c>
      <c r="Q281" t="inlineStr">
        <is>
          <t>Biblioteca romaanica hispaanica. 2. Estudios y ensayos ; 61</t>
        </is>
      </c>
      <c r="R281" t="inlineStr">
        <is>
          <t xml:space="preserve">P  </t>
        </is>
      </c>
      <c r="S281" t="n">
        <v>1</v>
      </c>
      <c r="T281" t="n">
        <v>1</v>
      </c>
      <c r="U281" t="inlineStr">
        <is>
          <t>2004-08-05</t>
        </is>
      </c>
      <c r="V281" t="inlineStr">
        <is>
          <t>2004-08-05</t>
        </is>
      </c>
      <c r="W281" t="inlineStr">
        <is>
          <t>2004-08-05</t>
        </is>
      </c>
      <c r="X281" t="inlineStr">
        <is>
          <t>2004-08-05</t>
        </is>
      </c>
      <c r="Y281" t="n">
        <v>52</v>
      </c>
      <c r="Z281" t="n">
        <v>35</v>
      </c>
      <c r="AA281" t="n">
        <v>156</v>
      </c>
      <c r="AB281" t="n">
        <v>1</v>
      </c>
      <c r="AC281" t="n">
        <v>1</v>
      </c>
      <c r="AD281" t="n">
        <v>1</v>
      </c>
      <c r="AE281" t="n">
        <v>5</v>
      </c>
      <c r="AF281" t="n">
        <v>0</v>
      </c>
      <c r="AG281" t="n">
        <v>0</v>
      </c>
      <c r="AH281" t="n">
        <v>1</v>
      </c>
      <c r="AI281" t="n">
        <v>3</v>
      </c>
      <c r="AJ281" t="n">
        <v>1</v>
      </c>
      <c r="AK281" t="n">
        <v>4</v>
      </c>
      <c r="AL281" t="n">
        <v>0</v>
      </c>
      <c r="AM281" t="n">
        <v>0</v>
      </c>
      <c r="AN281" t="n">
        <v>0</v>
      </c>
      <c r="AO281" t="n">
        <v>0</v>
      </c>
      <c r="AP281" t="inlineStr">
        <is>
          <t>No</t>
        </is>
      </c>
      <c r="AQ281" t="inlineStr">
        <is>
          <t>No</t>
        </is>
      </c>
      <c r="AS281">
        <f>HYPERLINK("https://creighton-primo.hosted.exlibrisgroup.com/primo-explore/search?tab=default_tab&amp;search_scope=EVERYTHING&amp;vid=01CRU&amp;lang=en_US&amp;offset=0&amp;query=any,contains,991004338529702656","Catalog Record")</f>
        <v/>
      </c>
      <c r="AT281">
        <f>HYPERLINK("http://www.worldcat.org/oclc/1011409","WorldCat Record")</f>
        <v/>
      </c>
      <c r="AU281" t="inlineStr">
        <is>
          <t>1933111:spa</t>
        </is>
      </c>
      <c r="AV281" t="inlineStr">
        <is>
          <t>1011409</t>
        </is>
      </c>
      <c r="AW281" t="inlineStr">
        <is>
          <t>991004338529702656</t>
        </is>
      </c>
      <c r="AX281" t="inlineStr">
        <is>
          <t>991004338529702656</t>
        </is>
      </c>
      <c r="AY281" t="inlineStr">
        <is>
          <t>2255101580002656</t>
        </is>
      </c>
      <c r="AZ281" t="inlineStr">
        <is>
          <t>BOOK</t>
        </is>
      </c>
      <c r="BB281" t="inlineStr">
        <is>
          <t>9788424905057</t>
        </is>
      </c>
      <c r="BC281" t="inlineStr">
        <is>
          <t>32285004928759</t>
        </is>
      </c>
      <c r="BD281" t="inlineStr">
        <is>
          <t>893718791</t>
        </is>
      </c>
    </row>
    <row r="282">
      <c r="A282" t="inlineStr">
        <is>
          <t>No</t>
        </is>
      </c>
      <c r="B282" t="inlineStr">
        <is>
          <t>P49 .L23 1985</t>
        </is>
      </c>
      <c r="C282" t="inlineStr">
        <is>
          <t>0                      P  0049000L  23          1985</t>
        </is>
      </c>
      <c r="D282" t="inlineStr">
        <is>
          <t>Language : introductory readings / Virginia P. Clark, Paul A. Eschholz, Alfred F. Rosa, editors.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L282" t="inlineStr">
        <is>
          <t>New York : St. Martin's Press, c1985.</t>
        </is>
      </c>
      <c r="M282" t="inlineStr">
        <is>
          <t>1985</t>
        </is>
      </c>
      <c r="N282" t="inlineStr">
        <is>
          <t>4th ed.</t>
        </is>
      </c>
      <c r="O282" t="inlineStr">
        <is>
          <t>eng</t>
        </is>
      </c>
      <c r="P282" t="inlineStr">
        <is>
          <t>nyu</t>
        </is>
      </c>
      <c r="R282" t="inlineStr">
        <is>
          <t xml:space="preserve">P  </t>
        </is>
      </c>
      <c r="S282" t="n">
        <v>4</v>
      </c>
      <c r="T282" t="n">
        <v>4</v>
      </c>
      <c r="U282" t="inlineStr">
        <is>
          <t>1996-04-20</t>
        </is>
      </c>
      <c r="V282" t="inlineStr">
        <is>
          <t>1996-04-20</t>
        </is>
      </c>
      <c r="W282" t="inlineStr">
        <is>
          <t>1993-10-26</t>
        </is>
      </c>
      <c r="X282" t="inlineStr">
        <is>
          <t>1993-10-26</t>
        </is>
      </c>
      <c r="Y282" t="n">
        <v>282</v>
      </c>
      <c r="Z282" t="n">
        <v>233</v>
      </c>
      <c r="AA282" t="n">
        <v>733</v>
      </c>
      <c r="AB282" t="n">
        <v>2</v>
      </c>
      <c r="AC282" t="n">
        <v>3</v>
      </c>
      <c r="AD282" t="n">
        <v>9</v>
      </c>
      <c r="AE282" t="n">
        <v>24</v>
      </c>
      <c r="AF282" t="n">
        <v>5</v>
      </c>
      <c r="AG282" t="n">
        <v>9</v>
      </c>
      <c r="AH282" t="n">
        <v>2</v>
      </c>
      <c r="AI282" t="n">
        <v>7</v>
      </c>
      <c r="AJ282" t="n">
        <v>4</v>
      </c>
      <c r="AK282" t="n">
        <v>13</v>
      </c>
      <c r="AL282" t="n">
        <v>1</v>
      </c>
      <c r="AM282" t="n">
        <v>2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HYPERLINK("http://catalog.hathitrust.org/Record/002619192","HathiTrust Record")</f>
        <v/>
      </c>
      <c r="AS282">
        <f>HYPERLINK("https://creighton-primo.hosted.exlibrisgroup.com/primo-explore/search?tab=default_tab&amp;search_scope=EVERYTHING&amp;vid=01CRU&amp;lang=en_US&amp;offset=0&amp;query=any,contains,991000609469702656","Catalog Record")</f>
        <v/>
      </c>
      <c r="AT282">
        <f>HYPERLINK("http://www.worldcat.org/oclc/11887059","WorldCat Record")</f>
        <v/>
      </c>
      <c r="AU282" t="inlineStr">
        <is>
          <t>836889466:eng</t>
        </is>
      </c>
      <c r="AV282" t="inlineStr">
        <is>
          <t>11887059</t>
        </is>
      </c>
      <c r="AW282" t="inlineStr">
        <is>
          <t>991000609469702656</t>
        </is>
      </c>
      <c r="AX282" t="inlineStr">
        <is>
          <t>991000609469702656</t>
        </is>
      </c>
      <c r="AY282" t="inlineStr">
        <is>
          <t>2266464960002656</t>
        </is>
      </c>
      <c r="AZ282" t="inlineStr">
        <is>
          <t>BOOK</t>
        </is>
      </c>
      <c r="BB282" t="inlineStr">
        <is>
          <t>9780312467975</t>
        </is>
      </c>
      <c r="BC282" t="inlineStr">
        <is>
          <t>32285001788388</t>
        </is>
      </c>
      <c r="BD282" t="inlineStr">
        <is>
          <t>893339715</t>
        </is>
      </c>
    </row>
    <row r="283">
      <c r="A283" t="inlineStr">
        <is>
          <t>No</t>
        </is>
      </c>
      <c r="B283" t="inlineStr">
        <is>
          <t>P51 .B775 2000</t>
        </is>
      </c>
      <c r="C283" t="inlineStr">
        <is>
          <t>0                      P  0051000B  775         2000</t>
        </is>
      </c>
      <c r="D283" t="inlineStr">
        <is>
          <t>Principles of language learning and teaching / H. Douglas Brown.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Brown, H. Douglas, 1941-</t>
        </is>
      </c>
      <c r="L283" t="inlineStr">
        <is>
          <t>White Plains, NY : Longman, c2000.</t>
        </is>
      </c>
      <c r="M283" t="inlineStr">
        <is>
          <t>2000</t>
        </is>
      </c>
      <c r="N283" t="inlineStr">
        <is>
          <t>4th ed.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  </t>
        </is>
      </c>
      <c r="S283" t="n">
        <v>4</v>
      </c>
      <c r="T283" t="n">
        <v>4</v>
      </c>
      <c r="U283" t="inlineStr">
        <is>
          <t>2010-05-13</t>
        </is>
      </c>
      <c r="V283" t="inlineStr">
        <is>
          <t>2010-05-13</t>
        </is>
      </c>
      <c r="W283" t="inlineStr">
        <is>
          <t>2004-01-08</t>
        </is>
      </c>
      <c r="X283" t="inlineStr">
        <is>
          <t>2004-01-08</t>
        </is>
      </c>
      <c r="Y283" t="n">
        <v>410</v>
      </c>
      <c r="Z283" t="n">
        <v>224</v>
      </c>
      <c r="AA283" t="n">
        <v>770</v>
      </c>
      <c r="AB283" t="n">
        <v>4</v>
      </c>
      <c r="AC283" t="n">
        <v>5</v>
      </c>
      <c r="AD283" t="n">
        <v>7</v>
      </c>
      <c r="AE283" t="n">
        <v>22</v>
      </c>
      <c r="AF283" t="n">
        <v>2</v>
      </c>
      <c r="AG283" t="n">
        <v>8</v>
      </c>
      <c r="AH283" t="n">
        <v>1</v>
      </c>
      <c r="AI283" t="n">
        <v>4</v>
      </c>
      <c r="AJ283" t="n">
        <v>2</v>
      </c>
      <c r="AK283" t="n">
        <v>11</v>
      </c>
      <c r="AL283" t="n">
        <v>3</v>
      </c>
      <c r="AM283" t="n">
        <v>4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HYPERLINK("http://catalog.hathitrust.org/Record/004145449","HathiTrust Record")</f>
        <v/>
      </c>
      <c r="AS283">
        <f>HYPERLINK("https://creighton-primo.hosted.exlibrisgroup.com/primo-explore/search?tab=default_tab&amp;search_scope=EVERYTHING&amp;vid=01CRU&amp;lang=en_US&amp;offset=0&amp;query=any,contains,991004199389702656","Catalog Record")</f>
        <v/>
      </c>
      <c r="AT283">
        <f>HYPERLINK("http://www.worldcat.org/oclc/42842469","WorldCat Record")</f>
        <v/>
      </c>
      <c r="AU283" t="inlineStr">
        <is>
          <t>8363169:eng</t>
        </is>
      </c>
      <c r="AV283" t="inlineStr">
        <is>
          <t>42842469</t>
        </is>
      </c>
      <c r="AW283" t="inlineStr">
        <is>
          <t>991004199389702656</t>
        </is>
      </c>
      <c r="AX283" t="inlineStr">
        <is>
          <t>991004199389702656</t>
        </is>
      </c>
      <c r="AY283" t="inlineStr">
        <is>
          <t>2269975570002656</t>
        </is>
      </c>
      <c r="AZ283" t="inlineStr">
        <is>
          <t>BOOK</t>
        </is>
      </c>
      <c r="BB283" t="inlineStr">
        <is>
          <t>9780130178169</t>
        </is>
      </c>
      <c r="BC283" t="inlineStr">
        <is>
          <t>32285004633359</t>
        </is>
      </c>
      <c r="BD283" t="inlineStr">
        <is>
          <t>893775751</t>
        </is>
      </c>
    </row>
    <row r="284">
      <c r="A284" t="inlineStr">
        <is>
          <t>No</t>
        </is>
      </c>
      <c r="B284" t="inlineStr">
        <is>
          <t>P51 .D44 1987</t>
        </is>
      </c>
      <c r="C284" t="inlineStr">
        <is>
          <t>0                      P  0051000D  44          1987</t>
        </is>
      </c>
      <c r="D284" t="inlineStr">
        <is>
          <t>Defining and developing proficiency : guidelines, implementations, and concepts / edited by Heidi Byrnes and Michael Canale, in conjunction with the American Council on the Teaching of Foreign Languages.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Lincolnwood, Ill. : National Textbook Co., c1987.</t>
        </is>
      </c>
      <c r="M284" t="inlineStr">
        <is>
          <t>1987</t>
        </is>
      </c>
      <c r="O284" t="inlineStr">
        <is>
          <t>eng</t>
        </is>
      </c>
      <c r="P284" t="inlineStr">
        <is>
          <t>ilu</t>
        </is>
      </c>
      <c r="Q284" t="inlineStr">
        <is>
          <t>The ACTFL foreign language education series ; [v.17]</t>
        </is>
      </c>
      <c r="R284" t="inlineStr">
        <is>
          <t xml:space="preserve">P  </t>
        </is>
      </c>
      <c r="S284" t="n">
        <v>1</v>
      </c>
      <c r="T284" t="n">
        <v>1</v>
      </c>
      <c r="U284" t="inlineStr">
        <is>
          <t>2004-04-09</t>
        </is>
      </c>
      <c r="V284" t="inlineStr">
        <is>
          <t>2004-04-09</t>
        </is>
      </c>
      <c r="W284" t="inlineStr">
        <is>
          <t>1993-03-31</t>
        </is>
      </c>
      <c r="X284" t="inlineStr">
        <is>
          <t>1993-03-31</t>
        </is>
      </c>
      <c r="Y284" t="n">
        <v>473</v>
      </c>
      <c r="Z284" t="n">
        <v>417</v>
      </c>
      <c r="AA284" t="n">
        <v>418</v>
      </c>
      <c r="AB284" t="n">
        <v>5</v>
      </c>
      <c r="AC284" t="n">
        <v>5</v>
      </c>
      <c r="AD284" t="n">
        <v>25</v>
      </c>
      <c r="AE284" t="n">
        <v>25</v>
      </c>
      <c r="AF284" t="n">
        <v>8</v>
      </c>
      <c r="AG284" t="n">
        <v>8</v>
      </c>
      <c r="AH284" t="n">
        <v>8</v>
      </c>
      <c r="AI284" t="n">
        <v>8</v>
      </c>
      <c r="AJ284" t="n">
        <v>14</v>
      </c>
      <c r="AK284" t="n">
        <v>14</v>
      </c>
      <c r="AL284" t="n">
        <v>3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HYPERLINK("https://creighton-primo.hosted.exlibrisgroup.com/primo-explore/search?tab=default_tab&amp;search_scope=EVERYTHING&amp;vid=01CRU&amp;lang=en_US&amp;offset=0&amp;query=any,contains,991000924369702656","Catalog Record")</f>
        <v/>
      </c>
      <c r="AT284">
        <f>HYPERLINK("http://www.worldcat.org/oclc/14227712","WorldCat Record")</f>
        <v/>
      </c>
      <c r="AU284" t="inlineStr">
        <is>
          <t>908522895:eng</t>
        </is>
      </c>
      <c r="AV284" t="inlineStr">
        <is>
          <t>14227712</t>
        </is>
      </c>
      <c r="AW284" t="inlineStr">
        <is>
          <t>991000924369702656</t>
        </is>
      </c>
      <c r="AX284" t="inlineStr">
        <is>
          <t>991000924369702656</t>
        </is>
      </c>
      <c r="AY284" t="inlineStr">
        <is>
          <t>2267160080002656</t>
        </is>
      </c>
      <c r="AZ284" t="inlineStr">
        <is>
          <t>BOOK</t>
        </is>
      </c>
      <c r="BB284" t="inlineStr">
        <is>
          <t>9780844293851</t>
        </is>
      </c>
      <c r="BC284" t="inlineStr">
        <is>
          <t>32285001596948</t>
        </is>
      </c>
      <c r="BD284" t="inlineStr">
        <is>
          <t>893620926</t>
        </is>
      </c>
    </row>
    <row r="285">
      <c r="A285" t="inlineStr">
        <is>
          <t>No</t>
        </is>
      </c>
      <c r="B285" t="inlineStr">
        <is>
          <t>P51 .L39 1998</t>
        </is>
      </c>
      <c r="C285" t="inlineStr">
        <is>
          <t>0                      P  0051000L  39          1998</t>
        </is>
      </c>
      <c r="D285" t="inlineStr">
        <is>
          <t>Learning foreign and second languages : perspectives in research and scholarship / edited by Heidi Byrnes.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L285" t="inlineStr">
        <is>
          <t>New York : Modern Language Association of America, 1998.</t>
        </is>
      </c>
      <c r="M285" t="inlineStr">
        <is>
          <t>1998</t>
        </is>
      </c>
      <c r="O285" t="inlineStr">
        <is>
          <t>eng</t>
        </is>
      </c>
      <c r="P285" t="inlineStr">
        <is>
          <t>nyu</t>
        </is>
      </c>
      <c r="Q285" t="inlineStr">
        <is>
          <t>Teaching languages, literatures, and cultures, 1092-3225 ; 1</t>
        </is>
      </c>
      <c r="R285" t="inlineStr">
        <is>
          <t xml:space="preserve">P  </t>
        </is>
      </c>
      <c r="S285" t="n">
        <v>5</v>
      </c>
      <c r="T285" t="n">
        <v>5</v>
      </c>
      <c r="U285" t="inlineStr">
        <is>
          <t>2010-05-27</t>
        </is>
      </c>
      <c r="V285" t="inlineStr">
        <is>
          <t>2010-05-27</t>
        </is>
      </c>
      <c r="W285" t="inlineStr">
        <is>
          <t>2007-04-10</t>
        </is>
      </c>
      <c r="X285" t="inlineStr">
        <is>
          <t>2007-04-10</t>
        </is>
      </c>
      <c r="Y285" t="n">
        <v>515</v>
      </c>
      <c r="Z285" t="n">
        <v>457</v>
      </c>
      <c r="AA285" t="n">
        <v>459</v>
      </c>
      <c r="AB285" t="n">
        <v>4</v>
      </c>
      <c r="AC285" t="n">
        <v>4</v>
      </c>
      <c r="AD285" t="n">
        <v>25</v>
      </c>
      <c r="AE285" t="n">
        <v>25</v>
      </c>
      <c r="AF285" t="n">
        <v>12</v>
      </c>
      <c r="AG285" t="n">
        <v>12</v>
      </c>
      <c r="AH285" t="n">
        <v>4</v>
      </c>
      <c r="AI285" t="n">
        <v>4</v>
      </c>
      <c r="AJ285" t="n">
        <v>13</v>
      </c>
      <c r="AK285" t="n">
        <v>13</v>
      </c>
      <c r="AL285" t="n">
        <v>3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HYPERLINK("https://creighton-primo.hosted.exlibrisgroup.com/primo-explore/search?tab=default_tab&amp;search_scope=EVERYTHING&amp;vid=01CRU&amp;lang=en_US&amp;offset=0&amp;query=any,contains,991005043959702656","Catalog Record")</f>
        <v/>
      </c>
      <c r="AT285">
        <f>HYPERLINK("http://www.worldcat.org/oclc/39633912","WorldCat Record")</f>
        <v/>
      </c>
      <c r="AU285" t="inlineStr">
        <is>
          <t>42293483:eng</t>
        </is>
      </c>
      <c r="AV285" t="inlineStr">
        <is>
          <t>39633912</t>
        </is>
      </c>
      <c r="AW285" t="inlineStr">
        <is>
          <t>991005043959702656</t>
        </is>
      </c>
      <c r="AX285" t="inlineStr">
        <is>
          <t>991005043959702656</t>
        </is>
      </c>
      <c r="AY285" t="inlineStr">
        <is>
          <t>2268538740002656</t>
        </is>
      </c>
      <c r="AZ285" t="inlineStr">
        <is>
          <t>BOOK</t>
        </is>
      </c>
      <c r="BB285" t="inlineStr">
        <is>
          <t>9780873528009</t>
        </is>
      </c>
      <c r="BC285" t="inlineStr">
        <is>
          <t>32285005285571</t>
        </is>
      </c>
      <c r="BD285" t="inlineStr">
        <is>
          <t>893889590</t>
        </is>
      </c>
    </row>
    <row r="286">
      <c r="A286" t="inlineStr">
        <is>
          <t>No</t>
        </is>
      </c>
      <c r="B286" t="inlineStr">
        <is>
          <t>P51 .M355 1989</t>
        </is>
      </c>
      <c r="C286" t="inlineStr">
        <is>
          <t>0                      P  0051000M  355         1989</t>
        </is>
      </c>
      <c r="D286" t="inlineStr">
        <is>
          <t>The whole world guide to language learning / Terry Marshall.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Marshall, Terry.</t>
        </is>
      </c>
      <c r="L286" t="inlineStr">
        <is>
          <t>Yarmouth, Me. : Intercultural Press, c1989.</t>
        </is>
      </c>
      <c r="M286" t="inlineStr">
        <is>
          <t>1989</t>
        </is>
      </c>
      <c r="O286" t="inlineStr">
        <is>
          <t>eng</t>
        </is>
      </c>
      <c r="P286" t="inlineStr">
        <is>
          <t>meu</t>
        </is>
      </c>
      <c r="R286" t="inlineStr">
        <is>
          <t xml:space="preserve">P  </t>
        </is>
      </c>
      <c r="S286" t="n">
        <v>3</v>
      </c>
      <c r="T286" t="n">
        <v>3</v>
      </c>
      <c r="U286" t="inlineStr">
        <is>
          <t>1996-02-22</t>
        </is>
      </c>
      <c r="V286" t="inlineStr">
        <is>
          <t>1996-02-22</t>
        </is>
      </c>
      <c r="W286" t="inlineStr">
        <is>
          <t>1993-09-21</t>
        </is>
      </c>
      <c r="X286" t="inlineStr">
        <is>
          <t>1993-09-21</t>
        </is>
      </c>
      <c r="Y286" t="n">
        <v>390</v>
      </c>
      <c r="Z286" t="n">
        <v>342</v>
      </c>
      <c r="AA286" t="n">
        <v>350</v>
      </c>
      <c r="AB286" t="n">
        <v>6</v>
      </c>
      <c r="AC286" t="n">
        <v>6</v>
      </c>
      <c r="AD286" t="n">
        <v>10</v>
      </c>
      <c r="AE286" t="n">
        <v>10</v>
      </c>
      <c r="AF286" t="n">
        <v>4</v>
      </c>
      <c r="AG286" t="n">
        <v>4</v>
      </c>
      <c r="AH286" t="n">
        <v>1</v>
      </c>
      <c r="AI286" t="n">
        <v>1</v>
      </c>
      <c r="AJ286" t="n">
        <v>4</v>
      </c>
      <c r="AK286" t="n">
        <v>4</v>
      </c>
      <c r="AL286" t="n">
        <v>3</v>
      </c>
      <c r="AM286" t="n">
        <v>3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HYPERLINK("https://creighton-primo.hosted.exlibrisgroup.com/primo-explore/search?tab=default_tab&amp;search_scope=EVERYTHING&amp;vid=01CRU&amp;lang=en_US&amp;offset=0&amp;query=any,contains,991001462189702656","Catalog Record")</f>
        <v/>
      </c>
      <c r="AT286">
        <f>HYPERLINK("http://www.worldcat.org/oclc/19456008","WorldCat Record")</f>
        <v/>
      </c>
      <c r="AU286" t="inlineStr">
        <is>
          <t>21186970:eng</t>
        </is>
      </c>
      <c r="AV286" t="inlineStr">
        <is>
          <t>19456008</t>
        </is>
      </c>
      <c r="AW286" t="inlineStr">
        <is>
          <t>991001462189702656</t>
        </is>
      </c>
      <c r="AX286" t="inlineStr">
        <is>
          <t>991001462189702656</t>
        </is>
      </c>
      <c r="AY286" t="inlineStr">
        <is>
          <t>2270056690002656</t>
        </is>
      </c>
      <c r="AZ286" t="inlineStr">
        <is>
          <t>BOOK</t>
        </is>
      </c>
      <c r="BB286" t="inlineStr">
        <is>
          <t>9780933662759</t>
        </is>
      </c>
      <c r="BC286" t="inlineStr">
        <is>
          <t>32285001766996</t>
        </is>
      </c>
      <c r="BD286" t="inlineStr">
        <is>
          <t>893420336</t>
        </is>
      </c>
    </row>
    <row r="287">
      <c r="A287" t="inlineStr">
        <is>
          <t>No</t>
        </is>
      </c>
      <c r="B287" t="inlineStr">
        <is>
          <t>P51 .O4</t>
        </is>
      </c>
      <c r="C287" t="inlineStr">
        <is>
          <t>0                      P  0051000O  4</t>
        </is>
      </c>
      <c r="D287" t="inlineStr">
        <is>
          <t>The teaching of foreign languages / [by] Peter F. Oliva.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Oliva, Peter F.</t>
        </is>
      </c>
      <c r="L287" t="inlineStr">
        <is>
          <t>Englewood Cliffs, N.J. : Prentice-Hall, [1969]</t>
        </is>
      </c>
      <c r="M287" t="inlineStr">
        <is>
          <t>1969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P  </t>
        </is>
      </c>
      <c r="S287" t="n">
        <v>2</v>
      </c>
      <c r="T287" t="n">
        <v>2</v>
      </c>
      <c r="U287" t="inlineStr">
        <is>
          <t>2008-10-05</t>
        </is>
      </c>
      <c r="V287" t="inlineStr">
        <is>
          <t>2008-10-05</t>
        </is>
      </c>
      <c r="W287" t="inlineStr">
        <is>
          <t>1993-03-30</t>
        </is>
      </c>
      <c r="X287" t="inlineStr">
        <is>
          <t>1993-03-30</t>
        </is>
      </c>
      <c r="Y287" t="n">
        <v>583</v>
      </c>
      <c r="Z287" t="n">
        <v>492</v>
      </c>
      <c r="AA287" t="n">
        <v>492</v>
      </c>
      <c r="AB287" t="n">
        <v>7</v>
      </c>
      <c r="AC287" t="n">
        <v>7</v>
      </c>
      <c r="AD287" t="n">
        <v>32</v>
      </c>
      <c r="AE287" t="n">
        <v>32</v>
      </c>
      <c r="AF287" t="n">
        <v>14</v>
      </c>
      <c r="AG287" t="n">
        <v>14</v>
      </c>
      <c r="AH287" t="n">
        <v>4</v>
      </c>
      <c r="AI287" t="n">
        <v>4</v>
      </c>
      <c r="AJ287" t="n">
        <v>18</v>
      </c>
      <c r="AK287" t="n">
        <v>18</v>
      </c>
      <c r="AL287" t="n">
        <v>5</v>
      </c>
      <c r="AM287" t="n">
        <v>5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HYPERLINK("https://creighton-primo.hosted.exlibrisgroup.com/primo-explore/search?tab=default_tab&amp;search_scope=EVERYTHING&amp;vid=01CRU&amp;lang=en_US&amp;offset=0&amp;query=any,contains,991001918179702656","Catalog Record")</f>
        <v/>
      </c>
      <c r="AT287">
        <f>HYPERLINK("http://www.worldcat.org/oclc/244241","WorldCat Record")</f>
        <v/>
      </c>
      <c r="AU287" t="inlineStr">
        <is>
          <t>1395059:eng</t>
        </is>
      </c>
      <c r="AV287" t="inlineStr">
        <is>
          <t>244241</t>
        </is>
      </c>
      <c r="AW287" t="inlineStr">
        <is>
          <t>991001918179702656</t>
        </is>
      </c>
      <c r="AX287" t="inlineStr">
        <is>
          <t>991001918179702656</t>
        </is>
      </c>
      <c r="AY287" t="inlineStr">
        <is>
          <t>2270096810002656</t>
        </is>
      </c>
      <c r="AZ287" t="inlineStr">
        <is>
          <t>BOOK</t>
        </is>
      </c>
      <c r="BC287" t="inlineStr">
        <is>
          <t>32285001610590</t>
        </is>
      </c>
      <c r="BD287" t="inlineStr">
        <is>
          <t>893522966</t>
        </is>
      </c>
    </row>
    <row r="288">
      <c r="A288" t="inlineStr">
        <is>
          <t>No</t>
        </is>
      </c>
      <c r="B288" t="inlineStr">
        <is>
          <t>P51 .R5</t>
        </is>
      </c>
      <c r="C288" t="inlineStr">
        <is>
          <t>0                      P  0051000R  5</t>
        </is>
      </c>
      <c r="D288" t="inlineStr">
        <is>
          <t>Error analysis : perspectives on second language acquisition / edited by Jack C. Richards. --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Richards, Jack C. editor.</t>
        </is>
      </c>
      <c r="L288" t="inlineStr">
        <is>
          <t>London : Longman, 1974.</t>
        </is>
      </c>
      <c r="M288" t="inlineStr">
        <is>
          <t>1974</t>
        </is>
      </c>
      <c r="O288" t="inlineStr">
        <is>
          <t>eng</t>
        </is>
      </c>
      <c r="P288" t="inlineStr">
        <is>
          <t>___</t>
        </is>
      </c>
      <c r="Q288" t="inlineStr">
        <is>
          <t>Applied linguistics and language study</t>
        </is>
      </c>
      <c r="R288" t="inlineStr">
        <is>
          <t xml:space="preserve">P  </t>
        </is>
      </c>
      <c r="S288" t="n">
        <v>3</v>
      </c>
      <c r="T288" t="n">
        <v>3</v>
      </c>
      <c r="U288" t="inlineStr">
        <is>
          <t>2002-01-11</t>
        </is>
      </c>
      <c r="V288" t="inlineStr">
        <is>
          <t>2002-01-11</t>
        </is>
      </c>
      <c r="W288" t="inlineStr">
        <is>
          <t>1990-03-29</t>
        </is>
      </c>
      <c r="X288" t="inlineStr">
        <is>
          <t>1990-03-29</t>
        </is>
      </c>
      <c r="Y288" t="n">
        <v>517</v>
      </c>
      <c r="Z288" t="n">
        <v>287</v>
      </c>
      <c r="AA288" t="n">
        <v>322</v>
      </c>
      <c r="AB288" t="n">
        <v>1</v>
      </c>
      <c r="AC288" t="n">
        <v>1</v>
      </c>
      <c r="AD288" t="n">
        <v>12</v>
      </c>
      <c r="AE288" t="n">
        <v>12</v>
      </c>
      <c r="AF288" t="n">
        <v>2</v>
      </c>
      <c r="AG288" t="n">
        <v>2</v>
      </c>
      <c r="AH288" t="n">
        <v>5</v>
      </c>
      <c r="AI288" t="n">
        <v>5</v>
      </c>
      <c r="AJ288" t="n">
        <v>8</v>
      </c>
      <c r="AK288" t="n">
        <v>8</v>
      </c>
      <c r="AL288" t="n">
        <v>0</v>
      </c>
      <c r="AM288" t="n">
        <v>0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HYPERLINK("https://creighton-primo.hosted.exlibrisgroup.com/primo-explore/search?tab=default_tab&amp;search_scope=EVERYTHING&amp;vid=01CRU&amp;lang=en_US&amp;offset=0&amp;query=any,contains,991005362139702656","Catalog Record")</f>
        <v/>
      </c>
      <c r="AT288">
        <f>HYPERLINK("http://www.worldcat.org/oclc/1524554","WorldCat Record")</f>
        <v/>
      </c>
      <c r="AU288" t="inlineStr">
        <is>
          <t>180094496:eng</t>
        </is>
      </c>
      <c r="AV288" t="inlineStr">
        <is>
          <t>1524554</t>
        </is>
      </c>
      <c r="AW288" t="inlineStr">
        <is>
          <t>991005362139702656</t>
        </is>
      </c>
      <c r="AX288" t="inlineStr">
        <is>
          <t>991005362139702656</t>
        </is>
      </c>
      <c r="AY288" t="inlineStr">
        <is>
          <t>2265346680002656</t>
        </is>
      </c>
      <c r="AZ288" t="inlineStr">
        <is>
          <t>BOOK</t>
        </is>
      </c>
      <c r="BB288" t="inlineStr">
        <is>
          <t>9780582550445</t>
        </is>
      </c>
      <c r="BC288" t="inlineStr">
        <is>
          <t>32285000107366</t>
        </is>
      </c>
      <c r="BD288" t="inlineStr">
        <is>
          <t>893808294</t>
        </is>
      </c>
    </row>
    <row r="289">
      <c r="A289" t="inlineStr">
        <is>
          <t>No</t>
        </is>
      </c>
      <c r="B289" t="inlineStr">
        <is>
          <t>P51 .R51 1983</t>
        </is>
      </c>
      <c r="C289" t="inlineStr">
        <is>
          <t>0                      P  0051000R  51          1983</t>
        </is>
      </c>
      <c r="D289" t="inlineStr">
        <is>
          <t>Communicating naturally in a second language : theory and practice in language teaching / Wilga M. Rivers.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Rivers, Wilga M.</t>
        </is>
      </c>
      <c r="L289" t="inlineStr">
        <is>
          <t>Cambridge [Cambridgeshire] ; New York : Cambridge University Press, c1983.</t>
        </is>
      </c>
      <c r="M289" t="inlineStr">
        <is>
          <t>1983</t>
        </is>
      </c>
      <c r="O289" t="inlineStr">
        <is>
          <t>eng</t>
        </is>
      </c>
      <c r="P289" t="inlineStr">
        <is>
          <t>enk</t>
        </is>
      </c>
      <c r="R289" t="inlineStr">
        <is>
          <t xml:space="preserve">P  </t>
        </is>
      </c>
      <c r="S289" t="n">
        <v>4</v>
      </c>
      <c r="T289" t="n">
        <v>4</v>
      </c>
      <c r="U289" t="inlineStr">
        <is>
          <t>1997-11-21</t>
        </is>
      </c>
      <c r="V289" t="inlineStr">
        <is>
          <t>1997-11-21</t>
        </is>
      </c>
      <c r="W289" t="inlineStr">
        <is>
          <t>1993-03-30</t>
        </is>
      </c>
      <c r="X289" t="inlineStr">
        <is>
          <t>1993-03-30</t>
        </is>
      </c>
      <c r="Y289" t="n">
        <v>1012</v>
      </c>
      <c r="Z289" t="n">
        <v>733</v>
      </c>
      <c r="AA289" t="n">
        <v>738</v>
      </c>
      <c r="AB289" t="n">
        <v>5</v>
      </c>
      <c r="AC289" t="n">
        <v>5</v>
      </c>
      <c r="AD289" t="n">
        <v>37</v>
      </c>
      <c r="AE289" t="n">
        <v>37</v>
      </c>
      <c r="AF289" t="n">
        <v>17</v>
      </c>
      <c r="AG289" t="n">
        <v>17</v>
      </c>
      <c r="AH289" t="n">
        <v>8</v>
      </c>
      <c r="AI289" t="n">
        <v>8</v>
      </c>
      <c r="AJ289" t="n">
        <v>19</v>
      </c>
      <c r="AK289" t="n">
        <v>19</v>
      </c>
      <c r="AL289" t="n">
        <v>4</v>
      </c>
      <c r="AM289" t="n">
        <v>4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HYPERLINK("http://catalog.hathitrust.org/Record/000274567","HathiTrust Record")</f>
        <v/>
      </c>
      <c r="AS289">
        <f>HYPERLINK("https://creighton-primo.hosted.exlibrisgroup.com/primo-explore/search?tab=default_tab&amp;search_scope=EVERYTHING&amp;vid=01CRU&amp;lang=en_US&amp;offset=0&amp;query=any,contains,991000134659702656","Catalog Record")</f>
        <v/>
      </c>
      <c r="AT289">
        <f>HYPERLINK("http://www.worldcat.org/oclc/9131762","WorldCat Record")</f>
        <v/>
      </c>
      <c r="AU289" t="inlineStr">
        <is>
          <t>43521153:eng</t>
        </is>
      </c>
      <c r="AV289" t="inlineStr">
        <is>
          <t>9131762</t>
        </is>
      </c>
      <c r="AW289" t="inlineStr">
        <is>
          <t>991000134659702656</t>
        </is>
      </c>
      <c r="AX289" t="inlineStr">
        <is>
          <t>991000134659702656</t>
        </is>
      </c>
      <c r="AY289" t="inlineStr">
        <is>
          <t>2269599570002656</t>
        </is>
      </c>
      <c r="AZ289" t="inlineStr">
        <is>
          <t>BOOK</t>
        </is>
      </c>
      <c r="BB289" t="inlineStr">
        <is>
          <t>9780521274173</t>
        </is>
      </c>
      <c r="BC289" t="inlineStr">
        <is>
          <t>32285001610616</t>
        </is>
      </c>
      <c r="BD289" t="inlineStr">
        <is>
          <t>893320841</t>
        </is>
      </c>
    </row>
    <row r="290">
      <c r="A290" t="inlineStr">
        <is>
          <t>No</t>
        </is>
      </c>
      <c r="B290" t="inlineStr">
        <is>
          <t>P51 .S854 1982</t>
        </is>
      </c>
      <c r="C290" t="inlineStr">
        <is>
          <t>0                      P  0051000S  854         1982</t>
        </is>
      </c>
      <c r="D290" t="inlineStr">
        <is>
          <t>Teaching and learning languages / Earl W. Stevick.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Stevick, Earl W.</t>
        </is>
      </c>
      <c r="L290" t="inlineStr">
        <is>
          <t>Cambridge [Cambridgeshire] ; New York : Cambridge University Press, 1982.</t>
        </is>
      </c>
      <c r="M290" t="inlineStr">
        <is>
          <t>1982</t>
        </is>
      </c>
      <c r="O290" t="inlineStr">
        <is>
          <t>eng</t>
        </is>
      </c>
      <c r="P290" t="inlineStr">
        <is>
          <t>enk</t>
        </is>
      </c>
      <c r="R290" t="inlineStr">
        <is>
          <t xml:space="preserve">P  </t>
        </is>
      </c>
      <c r="S290" t="n">
        <v>3</v>
      </c>
      <c r="T290" t="n">
        <v>3</v>
      </c>
      <c r="U290" t="inlineStr">
        <is>
          <t>1996-04-25</t>
        </is>
      </c>
      <c r="V290" t="inlineStr">
        <is>
          <t>1996-04-25</t>
        </is>
      </c>
      <c r="W290" t="inlineStr">
        <is>
          <t>1993-03-30</t>
        </is>
      </c>
      <c r="X290" t="inlineStr">
        <is>
          <t>1993-03-30</t>
        </is>
      </c>
      <c r="Y290" t="n">
        <v>752</v>
      </c>
      <c r="Z290" t="n">
        <v>493</v>
      </c>
      <c r="AA290" t="n">
        <v>513</v>
      </c>
      <c r="AB290" t="n">
        <v>4</v>
      </c>
      <c r="AC290" t="n">
        <v>4</v>
      </c>
      <c r="AD290" t="n">
        <v>23</v>
      </c>
      <c r="AE290" t="n">
        <v>23</v>
      </c>
      <c r="AF290" t="n">
        <v>9</v>
      </c>
      <c r="AG290" t="n">
        <v>9</v>
      </c>
      <c r="AH290" t="n">
        <v>5</v>
      </c>
      <c r="AI290" t="n">
        <v>5</v>
      </c>
      <c r="AJ290" t="n">
        <v>14</v>
      </c>
      <c r="AK290" t="n">
        <v>14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HYPERLINK("https://creighton-primo.hosted.exlibrisgroup.com/primo-explore/search?tab=default_tab&amp;search_scope=EVERYTHING&amp;vid=01CRU&amp;lang=en_US&amp;offset=0&amp;query=any,contains,991005183609702656","Catalog Record")</f>
        <v/>
      </c>
      <c r="AT290">
        <f>HYPERLINK("http://www.worldcat.org/oclc/7948056","WorldCat Record")</f>
        <v/>
      </c>
      <c r="AU290" t="inlineStr">
        <is>
          <t>3372296641:eng</t>
        </is>
      </c>
      <c r="AV290" t="inlineStr">
        <is>
          <t>7948056</t>
        </is>
      </c>
      <c r="AW290" t="inlineStr">
        <is>
          <t>991005183609702656</t>
        </is>
      </c>
      <c r="AX290" t="inlineStr">
        <is>
          <t>991005183609702656</t>
        </is>
      </c>
      <c r="AY290" t="inlineStr">
        <is>
          <t>2270549730002656</t>
        </is>
      </c>
      <c r="AZ290" t="inlineStr">
        <is>
          <t>BOOK</t>
        </is>
      </c>
      <c r="BB290" t="inlineStr">
        <is>
          <t>9780521248181</t>
        </is>
      </c>
      <c r="BC290" t="inlineStr">
        <is>
          <t>32285001610624</t>
        </is>
      </c>
      <c r="BD290" t="inlineStr">
        <is>
          <t>893719940</t>
        </is>
      </c>
    </row>
    <row r="291">
      <c r="A291" t="inlineStr">
        <is>
          <t>No</t>
        </is>
      </c>
      <c r="B291" t="inlineStr">
        <is>
          <t>P511 .L4</t>
        </is>
      </c>
      <c r="C291" t="inlineStr">
        <is>
          <t>0                      P  0511000L  4</t>
        </is>
      </c>
      <c r="D291" t="inlineStr">
        <is>
          <t>A reader in nineteenth century historical Indo-European linguistics. Edited and translated by Winfred P. Lehmann.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Lehmann, Winfred P. (Winfred Philipp), 1916-2007 compiler.</t>
        </is>
      </c>
      <c r="L291" t="inlineStr">
        <is>
          <t>Bloomington, Indiana University Press [1967]</t>
        </is>
      </c>
      <c r="M291" t="inlineStr">
        <is>
          <t>1967</t>
        </is>
      </c>
      <c r="O291" t="inlineStr">
        <is>
          <t>eng</t>
        </is>
      </c>
      <c r="P291" t="inlineStr">
        <is>
          <t>inu</t>
        </is>
      </c>
      <c r="Q291" t="inlineStr">
        <is>
          <t>Indiana University studies in the history and theory of linguistics</t>
        </is>
      </c>
      <c r="R291" t="inlineStr">
        <is>
          <t xml:space="preserve">P  </t>
        </is>
      </c>
      <c r="S291" t="n">
        <v>3</v>
      </c>
      <c r="T291" t="n">
        <v>3</v>
      </c>
      <c r="U291" t="inlineStr">
        <is>
          <t>1998-05-07</t>
        </is>
      </c>
      <c r="V291" t="inlineStr">
        <is>
          <t>1998-05-07</t>
        </is>
      </c>
      <c r="W291" t="inlineStr">
        <is>
          <t>1997-08-19</t>
        </is>
      </c>
      <c r="X291" t="inlineStr">
        <is>
          <t>1997-08-19</t>
        </is>
      </c>
      <c r="Y291" t="n">
        <v>585</v>
      </c>
      <c r="Z291" t="n">
        <v>455</v>
      </c>
      <c r="AA291" t="n">
        <v>465</v>
      </c>
      <c r="AB291" t="n">
        <v>7</v>
      </c>
      <c r="AC291" t="n">
        <v>7</v>
      </c>
      <c r="AD291" t="n">
        <v>26</v>
      </c>
      <c r="AE291" t="n">
        <v>26</v>
      </c>
      <c r="AF291" t="n">
        <v>7</v>
      </c>
      <c r="AG291" t="n">
        <v>7</v>
      </c>
      <c r="AH291" t="n">
        <v>4</v>
      </c>
      <c r="AI291" t="n">
        <v>4</v>
      </c>
      <c r="AJ291" t="n">
        <v>14</v>
      </c>
      <c r="AK291" t="n">
        <v>14</v>
      </c>
      <c r="AL291" t="n">
        <v>6</v>
      </c>
      <c r="AM291" t="n">
        <v>6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HYPERLINK("http://catalog.hathitrust.org/Record/001463008","HathiTrust Record")</f>
        <v/>
      </c>
      <c r="AS291">
        <f>HYPERLINK("https://creighton-primo.hosted.exlibrisgroup.com/primo-explore/search?tab=default_tab&amp;search_scope=EVERYTHING&amp;vid=01CRU&amp;lang=en_US&amp;offset=0&amp;query=any,contains,991002333279702656","Catalog Record")</f>
        <v/>
      </c>
      <c r="AT291">
        <f>HYPERLINK("http://www.worldcat.org/oclc/322662","WorldCat Record")</f>
        <v/>
      </c>
      <c r="AU291" t="inlineStr">
        <is>
          <t>438673828:eng</t>
        </is>
      </c>
      <c r="AV291" t="inlineStr">
        <is>
          <t>322662</t>
        </is>
      </c>
      <c r="AW291" t="inlineStr">
        <is>
          <t>991002333279702656</t>
        </is>
      </c>
      <c r="AX291" t="inlineStr">
        <is>
          <t>991002333279702656</t>
        </is>
      </c>
      <c r="AY291" t="inlineStr">
        <is>
          <t>2257061240002656</t>
        </is>
      </c>
      <c r="AZ291" t="inlineStr">
        <is>
          <t>BOOK</t>
        </is>
      </c>
      <c r="BC291" t="inlineStr">
        <is>
          <t>32285003098257</t>
        </is>
      </c>
      <c r="BD291" t="inlineStr">
        <is>
          <t>893347385</t>
        </is>
      </c>
    </row>
    <row r="292">
      <c r="A292" t="inlineStr">
        <is>
          <t>No</t>
        </is>
      </c>
      <c r="B292" t="inlineStr">
        <is>
          <t>P525 .R46 1990</t>
        </is>
      </c>
      <c r="C292" t="inlineStr">
        <is>
          <t>0                      P  0525000R  46          1990</t>
        </is>
      </c>
      <c r="D292" t="inlineStr">
        <is>
          <t>Archaeology and language : the puzzle of Indo-European origins / Colin Renfrew.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Renfrew, Colin, 1937-</t>
        </is>
      </c>
      <c r="L292" t="inlineStr">
        <is>
          <t>New York : Cambridge University Press, 1990, c1987.</t>
        </is>
      </c>
      <c r="M292" t="inlineStr">
        <is>
          <t>1990</t>
        </is>
      </c>
      <c r="N292" t="inlineStr">
        <is>
          <t>1st North American paperback ed.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P  </t>
        </is>
      </c>
      <c r="S292" t="n">
        <v>1</v>
      </c>
      <c r="T292" t="n">
        <v>1</v>
      </c>
      <c r="U292" t="inlineStr">
        <is>
          <t>2006-03-15</t>
        </is>
      </c>
      <c r="V292" t="inlineStr">
        <is>
          <t>2006-03-15</t>
        </is>
      </c>
      <c r="W292" t="inlineStr">
        <is>
          <t>2006-03-08</t>
        </is>
      </c>
      <c r="X292" t="inlineStr">
        <is>
          <t>2006-03-08</t>
        </is>
      </c>
      <c r="Y292" t="n">
        <v>176</v>
      </c>
      <c r="Z292" t="n">
        <v>164</v>
      </c>
      <c r="AA292" t="n">
        <v>767</v>
      </c>
      <c r="AB292" t="n">
        <v>2</v>
      </c>
      <c r="AC292" t="n">
        <v>5</v>
      </c>
      <c r="AD292" t="n">
        <v>7</v>
      </c>
      <c r="AE292" t="n">
        <v>30</v>
      </c>
      <c r="AF292" t="n">
        <v>3</v>
      </c>
      <c r="AG292" t="n">
        <v>12</v>
      </c>
      <c r="AH292" t="n">
        <v>2</v>
      </c>
      <c r="AI292" t="n">
        <v>9</v>
      </c>
      <c r="AJ292" t="n">
        <v>1</v>
      </c>
      <c r="AK292" t="n">
        <v>14</v>
      </c>
      <c r="AL292" t="n">
        <v>1</v>
      </c>
      <c r="AM292" t="n">
        <v>3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HYPERLINK("https://creighton-primo.hosted.exlibrisgroup.com/primo-explore/search?tab=default_tab&amp;search_scope=EVERYTHING&amp;vid=01CRU&amp;lang=en_US&amp;offset=0&amp;query=any,contains,991004763589702656","Catalog Record")</f>
        <v/>
      </c>
      <c r="AT292">
        <f>HYPERLINK("http://www.worldcat.org/oclc/22606036","WorldCat Record")</f>
        <v/>
      </c>
      <c r="AU292" t="inlineStr">
        <is>
          <t>13643680:eng</t>
        </is>
      </c>
      <c r="AV292" t="inlineStr">
        <is>
          <t>22606036</t>
        </is>
      </c>
      <c r="AW292" t="inlineStr">
        <is>
          <t>991004763589702656</t>
        </is>
      </c>
      <c r="AX292" t="inlineStr">
        <is>
          <t>991004763589702656</t>
        </is>
      </c>
      <c r="AY292" t="inlineStr">
        <is>
          <t>2259415420002656</t>
        </is>
      </c>
      <c r="AZ292" t="inlineStr">
        <is>
          <t>BOOK</t>
        </is>
      </c>
      <c r="BB292" t="inlineStr">
        <is>
          <t>9780521386753</t>
        </is>
      </c>
      <c r="BC292" t="inlineStr">
        <is>
          <t>32285005165880</t>
        </is>
      </c>
      <c r="BD292" t="inlineStr">
        <is>
          <t>893260139</t>
        </is>
      </c>
    </row>
    <row r="293">
      <c r="A293" t="inlineStr">
        <is>
          <t>No</t>
        </is>
      </c>
      <c r="B293" t="inlineStr">
        <is>
          <t>P53 .B63 1988</t>
        </is>
      </c>
      <c r="C293" t="inlineStr">
        <is>
          <t>0                      P  0053000B  63          1988</t>
        </is>
      </c>
      <c r="D293" t="inlineStr">
        <is>
          <t>The double perspective : language, literacy, and social relations / David Bleich.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Bleich, David.</t>
        </is>
      </c>
      <c r="L293" t="inlineStr">
        <is>
          <t>New York : Oxford University Press, 1988.</t>
        </is>
      </c>
      <c r="M293" t="inlineStr">
        <is>
          <t>1988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  </t>
        </is>
      </c>
      <c r="S293" t="n">
        <v>1</v>
      </c>
      <c r="T293" t="n">
        <v>1</v>
      </c>
      <c r="U293" t="inlineStr">
        <is>
          <t>2006-11-28</t>
        </is>
      </c>
      <c r="V293" t="inlineStr">
        <is>
          <t>2006-11-28</t>
        </is>
      </c>
      <c r="W293" t="inlineStr">
        <is>
          <t>2006-11-28</t>
        </is>
      </c>
      <c r="X293" t="inlineStr">
        <is>
          <t>2006-11-28</t>
        </is>
      </c>
      <c r="Y293" t="n">
        <v>475</v>
      </c>
      <c r="Z293" t="n">
        <v>374</v>
      </c>
      <c r="AA293" t="n">
        <v>396</v>
      </c>
      <c r="AB293" t="n">
        <v>3</v>
      </c>
      <c r="AC293" t="n">
        <v>3</v>
      </c>
      <c r="AD293" t="n">
        <v>19</v>
      </c>
      <c r="AE293" t="n">
        <v>20</v>
      </c>
      <c r="AF293" t="n">
        <v>4</v>
      </c>
      <c r="AG293" t="n">
        <v>5</v>
      </c>
      <c r="AH293" t="n">
        <v>6</v>
      </c>
      <c r="AI293" t="n">
        <v>6</v>
      </c>
      <c r="AJ293" t="n">
        <v>10</v>
      </c>
      <c r="AK293" t="n">
        <v>10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HYPERLINK("http://catalog.hathitrust.org/Record/001073441","HathiTrust Record")</f>
        <v/>
      </c>
      <c r="AS293">
        <f>HYPERLINK("https://creighton-primo.hosted.exlibrisgroup.com/primo-explore/search?tab=default_tab&amp;search_scope=EVERYTHING&amp;vid=01CRU&amp;lang=en_US&amp;offset=0&amp;query=any,contains,991004988209702656","Catalog Record")</f>
        <v/>
      </c>
      <c r="AT293">
        <f>HYPERLINK("http://www.worldcat.org/oclc/17840977","WorldCat Record")</f>
        <v/>
      </c>
      <c r="AU293" t="inlineStr">
        <is>
          <t>16964631:eng</t>
        </is>
      </c>
      <c r="AV293" t="inlineStr">
        <is>
          <t>17840977</t>
        </is>
      </c>
      <c r="AW293" t="inlineStr">
        <is>
          <t>991004988209702656</t>
        </is>
      </c>
      <c r="AX293" t="inlineStr">
        <is>
          <t>991004988209702656</t>
        </is>
      </c>
      <c r="AY293" t="inlineStr">
        <is>
          <t>2269042930002656</t>
        </is>
      </c>
      <c r="AZ293" t="inlineStr">
        <is>
          <t>BOOK</t>
        </is>
      </c>
      <c r="BB293" t="inlineStr">
        <is>
          <t>9780195051735</t>
        </is>
      </c>
      <c r="BC293" t="inlineStr">
        <is>
          <t>32285005262950</t>
        </is>
      </c>
      <c r="BD293" t="inlineStr">
        <is>
          <t>893248189</t>
        </is>
      </c>
    </row>
    <row r="294">
      <c r="A294" t="inlineStr">
        <is>
          <t>No</t>
        </is>
      </c>
      <c r="B294" t="inlineStr">
        <is>
          <t>P53 .F67 1985</t>
        </is>
      </c>
      <c r="C294" t="inlineStr">
        <is>
          <t>0                      P  0053000F  67          1985</t>
        </is>
      </c>
      <c r="D294" t="inlineStr">
        <is>
          <t>Foreign language proficiency in the classroom and beyond / edited by Charles J. James ; in conjunction with the American Council on the Teaching of Foreign Languages.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Lincolnwood, Ill. : National Textbook Co., c1985.</t>
        </is>
      </c>
      <c r="M294" t="inlineStr">
        <is>
          <t>1985</t>
        </is>
      </c>
      <c r="O294" t="inlineStr">
        <is>
          <t>eng</t>
        </is>
      </c>
      <c r="P294" t="inlineStr">
        <is>
          <t>ilu</t>
        </is>
      </c>
      <c r="Q294" t="inlineStr">
        <is>
          <t>The ACTFL foreign language education series ; [v. 16]</t>
        </is>
      </c>
      <c r="R294" t="inlineStr">
        <is>
          <t xml:space="preserve">P  </t>
        </is>
      </c>
      <c r="S294" t="n">
        <v>1</v>
      </c>
      <c r="T294" t="n">
        <v>1</v>
      </c>
      <c r="U294" t="inlineStr">
        <is>
          <t>2003-03-24</t>
        </is>
      </c>
      <c r="V294" t="inlineStr">
        <is>
          <t>2003-03-24</t>
        </is>
      </c>
      <c r="W294" t="inlineStr">
        <is>
          <t>1993-03-31</t>
        </is>
      </c>
      <c r="X294" t="inlineStr">
        <is>
          <t>1993-03-31</t>
        </is>
      </c>
      <c r="Y294" t="n">
        <v>493</v>
      </c>
      <c r="Z294" t="n">
        <v>438</v>
      </c>
      <c r="AA294" t="n">
        <v>440</v>
      </c>
      <c r="AB294" t="n">
        <v>5</v>
      </c>
      <c r="AC294" t="n">
        <v>5</v>
      </c>
      <c r="AD294" t="n">
        <v>26</v>
      </c>
      <c r="AE294" t="n">
        <v>26</v>
      </c>
      <c r="AF294" t="n">
        <v>11</v>
      </c>
      <c r="AG294" t="n">
        <v>11</v>
      </c>
      <c r="AH294" t="n">
        <v>8</v>
      </c>
      <c r="AI294" t="n">
        <v>8</v>
      </c>
      <c r="AJ294" t="n">
        <v>12</v>
      </c>
      <c r="AK294" t="n">
        <v>12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HYPERLINK("https://creighton-primo.hosted.exlibrisgroup.com/primo-explore/search?tab=default_tab&amp;search_scope=EVERYTHING&amp;vid=01CRU&amp;lang=en_US&amp;offset=0&amp;query=any,contains,991000541449702656","Catalog Record")</f>
        <v/>
      </c>
      <c r="AT294">
        <f>HYPERLINK("http://www.worldcat.org/oclc/11493787","WorldCat Record")</f>
        <v/>
      </c>
      <c r="AU294" t="inlineStr">
        <is>
          <t>373236091:eng</t>
        </is>
      </c>
      <c r="AV294" t="inlineStr">
        <is>
          <t>11493787</t>
        </is>
      </c>
      <c r="AW294" t="inlineStr">
        <is>
          <t>991000541449702656</t>
        </is>
      </c>
      <c r="AX294" t="inlineStr">
        <is>
          <t>991000541449702656</t>
        </is>
      </c>
      <c r="AY294" t="inlineStr">
        <is>
          <t>2262490620002656</t>
        </is>
      </c>
      <c r="AZ294" t="inlineStr">
        <is>
          <t>BOOK</t>
        </is>
      </c>
      <c r="BC294" t="inlineStr">
        <is>
          <t>32285001596930</t>
        </is>
      </c>
      <c r="BD294" t="inlineStr">
        <is>
          <t>893708465</t>
        </is>
      </c>
    </row>
    <row r="295">
      <c r="A295" t="inlineStr">
        <is>
          <t>No</t>
        </is>
      </c>
      <c r="B295" t="inlineStr">
        <is>
          <t>P53 .I517 1987</t>
        </is>
      </c>
      <c r="C295" t="inlineStr">
        <is>
          <t>0                      P  0053000I  517         1987</t>
        </is>
      </c>
      <c r="D295" t="inlineStr">
        <is>
          <t>Interactive language teaching / edited by Wilga M. Rivers.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Cambridge [Cambridgeshire] ; New York : Cambridge University Press, 1987.</t>
        </is>
      </c>
      <c r="M295" t="inlineStr">
        <is>
          <t>1987</t>
        </is>
      </c>
      <c r="O295" t="inlineStr">
        <is>
          <t>eng</t>
        </is>
      </c>
      <c r="P295" t="inlineStr">
        <is>
          <t>enk</t>
        </is>
      </c>
      <c r="Q295" t="inlineStr">
        <is>
          <t>Cambridge language teaching library</t>
        </is>
      </c>
      <c r="R295" t="inlineStr">
        <is>
          <t xml:space="preserve">P  </t>
        </is>
      </c>
      <c r="S295" t="n">
        <v>16</v>
      </c>
      <c r="T295" t="n">
        <v>16</v>
      </c>
      <c r="U295" t="inlineStr">
        <is>
          <t>2008-10-05</t>
        </is>
      </c>
      <c r="V295" t="inlineStr">
        <is>
          <t>2008-10-05</t>
        </is>
      </c>
      <c r="W295" t="inlineStr">
        <is>
          <t>1990-02-14</t>
        </is>
      </c>
      <c r="X295" t="inlineStr">
        <is>
          <t>1990-02-14</t>
        </is>
      </c>
      <c r="Y295" t="n">
        <v>683</v>
      </c>
      <c r="Z295" t="n">
        <v>445</v>
      </c>
      <c r="AA295" t="n">
        <v>451</v>
      </c>
      <c r="AB295" t="n">
        <v>5</v>
      </c>
      <c r="AC295" t="n">
        <v>5</v>
      </c>
      <c r="AD295" t="n">
        <v>18</v>
      </c>
      <c r="AE295" t="n">
        <v>18</v>
      </c>
      <c r="AF295" t="n">
        <v>4</v>
      </c>
      <c r="AG295" t="n">
        <v>4</v>
      </c>
      <c r="AH295" t="n">
        <v>5</v>
      </c>
      <c r="AI295" t="n">
        <v>5</v>
      </c>
      <c r="AJ295" t="n">
        <v>10</v>
      </c>
      <c r="AK295" t="n">
        <v>10</v>
      </c>
      <c r="AL295" t="n">
        <v>3</v>
      </c>
      <c r="AM295" t="n">
        <v>3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HYPERLINK("https://creighton-primo.hosted.exlibrisgroup.com/primo-explore/search?tab=default_tab&amp;search_scope=EVERYTHING&amp;vid=01CRU&amp;lang=en_US&amp;offset=0&amp;query=any,contains,991000870509702656","Catalog Record")</f>
        <v/>
      </c>
      <c r="AT295">
        <f>HYPERLINK("http://www.worldcat.org/oclc/13792362","WorldCat Record")</f>
        <v/>
      </c>
      <c r="AU295" t="inlineStr">
        <is>
          <t>7846882:eng</t>
        </is>
      </c>
      <c r="AV295" t="inlineStr">
        <is>
          <t>13792362</t>
        </is>
      </c>
      <c r="AW295" t="inlineStr">
        <is>
          <t>991000870509702656</t>
        </is>
      </c>
      <c r="AX295" t="inlineStr">
        <is>
          <t>991000870509702656</t>
        </is>
      </c>
      <c r="AY295" t="inlineStr">
        <is>
          <t>2272742870002656</t>
        </is>
      </c>
      <c r="AZ295" t="inlineStr">
        <is>
          <t>BOOK</t>
        </is>
      </c>
      <c r="BB295" t="inlineStr">
        <is>
          <t>9780521311083</t>
        </is>
      </c>
      <c r="BC295" t="inlineStr">
        <is>
          <t>32285000053388</t>
        </is>
      </c>
      <c r="BD295" t="inlineStr">
        <is>
          <t>893438668</t>
        </is>
      </c>
    </row>
    <row r="296">
      <c r="A296" t="inlineStr">
        <is>
          <t>No</t>
        </is>
      </c>
      <c r="B296" t="inlineStr">
        <is>
          <t>P53 .K72</t>
        </is>
      </c>
      <c r="C296" t="inlineStr">
        <is>
          <t>0                      P  0053000K  72</t>
        </is>
      </c>
      <c r="D296" t="inlineStr">
        <is>
          <t>Discourse analysis and second language teaching / Claire J. Kramsch ; prepared by ERIC Clearinghouse on Languages and Linguistics.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Kramsch, Claire J.</t>
        </is>
      </c>
      <c r="L296" t="inlineStr">
        <is>
          <t>Washington, D.C. : Center for Applied Linguistics, 1981.</t>
        </is>
      </c>
      <c r="M296" t="inlineStr">
        <is>
          <t>1981</t>
        </is>
      </c>
      <c r="O296" t="inlineStr">
        <is>
          <t>eng</t>
        </is>
      </c>
      <c r="P296" t="inlineStr">
        <is>
          <t>dcu</t>
        </is>
      </c>
      <c r="Q296" t="inlineStr">
        <is>
          <t>Language in education ; 37</t>
        </is>
      </c>
      <c r="R296" t="inlineStr">
        <is>
          <t xml:space="preserve">P  </t>
        </is>
      </c>
      <c r="S296" t="n">
        <v>7</v>
      </c>
      <c r="T296" t="n">
        <v>7</v>
      </c>
      <c r="U296" t="inlineStr">
        <is>
          <t>2000-08-22</t>
        </is>
      </c>
      <c r="V296" t="inlineStr">
        <is>
          <t>2000-08-22</t>
        </is>
      </c>
      <c r="W296" t="inlineStr">
        <is>
          <t>1993-03-30</t>
        </is>
      </c>
      <c r="X296" t="inlineStr">
        <is>
          <t>1993-03-30</t>
        </is>
      </c>
      <c r="Y296" t="n">
        <v>229</v>
      </c>
      <c r="Z296" t="n">
        <v>171</v>
      </c>
      <c r="AA296" t="n">
        <v>185</v>
      </c>
      <c r="AB296" t="n">
        <v>1</v>
      </c>
      <c r="AC296" t="n">
        <v>2</v>
      </c>
      <c r="AD296" t="n">
        <v>4</v>
      </c>
      <c r="AE296" t="n">
        <v>4</v>
      </c>
      <c r="AF296" t="n">
        <v>1</v>
      </c>
      <c r="AG296" t="n">
        <v>1</v>
      </c>
      <c r="AH296" t="n">
        <v>2</v>
      </c>
      <c r="AI296" t="n">
        <v>2</v>
      </c>
      <c r="AJ296" t="n">
        <v>2</v>
      </c>
      <c r="AK296" t="n">
        <v>2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HYPERLINK("https://creighton-primo.hosted.exlibrisgroup.com/primo-explore/search?tab=default_tab&amp;search_scope=EVERYTHING&amp;vid=01CRU&amp;lang=en_US&amp;offset=0&amp;query=any,contains,991005388229702656","Catalog Record")</f>
        <v/>
      </c>
      <c r="AT296">
        <f>HYPERLINK("http://www.worldcat.org/oclc/7796671","WorldCat Record")</f>
        <v/>
      </c>
      <c r="AU296" t="inlineStr">
        <is>
          <t>520235:eng</t>
        </is>
      </c>
      <c r="AV296" t="inlineStr">
        <is>
          <t>7796671</t>
        </is>
      </c>
      <c r="AW296" t="inlineStr">
        <is>
          <t>991005388229702656</t>
        </is>
      </c>
      <c r="AX296" t="inlineStr">
        <is>
          <t>991005388229702656</t>
        </is>
      </c>
      <c r="AY296" t="inlineStr">
        <is>
          <t>2266255700002656</t>
        </is>
      </c>
      <c r="AZ296" t="inlineStr">
        <is>
          <t>BOOK</t>
        </is>
      </c>
      <c r="BB296" t="inlineStr">
        <is>
          <t>9780872811584</t>
        </is>
      </c>
      <c r="BC296" t="inlineStr">
        <is>
          <t>32285001611275</t>
        </is>
      </c>
      <c r="BD296" t="inlineStr">
        <is>
          <t>893351201</t>
        </is>
      </c>
    </row>
    <row r="297">
      <c r="A297" t="inlineStr">
        <is>
          <t>No</t>
        </is>
      </c>
      <c r="B297" t="inlineStr">
        <is>
          <t>P53 .P445 1983</t>
        </is>
      </c>
      <c r="C297" t="inlineStr">
        <is>
          <t>0                      P  0053000P  445         1983</t>
        </is>
      </c>
      <c r="D297" t="inlineStr">
        <is>
          <t>Perspectives in communicative language teaching / edited by Keith Johnson and Don Porter.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L297" t="inlineStr">
        <is>
          <t>London ; New York : Academic Press, 1983.</t>
        </is>
      </c>
      <c r="M297" t="inlineStr">
        <is>
          <t>1983</t>
        </is>
      </c>
      <c r="O297" t="inlineStr">
        <is>
          <t>eng</t>
        </is>
      </c>
      <c r="P297" t="inlineStr">
        <is>
          <t>enk</t>
        </is>
      </c>
      <c r="Q297" t="inlineStr">
        <is>
          <t>Applied language studies</t>
        </is>
      </c>
      <c r="R297" t="inlineStr">
        <is>
          <t xml:space="preserve">P  </t>
        </is>
      </c>
      <c r="S297" t="n">
        <v>3</v>
      </c>
      <c r="T297" t="n">
        <v>3</v>
      </c>
      <c r="U297" t="inlineStr">
        <is>
          <t>1994-03-09</t>
        </is>
      </c>
      <c r="V297" t="inlineStr">
        <is>
          <t>1994-03-09</t>
        </is>
      </c>
      <c r="W297" t="inlineStr">
        <is>
          <t>1993-03-30</t>
        </is>
      </c>
      <c r="X297" t="inlineStr">
        <is>
          <t>1993-03-30</t>
        </is>
      </c>
      <c r="Y297" t="n">
        <v>384</v>
      </c>
      <c r="Z297" t="n">
        <v>217</v>
      </c>
      <c r="AA297" t="n">
        <v>219</v>
      </c>
      <c r="AB297" t="n">
        <v>2</v>
      </c>
      <c r="AC297" t="n">
        <v>2</v>
      </c>
      <c r="AD297" t="n">
        <v>9</v>
      </c>
      <c r="AE297" t="n">
        <v>9</v>
      </c>
      <c r="AF297" t="n">
        <v>2</v>
      </c>
      <c r="AG297" t="n">
        <v>2</v>
      </c>
      <c r="AH297" t="n">
        <v>2</v>
      </c>
      <c r="AI297" t="n">
        <v>2</v>
      </c>
      <c r="AJ297" t="n">
        <v>7</v>
      </c>
      <c r="AK297" t="n">
        <v>7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HYPERLINK("http://catalog.hathitrust.org/Record/000109909","HathiTrust Record")</f>
        <v/>
      </c>
      <c r="AS297">
        <f>HYPERLINK("https://creighton-primo.hosted.exlibrisgroup.com/primo-explore/search?tab=default_tab&amp;search_scope=EVERYTHING&amp;vid=01CRU&amp;lang=en_US&amp;offset=0&amp;query=any,contains,991000223269702656","Catalog Record")</f>
        <v/>
      </c>
      <c r="AT297">
        <f>HYPERLINK("http://www.worldcat.org/oclc/9581851","WorldCat Record")</f>
        <v/>
      </c>
      <c r="AU297" t="inlineStr">
        <is>
          <t>350105515:eng</t>
        </is>
      </c>
      <c r="AV297" t="inlineStr">
        <is>
          <t>9581851</t>
        </is>
      </c>
      <c r="AW297" t="inlineStr">
        <is>
          <t>991000223269702656</t>
        </is>
      </c>
      <c r="AX297" t="inlineStr">
        <is>
          <t>991000223269702656</t>
        </is>
      </c>
      <c r="AY297" t="inlineStr">
        <is>
          <t>2261926220002656</t>
        </is>
      </c>
      <c r="AZ297" t="inlineStr">
        <is>
          <t>BOOK</t>
        </is>
      </c>
      <c r="BB297" t="inlineStr">
        <is>
          <t>9780123875808</t>
        </is>
      </c>
      <c r="BC297" t="inlineStr">
        <is>
          <t>32285001611291</t>
        </is>
      </c>
      <c r="BD297" t="inlineStr">
        <is>
          <t>893320916</t>
        </is>
      </c>
    </row>
    <row r="298">
      <c r="A298" t="inlineStr">
        <is>
          <t>No</t>
        </is>
      </c>
      <c r="B298" t="inlineStr">
        <is>
          <t>P53 .P446 1994</t>
        </is>
      </c>
      <c r="C298" t="inlineStr">
        <is>
          <t>0                      P  0053000P  446         1994</t>
        </is>
      </c>
      <c r="D298" t="inlineStr">
        <is>
          <t>Perspectives on pedagogical grammar / edited by Terence Odlin.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L298" t="inlineStr">
        <is>
          <t>Cambridge ; New York, NY, USA : Cambridge University Press, 1994.</t>
        </is>
      </c>
      <c r="M298" t="inlineStr">
        <is>
          <t>1994</t>
        </is>
      </c>
      <c r="O298" t="inlineStr">
        <is>
          <t>eng</t>
        </is>
      </c>
      <c r="P298" t="inlineStr">
        <is>
          <t>enk</t>
        </is>
      </c>
      <c r="Q298" t="inlineStr">
        <is>
          <t>The Cambridge applied linguistics series</t>
        </is>
      </c>
      <c r="R298" t="inlineStr">
        <is>
          <t xml:space="preserve">P  </t>
        </is>
      </c>
      <c r="S298" t="n">
        <v>4</v>
      </c>
      <c r="T298" t="n">
        <v>4</v>
      </c>
      <c r="U298" t="inlineStr">
        <is>
          <t>2000-11-17</t>
        </is>
      </c>
      <c r="V298" t="inlineStr">
        <is>
          <t>2000-11-17</t>
        </is>
      </c>
      <c r="W298" t="inlineStr">
        <is>
          <t>1995-06-15</t>
        </is>
      </c>
      <c r="X298" t="inlineStr">
        <is>
          <t>1995-06-15</t>
        </is>
      </c>
      <c r="Y298" t="n">
        <v>437</v>
      </c>
      <c r="Z298" t="n">
        <v>246</v>
      </c>
      <c r="AA298" t="n">
        <v>260</v>
      </c>
      <c r="AB298" t="n">
        <v>2</v>
      </c>
      <c r="AC298" t="n">
        <v>2</v>
      </c>
      <c r="AD298" t="n">
        <v>8</v>
      </c>
      <c r="AE298" t="n">
        <v>8</v>
      </c>
      <c r="AF298" t="n">
        <v>1</v>
      </c>
      <c r="AG298" t="n">
        <v>1</v>
      </c>
      <c r="AH298" t="n">
        <v>5</v>
      </c>
      <c r="AI298" t="n">
        <v>5</v>
      </c>
      <c r="AJ298" t="n">
        <v>4</v>
      </c>
      <c r="AK298" t="n">
        <v>4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HYPERLINK("http://catalog.hathitrust.org/Record/002809913","HathiTrust Record")</f>
        <v/>
      </c>
      <c r="AS298">
        <f>HYPERLINK("https://creighton-primo.hosted.exlibrisgroup.com/primo-explore/search?tab=default_tab&amp;search_scope=EVERYTHING&amp;vid=01CRU&amp;lang=en_US&amp;offset=0&amp;query=any,contains,991002169179702656","Catalog Record")</f>
        <v/>
      </c>
      <c r="AT298">
        <f>HYPERLINK("http://www.worldcat.org/oclc/27934670","WorldCat Record")</f>
        <v/>
      </c>
      <c r="AU298" t="inlineStr">
        <is>
          <t>343301:eng</t>
        </is>
      </c>
      <c r="AV298" t="inlineStr">
        <is>
          <t>27934670</t>
        </is>
      </c>
      <c r="AW298" t="inlineStr">
        <is>
          <t>991002169179702656</t>
        </is>
      </c>
      <c r="AX298" t="inlineStr">
        <is>
          <t>991002169179702656</t>
        </is>
      </c>
      <c r="AY298" t="inlineStr">
        <is>
          <t>2258146240002656</t>
        </is>
      </c>
      <c r="AZ298" t="inlineStr">
        <is>
          <t>BOOK</t>
        </is>
      </c>
      <c r="BB298" t="inlineStr">
        <is>
          <t>9780521445306</t>
        </is>
      </c>
      <c r="BC298" t="inlineStr">
        <is>
          <t>32285002051489</t>
        </is>
      </c>
      <c r="BD298" t="inlineStr">
        <is>
          <t>893341111</t>
        </is>
      </c>
    </row>
    <row r="299">
      <c r="A299" t="inlineStr">
        <is>
          <t>No</t>
        </is>
      </c>
      <c r="B299" t="inlineStr">
        <is>
          <t>P53 .R49 1988</t>
        </is>
      </c>
      <c r="C299" t="inlineStr">
        <is>
          <t>0                      P  0053000R  49          1988</t>
        </is>
      </c>
      <c r="D299" t="inlineStr">
        <is>
          <t>Making it happen : interaction in the second language classroom : from theory to practice / Patricia A. Richard-Amato.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Richard-Amato, Patricia A.</t>
        </is>
      </c>
      <c r="L299" t="inlineStr">
        <is>
          <t>New York : Longman, 1988.</t>
        </is>
      </c>
      <c r="M299" t="inlineStr">
        <is>
          <t>1988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P  </t>
        </is>
      </c>
      <c r="S299" t="n">
        <v>17</v>
      </c>
      <c r="T299" t="n">
        <v>17</v>
      </c>
      <c r="U299" t="inlineStr">
        <is>
          <t>2005-10-11</t>
        </is>
      </c>
      <c r="V299" t="inlineStr">
        <is>
          <t>2005-10-11</t>
        </is>
      </c>
      <c r="W299" t="inlineStr">
        <is>
          <t>1993-03-30</t>
        </is>
      </c>
      <c r="X299" t="inlineStr">
        <is>
          <t>1993-03-30</t>
        </is>
      </c>
      <c r="Y299" t="n">
        <v>397</v>
      </c>
      <c r="Z299" t="n">
        <v>301</v>
      </c>
      <c r="AA299" t="n">
        <v>489</v>
      </c>
      <c r="AB299" t="n">
        <v>3</v>
      </c>
      <c r="AC299" t="n">
        <v>5</v>
      </c>
      <c r="AD299" t="n">
        <v>14</v>
      </c>
      <c r="AE299" t="n">
        <v>21</v>
      </c>
      <c r="AF299" t="n">
        <v>6</v>
      </c>
      <c r="AG299" t="n">
        <v>8</v>
      </c>
      <c r="AH299" t="n">
        <v>1</v>
      </c>
      <c r="AI299" t="n">
        <v>3</v>
      </c>
      <c r="AJ299" t="n">
        <v>7</v>
      </c>
      <c r="AK299" t="n">
        <v>9</v>
      </c>
      <c r="AL299" t="n">
        <v>2</v>
      </c>
      <c r="AM299" t="n">
        <v>4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HYPERLINK("http://catalog.hathitrust.org/Record/001300093","HathiTrust Record")</f>
        <v/>
      </c>
      <c r="AS299">
        <f>HYPERLINK("https://creighton-primo.hosted.exlibrisgroup.com/primo-explore/search?tab=default_tab&amp;search_scope=EVERYTHING&amp;vid=01CRU&amp;lang=en_US&amp;offset=0&amp;query=any,contains,991001178909702656","Catalog Record")</f>
        <v/>
      </c>
      <c r="AT299">
        <f>HYPERLINK("http://www.worldcat.org/oclc/17106047","WorldCat Record")</f>
        <v/>
      </c>
      <c r="AU299" t="inlineStr">
        <is>
          <t>13183811:eng</t>
        </is>
      </c>
      <c r="AV299" t="inlineStr">
        <is>
          <t>17106047</t>
        </is>
      </c>
      <c r="AW299" t="inlineStr">
        <is>
          <t>991001178909702656</t>
        </is>
      </c>
      <c r="AX299" t="inlineStr">
        <is>
          <t>991001178909702656</t>
        </is>
      </c>
      <c r="AY299" t="inlineStr">
        <is>
          <t>2270500570002656</t>
        </is>
      </c>
      <c r="AZ299" t="inlineStr">
        <is>
          <t>BOOK</t>
        </is>
      </c>
      <c r="BB299" t="inlineStr">
        <is>
          <t>9780801300271</t>
        </is>
      </c>
      <c r="BC299" t="inlineStr">
        <is>
          <t>32285001611309</t>
        </is>
      </c>
      <c r="BD299" t="inlineStr">
        <is>
          <t>893432656</t>
        </is>
      </c>
    </row>
    <row r="300">
      <c r="A300" t="inlineStr">
        <is>
          <t>No</t>
        </is>
      </c>
      <c r="B300" t="inlineStr">
        <is>
          <t>P53 .S42 1989</t>
        </is>
      </c>
      <c r="C300" t="inlineStr">
        <is>
          <t>0                      P  0053000S  42          1989</t>
        </is>
      </c>
      <c r="D300" t="inlineStr">
        <is>
          <t>Second language research methods / Herbert W. Seliger, Elana Shohamy.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Seliger, Herbert W., 1937-</t>
        </is>
      </c>
      <c r="L300" t="inlineStr">
        <is>
          <t>Oxford : Oxford University Press, 1989.</t>
        </is>
      </c>
      <c r="M300" t="inlineStr">
        <is>
          <t>1989</t>
        </is>
      </c>
      <c r="O300" t="inlineStr">
        <is>
          <t>eng</t>
        </is>
      </c>
      <c r="P300" t="inlineStr">
        <is>
          <t>enk</t>
        </is>
      </c>
      <c r="R300" t="inlineStr">
        <is>
          <t xml:space="preserve">P  </t>
        </is>
      </c>
      <c r="S300" t="n">
        <v>3</v>
      </c>
      <c r="T300" t="n">
        <v>3</v>
      </c>
      <c r="U300" t="inlineStr">
        <is>
          <t>2004-04-09</t>
        </is>
      </c>
      <c r="V300" t="inlineStr">
        <is>
          <t>2004-04-09</t>
        </is>
      </c>
      <c r="W300" t="inlineStr">
        <is>
          <t>2001-05-30</t>
        </is>
      </c>
      <c r="X300" t="inlineStr">
        <is>
          <t>2001-05-30</t>
        </is>
      </c>
      <c r="Y300" t="n">
        <v>475</v>
      </c>
      <c r="Z300" t="n">
        <v>210</v>
      </c>
      <c r="AA300" t="n">
        <v>215</v>
      </c>
      <c r="AB300" t="n">
        <v>2</v>
      </c>
      <c r="AC300" t="n">
        <v>2</v>
      </c>
      <c r="AD300" t="n">
        <v>9</v>
      </c>
      <c r="AE300" t="n">
        <v>9</v>
      </c>
      <c r="AF300" t="n">
        <v>3</v>
      </c>
      <c r="AG300" t="n">
        <v>3</v>
      </c>
      <c r="AH300" t="n">
        <v>2</v>
      </c>
      <c r="AI300" t="n">
        <v>2</v>
      </c>
      <c r="AJ300" t="n">
        <v>8</v>
      </c>
      <c r="AK300" t="n">
        <v>8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HYPERLINK("https://creighton-primo.hosted.exlibrisgroup.com/primo-explore/search?tab=default_tab&amp;search_scope=EVERYTHING&amp;vid=01CRU&amp;lang=en_US&amp;offset=0&amp;query=any,contains,991003500029702656","Catalog Record")</f>
        <v/>
      </c>
      <c r="AT300">
        <f>HYPERLINK("http://www.worldcat.org/oclc/26304724","WorldCat Record")</f>
        <v/>
      </c>
      <c r="AU300" t="inlineStr">
        <is>
          <t>28629255:eng</t>
        </is>
      </c>
      <c r="AV300" t="inlineStr">
        <is>
          <t>26304724</t>
        </is>
      </c>
      <c r="AW300" t="inlineStr">
        <is>
          <t>991003500029702656</t>
        </is>
      </c>
      <c r="AX300" t="inlineStr">
        <is>
          <t>991003500029702656</t>
        </is>
      </c>
      <c r="AY300" t="inlineStr">
        <is>
          <t>2271746610002656</t>
        </is>
      </c>
      <c r="AZ300" t="inlineStr">
        <is>
          <t>BOOK</t>
        </is>
      </c>
      <c r="BB300" t="inlineStr">
        <is>
          <t>9780194370097</t>
        </is>
      </c>
      <c r="BC300" t="inlineStr">
        <is>
          <t>32285004319439</t>
        </is>
      </c>
      <c r="BD300" t="inlineStr">
        <is>
          <t>893699052</t>
        </is>
      </c>
    </row>
    <row r="301">
      <c r="A301" t="inlineStr">
        <is>
          <t>No</t>
        </is>
      </c>
      <c r="B301" t="inlineStr">
        <is>
          <t>P53 .S6</t>
        </is>
      </c>
      <c r="C301" t="inlineStr">
        <is>
          <t>0                      P  0053000S  6</t>
        </is>
      </c>
      <c r="D301" t="inlineStr">
        <is>
          <t>Sociolinguistic aspects of language learning and teaching / [edited by] J. B. Pride.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Oxford ; New York : Oxford University Press, 1979.</t>
        </is>
      </c>
      <c r="M301" t="inlineStr">
        <is>
          <t>1979</t>
        </is>
      </c>
      <c r="O301" t="inlineStr">
        <is>
          <t>eng</t>
        </is>
      </c>
      <c r="P301" t="inlineStr">
        <is>
          <t>enk</t>
        </is>
      </c>
      <c r="R301" t="inlineStr">
        <is>
          <t xml:space="preserve">P  </t>
        </is>
      </c>
      <c r="S301" t="n">
        <v>2</v>
      </c>
      <c r="T301" t="n">
        <v>2</v>
      </c>
      <c r="U301" t="inlineStr">
        <is>
          <t>1994-03-09</t>
        </is>
      </c>
      <c r="V301" t="inlineStr">
        <is>
          <t>1994-03-09</t>
        </is>
      </c>
      <c r="W301" t="inlineStr">
        <is>
          <t>1993-03-30</t>
        </is>
      </c>
      <c r="X301" t="inlineStr">
        <is>
          <t>1993-03-30</t>
        </is>
      </c>
      <c r="Y301" t="n">
        <v>453</v>
      </c>
      <c r="Z301" t="n">
        <v>280</v>
      </c>
      <c r="AA301" t="n">
        <v>282</v>
      </c>
      <c r="AB301" t="n">
        <v>2</v>
      </c>
      <c r="AC301" t="n">
        <v>2</v>
      </c>
      <c r="AD301" t="n">
        <v>13</v>
      </c>
      <c r="AE301" t="n">
        <v>13</v>
      </c>
      <c r="AF301" t="n">
        <v>4</v>
      </c>
      <c r="AG301" t="n">
        <v>4</v>
      </c>
      <c r="AH301" t="n">
        <v>4</v>
      </c>
      <c r="AI301" t="n">
        <v>4</v>
      </c>
      <c r="AJ301" t="n">
        <v>8</v>
      </c>
      <c r="AK301" t="n">
        <v>8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HYPERLINK("http://catalog.hathitrust.org/Record/000736094","HathiTrust Record")</f>
        <v/>
      </c>
      <c r="AS301">
        <f>HYPERLINK("https://creighton-primo.hosted.exlibrisgroup.com/primo-explore/search?tab=default_tab&amp;search_scope=EVERYTHING&amp;vid=01CRU&amp;lang=en_US&amp;offset=0&amp;query=any,contains,991004971509702656","Catalog Record")</f>
        <v/>
      </c>
      <c r="AT301">
        <f>HYPERLINK("http://www.worldcat.org/oclc/6361350","WorldCat Record")</f>
        <v/>
      </c>
      <c r="AU301" t="inlineStr">
        <is>
          <t>54379045:eng</t>
        </is>
      </c>
      <c r="AV301" t="inlineStr">
        <is>
          <t>6361350</t>
        </is>
      </c>
      <c r="AW301" t="inlineStr">
        <is>
          <t>991004971509702656</t>
        </is>
      </c>
      <c r="AX301" t="inlineStr">
        <is>
          <t>991004971509702656</t>
        </is>
      </c>
      <c r="AY301" t="inlineStr">
        <is>
          <t>2269293910002656</t>
        </is>
      </c>
      <c r="AZ301" t="inlineStr">
        <is>
          <t>BOOK</t>
        </is>
      </c>
      <c r="BB301" t="inlineStr">
        <is>
          <t>9780194370790</t>
        </is>
      </c>
      <c r="BC301" t="inlineStr">
        <is>
          <t>32285001611317</t>
        </is>
      </c>
      <c r="BD301" t="inlineStr">
        <is>
          <t>893242032</t>
        </is>
      </c>
    </row>
    <row r="302">
      <c r="A302" t="inlineStr">
        <is>
          <t>No</t>
        </is>
      </c>
      <c r="B302" t="inlineStr">
        <is>
          <t>P53.2 .W75 1989</t>
        </is>
      </c>
      <c r="C302" t="inlineStr">
        <is>
          <t>0                      P  0053200W  75          1989</t>
        </is>
      </c>
      <c r="D302" t="inlineStr">
        <is>
          <t>Pictures for language learning / Andrew Wright ; with drawings and photographs by the author.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Wright, Andrew, 1937-</t>
        </is>
      </c>
      <c r="L302" t="inlineStr">
        <is>
          <t>Cambridge [England] ; New York : Cambridge University Press, 1989.</t>
        </is>
      </c>
      <c r="M302" t="inlineStr">
        <is>
          <t>1989</t>
        </is>
      </c>
      <c r="O302" t="inlineStr">
        <is>
          <t>eng</t>
        </is>
      </c>
      <c r="P302" t="inlineStr">
        <is>
          <t>enk</t>
        </is>
      </c>
      <c r="Q302" t="inlineStr">
        <is>
          <t>Cambridge handbooks for language teachers</t>
        </is>
      </c>
      <c r="R302" t="inlineStr">
        <is>
          <t xml:space="preserve">P  </t>
        </is>
      </c>
      <c r="S302" t="n">
        <v>11</v>
      </c>
      <c r="T302" t="n">
        <v>11</v>
      </c>
      <c r="U302" t="inlineStr">
        <is>
          <t>2008-10-05</t>
        </is>
      </c>
      <c r="V302" t="inlineStr">
        <is>
          <t>2008-10-05</t>
        </is>
      </c>
      <c r="W302" t="inlineStr">
        <is>
          <t>2001-08-07</t>
        </is>
      </c>
      <c r="X302" t="inlineStr">
        <is>
          <t>2001-08-07</t>
        </is>
      </c>
      <c r="Y302" t="n">
        <v>553</v>
      </c>
      <c r="Z302" t="n">
        <v>287</v>
      </c>
      <c r="AA302" t="n">
        <v>295</v>
      </c>
      <c r="AB302" t="n">
        <v>3</v>
      </c>
      <c r="AC302" t="n">
        <v>3</v>
      </c>
      <c r="AD302" t="n">
        <v>9</v>
      </c>
      <c r="AE302" t="n">
        <v>9</v>
      </c>
      <c r="AF302" t="n">
        <v>4</v>
      </c>
      <c r="AG302" t="n">
        <v>4</v>
      </c>
      <c r="AH302" t="n">
        <v>2</v>
      </c>
      <c r="AI302" t="n">
        <v>2</v>
      </c>
      <c r="AJ302" t="n">
        <v>4</v>
      </c>
      <c r="AK302" t="n">
        <v>4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HYPERLINK("http://catalog.hathitrust.org/Record/001942998","HathiTrust Record")</f>
        <v/>
      </c>
      <c r="AS302">
        <f>HYPERLINK("https://creighton-primo.hosted.exlibrisgroup.com/primo-explore/search?tab=default_tab&amp;search_scope=EVERYTHING&amp;vid=01CRU&amp;lang=en_US&amp;offset=0&amp;query=any,contains,991003596999702656","Catalog Record")</f>
        <v/>
      </c>
      <c r="AT302">
        <f>HYPERLINK("http://www.worldcat.org/oclc/19777439","WorldCat Record")</f>
        <v/>
      </c>
      <c r="AU302" t="inlineStr">
        <is>
          <t>3805410346:eng</t>
        </is>
      </c>
      <c r="AV302" t="inlineStr">
        <is>
          <t>19777439</t>
        </is>
      </c>
      <c r="AW302" t="inlineStr">
        <is>
          <t>991003596999702656</t>
        </is>
      </c>
      <c r="AX302" t="inlineStr">
        <is>
          <t>991003596999702656</t>
        </is>
      </c>
      <c r="AY302" t="inlineStr">
        <is>
          <t>2266299990002656</t>
        </is>
      </c>
      <c r="AZ302" t="inlineStr">
        <is>
          <t>BOOK</t>
        </is>
      </c>
      <c r="BB302" t="inlineStr">
        <is>
          <t>9780521352321</t>
        </is>
      </c>
      <c r="BC302" t="inlineStr">
        <is>
          <t>32285004376066</t>
        </is>
      </c>
      <c r="BD302" t="inlineStr">
        <is>
          <t>893336683</t>
        </is>
      </c>
    </row>
    <row r="303">
      <c r="A303" t="inlineStr">
        <is>
          <t>No</t>
        </is>
      </c>
      <c r="B303" t="inlineStr">
        <is>
          <t>P53.28 .T43 1989</t>
        </is>
      </c>
      <c r="C303" t="inlineStr">
        <is>
          <t>0                      P  0053280T  43          1989</t>
        </is>
      </c>
      <c r="D303" t="inlineStr">
        <is>
          <t>Teaching languages with computers : the state of the art / edited by Martha C. Pennington.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La Jolla, CA : Athelstan, c1989.</t>
        </is>
      </c>
      <c r="M303" t="inlineStr">
        <is>
          <t>1989</t>
        </is>
      </c>
      <c r="O303" t="inlineStr">
        <is>
          <t>eng</t>
        </is>
      </c>
      <c r="P303" t="inlineStr">
        <is>
          <t>cau</t>
        </is>
      </c>
      <c r="R303" t="inlineStr">
        <is>
          <t xml:space="preserve">P  </t>
        </is>
      </c>
      <c r="S303" t="n">
        <v>3</v>
      </c>
      <c r="T303" t="n">
        <v>3</v>
      </c>
      <c r="U303" t="inlineStr">
        <is>
          <t>2000-08-22</t>
        </is>
      </c>
      <c r="V303" t="inlineStr">
        <is>
          <t>2000-08-22</t>
        </is>
      </c>
      <c r="W303" t="inlineStr">
        <is>
          <t>1993-03-30</t>
        </is>
      </c>
      <c r="X303" t="inlineStr">
        <is>
          <t>1993-03-30</t>
        </is>
      </c>
      <c r="Y303" t="n">
        <v>131</v>
      </c>
      <c r="Z303" t="n">
        <v>87</v>
      </c>
      <c r="AA303" t="n">
        <v>88</v>
      </c>
      <c r="AB303" t="n">
        <v>2</v>
      </c>
      <c r="AC303" t="n">
        <v>2</v>
      </c>
      <c r="AD303" t="n">
        <v>2</v>
      </c>
      <c r="AE303" t="n">
        <v>2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1</v>
      </c>
      <c r="AL303" t="n">
        <v>1</v>
      </c>
      <c r="AM303" t="n">
        <v>1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HYPERLINK("http://catalog.hathitrust.org/Record/007015333","HathiTrust Record")</f>
        <v/>
      </c>
      <c r="AS303">
        <f>HYPERLINK("https://creighton-primo.hosted.exlibrisgroup.com/primo-explore/search?tab=default_tab&amp;search_scope=EVERYTHING&amp;vid=01CRU&amp;lang=en_US&amp;offset=0&amp;query=any,contains,991005410399702656","Catalog Record")</f>
        <v/>
      </c>
      <c r="AT303">
        <f>HYPERLINK("http://www.worldcat.org/oclc/18968158","WorldCat Record")</f>
        <v/>
      </c>
      <c r="AU303" t="inlineStr">
        <is>
          <t>18598729:eng</t>
        </is>
      </c>
      <c r="AV303" t="inlineStr">
        <is>
          <t>18968158</t>
        </is>
      </c>
      <c r="AW303" t="inlineStr">
        <is>
          <t>991005410399702656</t>
        </is>
      </c>
      <c r="AX303" t="inlineStr">
        <is>
          <t>991005410399702656</t>
        </is>
      </c>
      <c r="AY303" t="inlineStr">
        <is>
          <t>2268599240002656</t>
        </is>
      </c>
      <c r="AZ303" t="inlineStr">
        <is>
          <t>BOOK</t>
        </is>
      </c>
      <c r="BB303" t="inlineStr">
        <is>
          <t>9780940753112</t>
        </is>
      </c>
      <c r="BC303" t="inlineStr">
        <is>
          <t>32285001611333</t>
        </is>
      </c>
      <c r="BD303" t="inlineStr">
        <is>
          <t>893707872</t>
        </is>
      </c>
    </row>
    <row r="304">
      <c r="A304" t="inlineStr">
        <is>
          <t>No</t>
        </is>
      </c>
      <c r="B304" t="inlineStr">
        <is>
          <t>P53.4 .B76 2004</t>
        </is>
      </c>
      <c r="C304" t="inlineStr">
        <is>
          <t>0                      P  0053400B  76          2004</t>
        </is>
      </c>
      <c r="D304" t="inlineStr">
        <is>
          <t>Language assessment : principles and classroom practices / H. Douglas Brown.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Brown, H. Douglas, 1941-</t>
        </is>
      </c>
      <c r="L304" t="inlineStr">
        <is>
          <t>New York : Pearson/Longman, c2004.</t>
        </is>
      </c>
      <c r="M304" t="inlineStr">
        <is>
          <t>2004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P  </t>
        </is>
      </c>
      <c r="S304" t="n">
        <v>2</v>
      </c>
      <c r="T304" t="n">
        <v>2</v>
      </c>
      <c r="U304" t="inlineStr">
        <is>
          <t>2008-03-31</t>
        </is>
      </c>
      <c r="V304" t="inlineStr">
        <is>
          <t>2008-03-31</t>
        </is>
      </c>
      <c r="W304" t="inlineStr">
        <is>
          <t>2004-01-08</t>
        </is>
      </c>
      <c r="X304" t="inlineStr">
        <is>
          <t>2004-01-08</t>
        </is>
      </c>
      <c r="Y304" t="n">
        <v>228</v>
      </c>
      <c r="Z304" t="n">
        <v>125</v>
      </c>
      <c r="AA304" t="n">
        <v>227</v>
      </c>
      <c r="AB304" t="n">
        <v>4</v>
      </c>
      <c r="AC304" t="n">
        <v>4</v>
      </c>
      <c r="AD304" t="n">
        <v>7</v>
      </c>
      <c r="AE304" t="n">
        <v>12</v>
      </c>
      <c r="AF304" t="n">
        <v>2</v>
      </c>
      <c r="AG304" t="n">
        <v>4</v>
      </c>
      <c r="AH304" t="n">
        <v>1</v>
      </c>
      <c r="AI304" t="n">
        <v>2</v>
      </c>
      <c r="AJ304" t="n">
        <v>2</v>
      </c>
      <c r="AK304" t="n">
        <v>7</v>
      </c>
      <c r="AL304" t="n">
        <v>3</v>
      </c>
      <c r="AM304" t="n">
        <v>3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HYPERLINK("https://creighton-primo.hosted.exlibrisgroup.com/primo-explore/search?tab=default_tab&amp;search_scope=EVERYTHING&amp;vid=01CRU&amp;lang=en_US&amp;offset=0&amp;query=any,contains,991004199359702656","Catalog Record")</f>
        <v/>
      </c>
      <c r="AT304">
        <f>HYPERLINK("http://www.worldcat.org/oclc/52381492","WorldCat Record")</f>
        <v/>
      </c>
      <c r="AU304" t="inlineStr">
        <is>
          <t>149012989:eng</t>
        </is>
      </c>
      <c r="AV304" t="inlineStr">
        <is>
          <t>52381492</t>
        </is>
      </c>
      <c r="AW304" t="inlineStr">
        <is>
          <t>991004199359702656</t>
        </is>
      </c>
      <c r="AX304" t="inlineStr">
        <is>
          <t>991004199359702656</t>
        </is>
      </c>
      <c r="AY304" t="inlineStr">
        <is>
          <t>2257048640002656</t>
        </is>
      </c>
      <c r="AZ304" t="inlineStr">
        <is>
          <t>BOOK</t>
        </is>
      </c>
      <c r="BB304" t="inlineStr">
        <is>
          <t>9780130988348</t>
        </is>
      </c>
      <c r="BC304" t="inlineStr">
        <is>
          <t>32285004633342</t>
        </is>
      </c>
      <c r="BD304" t="inlineStr">
        <is>
          <t>893875801</t>
        </is>
      </c>
    </row>
    <row r="305">
      <c r="A305" t="inlineStr">
        <is>
          <t>No</t>
        </is>
      </c>
      <c r="B305" t="inlineStr">
        <is>
          <t>P53.45 .R6 1985</t>
        </is>
      </c>
      <c r="C305" t="inlineStr">
        <is>
          <t>0                      P  0053450R  6           1985</t>
        </is>
      </c>
      <c r="D305" t="inlineStr">
        <is>
          <t>Crosscultural understanding : processes and approaches for foreign language, English as a second language, and bilingual educators / Gail L. Nemetz Robinson.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Robinson, Gail L.</t>
        </is>
      </c>
      <c r="L305" t="inlineStr">
        <is>
          <t>New York : Pergamon Press, 1985.</t>
        </is>
      </c>
      <c r="M305" t="inlineStr">
        <is>
          <t>1985</t>
        </is>
      </c>
      <c r="N305" t="inlineStr">
        <is>
          <t>1st ed.</t>
        </is>
      </c>
      <c r="O305" t="inlineStr">
        <is>
          <t>eng</t>
        </is>
      </c>
      <c r="P305" t="inlineStr">
        <is>
          <t>nyu</t>
        </is>
      </c>
      <c r="Q305" t="inlineStr">
        <is>
          <t>Language teaching methodology series</t>
        </is>
      </c>
      <c r="R305" t="inlineStr">
        <is>
          <t xml:space="preserve">P  </t>
        </is>
      </c>
      <c r="S305" t="n">
        <v>12</v>
      </c>
      <c r="T305" t="n">
        <v>12</v>
      </c>
      <c r="U305" t="inlineStr">
        <is>
          <t>2001-04-08</t>
        </is>
      </c>
      <c r="V305" t="inlineStr">
        <is>
          <t>2001-04-08</t>
        </is>
      </c>
      <c r="W305" t="inlineStr">
        <is>
          <t>1992-03-31</t>
        </is>
      </c>
      <c r="X305" t="inlineStr">
        <is>
          <t>1992-03-31</t>
        </is>
      </c>
      <c r="Y305" t="n">
        <v>281</v>
      </c>
      <c r="Z305" t="n">
        <v>192</v>
      </c>
      <c r="AA305" t="n">
        <v>197</v>
      </c>
      <c r="AB305" t="n">
        <v>2</v>
      </c>
      <c r="AC305" t="n">
        <v>2</v>
      </c>
      <c r="AD305" t="n">
        <v>6</v>
      </c>
      <c r="AE305" t="n">
        <v>6</v>
      </c>
      <c r="AF305" t="n">
        <v>0</v>
      </c>
      <c r="AG305" t="n">
        <v>0</v>
      </c>
      <c r="AH305" t="n">
        <v>1</v>
      </c>
      <c r="AI305" t="n">
        <v>1</v>
      </c>
      <c r="AJ305" t="n">
        <v>4</v>
      </c>
      <c r="AK305" t="n">
        <v>4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HYPERLINK("https://creighton-primo.hosted.exlibrisgroup.com/primo-explore/search?tab=default_tab&amp;search_scope=EVERYTHING&amp;vid=01CRU&amp;lang=en_US&amp;offset=0&amp;query=any,contains,991000564809702656","Catalog Record")</f>
        <v/>
      </c>
      <c r="AT305">
        <f>HYPERLINK("http://www.worldcat.org/oclc/11621471","WorldCat Record")</f>
        <v/>
      </c>
      <c r="AU305" t="inlineStr">
        <is>
          <t>836698795:eng</t>
        </is>
      </c>
      <c r="AV305" t="inlineStr">
        <is>
          <t>11621471</t>
        </is>
      </c>
      <c r="AW305" t="inlineStr">
        <is>
          <t>991000564809702656</t>
        </is>
      </c>
      <c r="AX305" t="inlineStr">
        <is>
          <t>991000564809702656</t>
        </is>
      </c>
      <c r="AY305" t="inlineStr">
        <is>
          <t>2263496740002656</t>
        </is>
      </c>
      <c r="AZ305" t="inlineStr">
        <is>
          <t>BOOK</t>
        </is>
      </c>
      <c r="BB305" t="inlineStr">
        <is>
          <t>9780080310596</t>
        </is>
      </c>
      <c r="BC305" t="inlineStr">
        <is>
          <t>32285001031896</t>
        </is>
      </c>
      <c r="BD305" t="inlineStr">
        <is>
          <t>893407315</t>
        </is>
      </c>
    </row>
    <row r="306">
      <c r="A306" t="inlineStr">
        <is>
          <t>No</t>
        </is>
      </c>
      <c r="B306" t="inlineStr">
        <is>
          <t>P53.7 .H67 1991</t>
        </is>
      </c>
      <c r="C306" t="inlineStr">
        <is>
          <t>0                      P  0053700H  67          1991</t>
        </is>
      </c>
      <c r="D306" t="inlineStr">
        <is>
          <t>Language anxiety : from theory and research to classroom implications / Elaine K. Horwitz, Dolly J. Young ; foreword by Robert C. Gardner.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Horwitz, Elaine Kolker, 1950-</t>
        </is>
      </c>
      <c r="L306" t="inlineStr">
        <is>
          <t>Englewood Cliffs, N.J. : Prentice Hall, c1991.</t>
        </is>
      </c>
      <c r="M306" t="inlineStr">
        <is>
          <t>1991</t>
        </is>
      </c>
      <c r="O306" t="inlineStr">
        <is>
          <t>eng</t>
        </is>
      </c>
      <c r="P306" t="inlineStr">
        <is>
          <t>nju</t>
        </is>
      </c>
      <c r="R306" t="inlineStr">
        <is>
          <t xml:space="preserve">P  </t>
        </is>
      </c>
      <c r="S306" t="n">
        <v>1</v>
      </c>
      <c r="T306" t="n">
        <v>1</v>
      </c>
      <c r="U306" t="inlineStr">
        <is>
          <t>2009-11-16</t>
        </is>
      </c>
      <c r="V306" t="inlineStr">
        <is>
          <t>2009-11-16</t>
        </is>
      </c>
      <c r="W306" t="inlineStr">
        <is>
          <t>2009-11-16</t>
        </is>
      </c>
      <c r="X306" t="inlineStr">
        <is>
          <t>2009-11-16</t>
        </is>
      </c>
      <c r="Y306" t="n">
        <v>299</v>
      </c>
      <c r="Z306" t="n">
        <v>211</v>
      </c>
      <c r="AA306" t="n">
        <v>214</v>
      </c>
      <c r="AB306" t="n">
        <v>2</v>
      </c>
      <c r="AC306" t="n">
        <v>2</v>
      </c>
      <c r="AD306" t="n">
        <v>8</v>
      </c>
      <c r="AE306" t="n">
        <v>8</v>
      </c>
      <c r="AF306" t="n">
        <v>3</v>
      </c>
      <c r="AG306" t="n">
        <v>3</v>
      </c>
      <c r="AH306" t="n">
        <v>3</v>
      </c>
      <c r="AI306" t="n">
        <v>3</v>
      </c>
      <c r="AJ306" t="n">
        <v>6</v>
      </c>
      <c r="AK306" t="n">
        <v>6</v>
      </c>
      <c r="AL306" t="n">
        <v>1</v>
      </c>
      <c r="AM306" t="n">
        <v>1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HYPERLINK("http://catalog.hathitrust.org/Record/002426278","HathiTrust Record")</f>
        <v/>
      </c>
      <c r="AS306">
        <f>HYPERLINK("https://creighton-primo.hosted.exlibrisgroup.com/primo-explore/search?tab=default_tab&amp;search_scope=EVERYTHING&amp;vid=01CRU&amp;lang=en_US&amp;offset=0&amp;query=any,contains,991005340619702656","Catalog Record")</f>
        <v/>
      </c>
      <c r="AT306">
        <f>HYPERLINK("http://www.worldcat.org/oclc/22181913","WorldCat Record")</f>
        <v/>
      </c>
      <c r="AU306" t="inlineStr">
        <is>
          <t>815065798:eng</t>
        </is>
      </c>
      <c r="AV306" t="inlineStr">
        <is>
          <t>22181913</t>
        </is>
      </c>
      <c r="AW306" t="inlineStr">
        <is>
          <t>991005340619702656</t>
        </is>
      </c>
      <c r="AX306" t="inlineStr">
        <is>
          <t>991005340619702656</t>
        </is>
      </c>
      <c r="AY306" t="inlineStr">
        <is>
          <t>2257954340002656</t>
        </is>
      </c>
      <c r="AZ306" t="inlineStr">
        <is>
          <t>BOOK</t>
        </is>
      </c>
      <c r="BB306" t="inlineStr">
        <is>
          <t>9780135234655</t>
        </is>
      </c>
      <c r="BC306" t="inlineStr">
        <is>
          <t>32285005551212</t>
        </is>
      </c>
      <c r="BD306" t="inlineStr">
        <is>
          <t>893902502</t>
        </is>
      </c>
    </row>
    <row r="307">
      <c r="A307" t="inlineStr">
        <is>
          <t>No</t>
        </is>
      </c>
      <c r="B307" t="inlineStr">
        <is>
          <t>P53.7 .M33</t>
        </is>
      </c>
      <c r="C307" t="inlineStr">
        <is>
          <t>0                      P  0053700M  33</t>
        </is>
      </c>
      <c r="D307" t="inlineStr">
        <is>
          <t>Psychology in foreign language teaching / Steven H. McDonough.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McDonough, Steven H.</t>
        </is>
      </c>
      <c r="L307" t="inlineStr">
        <is>
          <t>London ; Boston : Allen &amp; Unwin, 1981.</t>
        </is>
      </c>
      <c r="M307" t="inlineStr">
        <is>
          <t>1981</t>
        </is>
      </c>
      <c r="O307" t="inlineStr">
        <is>
          <t>eng</t>
        </is>
      </c>
      <c r="P307" t="inlineStr">
        <is>
          <t>enk</t>
        </is>
      </c>
      <c r="R307" t="inlineStr">
        <is>
          <t xml:space="preserve">P  </t>
        </is>
      </c>
      <c r="S307" t="n">
        <v>4</v>
      </c>
      <c r="T307" t="n">
        <v>4</v>
      </c>
      <c r="U307" t="inlineStr">
        <is>
          <t>1996-04-23</t>
        </is>
      </c>
      <c r="V307" t="inlineStr">
        <is>
          <t>1996-04-23</t>
        </is>
      </c>
      <c r="W307" t="inlineStr">
        <is>
          <t>1993-03-30</t>
        </is>
      </c>
      <c r="X307" t="inlineStr">
        <is>
          <t>1993-03-30</t>
        </is>
      </c>
      <c r="Y307" t="n">
        <v>451</v>
      </c>
      <c r="Z307" t="n">
        <v>293</v>
      </c>
      <c r="AA307" t="n">
        <v>350</v>
      </c>
      <c r="AB307" t="n">
        <v>2</v>
      </c>
      <c r="AC307" t="n">
        <v>4</v>
      </c>
      <c r="AD307" t="n">
        <v>10</v>
      </c>
      <c r="AE307" t="n">
        <v>14</v>
      </c>
      <c r="AF307" t="n">
        <v>5</v>
      </c>
      <c r="AG307" t="n">
        <v>5</v>
      </c>
      <c r="AH307" t="n">
        <v>3</v>
      </c>
      <c r="AI307" t="n">
        <v>4</v>
      </c>
      <c r="AJ307" t="n">
        <v>4</v>
      </c>
      <c r="AK307" t="n">
        <v>5</v>
      </c>
      <c r="AL307" t="n">
        <v>1</v>
      </c>
      <c r="AM307" t="n">
        <v>3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HYPERLINK("https://creighton-primo.hosted.exlibrisgroup.com/primo-explore/search?tab=default_tab&amp;search_scope=EVERYTHING&amp;vid=01CRU&amp;lang=en_US&amp;offset=0&amp;query=any,contains,991005146349702656","Catalog Record")</f>
        <v/>
      </c>
      <c r="AT307">
        <f>HYPERLINK("http://www.worldcat.org/oclc/7671589","WorldCat Record")</f>
        <v/>
      </c>
      <c r="AU307" t="inlineStr">
        <is>
          <t>6796368:eng</t>
        </is>
      </c>
      <c r="AV307" t="inlineStr">
        <is>
          <t>7671589</t>
        </is>
      </c>
      <c r="AW307" t="inlineStr">
        <is>
          <t>991005146349702656</t>
        </is>
      </c>
      <c r="AX307" t="inlineStr">
        <is>
          <t>991005146349702656</t>
        </is>
      </c>
      <c r="AY307" t="inlineStr">
        <is>
          <t>2272622730002656</t>
        </is>
      </c>
      <c r="AZ307" t="inlineStr">
        <is>
          <t>BOOK</t>
        </is>
      </c>
      <c r="BB307" t="inlineStr">
        <is>
          <t>9780044180029</t>
        </is>
      </c>
      <c r="BC307" t="inlineStr">
        <is>
          <t>32285001611366</t>
        </is>
      </c>
      <c r="BD307" t="inlineStr">
        <is>
          <t>893424625</t>
        </is>
      </c>
    </row>
    <row r="308">
      <c r="A308" t="inlineStr">
        <is>
          <t>No</t>
        </is>
      </c>
      <c r="B308" t="inlineStr">
        <is>
          <t>P53.75 .B47 1991</t>
        </is>
      </c>
      <c r="C308" t="inlineStr">
        <is>
          <t>0                      P  0053750B  47          1991</t>
        </is>
      </c>
      <c r="D308" t="inlineStr">
        <is>
          <t>Reading development in a second language : theoretical, empirical, and classroom perspectives / Elizabeth B. Bernhardt.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Bernhardt, Elizabeth B. (Elizabeth Buchter), 1954-</t>
        </is>
      </c>
      <c r="L308" t="inlineStr">
        <is>
          <t>Norwood, NJ : Ablex Pub. Corp., 1991.</t>
        </is>
      </c>
      <c r="M308" t="inlineStr">
        <is>
          <t>1991</t>
        </is>
      </c>
      <c r="O308" t="inlineStr">
        <is>
          <t>eng</t>
        </is>
      </c>
      <c r="P308" t="inlineStr">
        <is>
          <t>nju</t>
        </is>
      </c>
      <c r="Q308" t="inlineStr">
        <is>
          <t>Second language learning</t>
        </is>
      </c>
      <c r="R308" t="inlineStr">
        <is>
          <t xml:space="preserve">P  </t>
        </is>
      </c>
      <c r="S308" t="n">
        <v>2</v>
      </c>
      <c r="T308" t="n">
        <v>2</v>
      </c>
      <c r="U308" t="inlineStr">
        <is>
          <t>1995-11-27</t>
        </is>
      </c>
      <c r="V308" t="inlineStr">
        <is>
          <t>1995-11-27</t>
        </is>
      </c>
      <c r="W308" t="inlineStr">
        <is>
          <t>1995-11-03</t>
        </is>
      </c>
      <c r="X308" t="inlineStr">
        <is>
          <t>1995-11-03</t>
        </is>
      </c>
      <c r="Y308" t="n">
        <v>326</v>
      </c>
      <c r="Z308" t="n">
        <v>241</v>
      </c>
      <c r="AA308" t="n">
        <v>243</v>
      </c>
      <c r="AB308" t="n">
        <v>2</v>
      </c>
      <c r="AC308" t="n">
        <v>2</v>
      </c>
      <c r="AD308" t="n">
        <v>11</v>
      </c>
      <c r="AE308" t="n">
        <v>11</v>
      </c>
      <c r="AF308" t="n">
        <v>2</v>
      </c>
      <c r="AG308" t="n">
        <v>2</v>
      </c>
      <c r="AH308" t="n">
        <v>4</v>
      </c>
      <c r="AI308" t="n">
        <v>4</v>
      </c>
      <c r="AJ308" t="n">
        <v>8</v>
      </c>
      <c r="AK308" t="n">
        <v>8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HYPERLINK("http://catalog.hathitrust.org/Record/007109297","HathiTrust Record")</f>
        <v/>
      </c>
      <c r="AS308">
        <f>HYPERLINK("https://creighton-primo.hosted.exlibrisgroup.com/primo-explore/search?tab=default_tab&amp;search_scope=EVERYTHING&amp;vid=01CRU&amp;lang=en_US&amp;offset=0&amp;query=any,contains,991001834609702656","Catalog Record")</f>
        <v/>
      </c>
      <c r="AT308">
        <f>HYPERLINK("http://www.worldcat.org/oclc/23047632","WorldCat Record")</f>
        <v/>
      </c>
      <c r="AU308" t="inlineStr">
        <is>
          <t>143613912:eng</t>
        </is>
      </c>
      <c r="AV308" t="inlineStr">
        <is>
          <t>23047632</t>
        </is>
      </c>
      <c r="AW308" t="inlineStr">
        <is>
          <t>991001834609702656</t>
        </is>
      </c>
      <c r="AX308" t="inlineStr">
        <is>
          <t>991001834609702656</t>
        </is>
      </c>
      <c r="AY308" t="inlineStr">
        <is>
          <t>2263096440002656</t>
        </is>
      </c>
      <c r="AZ308" t="inlineStr">
        <is>
          <t>BOOK</t>
        </is>
      </c>
      <c r="BB308" t="inlineStr">
        <is>
          <t>9780893916756</t>
        </is>
      </c>
      <c r="BC308" t="inlineStr">
        <is>
          <t>32285002100740</t>
        </is>
      </c>
      <c r="BD308" t="inlineStr">
        <is>
          <t>893615412</t>
        </is>
      </c>
    </row>
    <row r="309">
      <c r="A309" t="inlineStr">
        <is>
          <t>No</t>
        </is>
      </c>
      <c r="B309" t="inlineStr">
        <is>
          <t>P53.8 .H37 2006</t>
        </is>
      </c>
      <c r="C309" t="inlineStr">
        <is>
          <t>0                      P  0053800H  37          2006</t>
        </is>
      </c>
      <c r="D309" t="inlineStr">
        <is>
          <t>Beyond grammar : language, power, and the classroom / Mary R. Harmon, Marilyn J. Wilson.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Harmon, Mary R.</t>
        </is>
      </c>
      <c r="L309" t="inlineStr">
        <is>
          <t>Mahwah, N.J. : L. Erlbaum, c2006.</t>
        </is>
      </c>
      <c r="M309" t="inlineStr">
        <is>
          <t>2006</t>
        </is>
      </c>
      <c r="O309" t="inlineStr">
        <is>
          <t>eng</t>
        </is>
      </c>
      <c r="P309" t="inlineStr">
        <is>
          <t>nju</t>
        </is>
      </c>
      <c r="Q309" t="inlineStr">
        <is>
          <t>Language, culture, and teaching</t>
        </is>
      </c>
      <c r="R309" t="inlineStr">
        <is>
          <t xml:space="preserve">P  </t>
        </is>
      </c>
      <c r="S309" t="n">
        <v>3</v>
      </c>
      <c r="T309" t="n">
        <v>3</v>
      </c>
      <c r="U309" t="inlineStr">
        <is>
          <t>2010-05-13</t>
        </is>
      </c>
      <c r="V309" t="inlineStr">
        <is>
          <t>2010-05-13</t>
        </is>
      </c>
      <c r="W309" t="inlineStr">
        <is>
          <t>2010-03-11</t>
        </is>
      </c>
      <c r="X309" t="inlineStr">
        <is>
          <t>2010-03-11</t>
        </is>
      </c>
      <c r="Y309" t="n">
        <v>164</v>
      </c>
      <c r="Z309" t="n">
        <v>121</v>
      </c>
      <c r="AA309" t="n">
        <v>147</v>
      </c>
      <c r="AB309" t="n">
        <v>2</v>
      </c>
      <c r="AC309" t="n">
        <v>2</v>
      </c>
      <c r="AD309" t="n">
        <v>8</v>
      </c>
      <c r="AE309" t="n">
        <v>8</v>
      </c>
      <c r="AF309" t="n">
        <v>3</v>
      </c>
      <c r="AG309" t="n">
        <v>3</v>
      </c>
      <c r="AH309" t="n">
        <v>3</v>
      </c>
      <c r="AI309" t="n">
        <v>3</v>
      </c>
      <c r="AJ309" t="n">
        <v>5</v>
      </c>
      <c r="AK309" t="n">
        <v>5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HYPERLINK("http://catalog.hathitrust.org/Record/005240590","HathiTrust Record")</f>
        <v/>
      </c>
      <c r="AS309">
        <f>HYPERLINK("https://creighton-primo.hosted.exlibrisgroup.com/primo-explore/search?tab=default_tab&amp;search_scope=EVERYTHING&amp;vid=01CRU&amp;lang=en_US&amp;offset=0&amp;query=any,contains,991005352389702656","Catalog Record")</f>
        <v/>
      </c>
      <c r="AT309">
        <f>HYPERLINK("http://www.worldcat.org/oclc/64065967","WorldCat Record")</f>
        <v/>
      </c>
      <c r="AU309" t="inlineStr">
        <is>
          <t>435357278:eng</t>
        </is>
      </c>
      <c r="AV309" t="inlineStr">
        <is>
          <t>64065967</t>
        </is>
      </c>
      <c r="AW309" t="inlineStr">
        <is>
          <t>991005352389702656</t>
        </is>
      </c>
      <c r="AX309" t="inlineStr">
        <is>
          <t>991005352389702656</t>
        </is>
      </c>
      <c r="AY309" t="inlineStr">
        <is>
          <t>2269093860002656</t>
        </is>
      </c>
      <c r="AZ309" t="inlineStr">
        <is>
          <t>BOOK</t>
        </is>
      </c>
      <c r="BB309" t="inlineStr">
        <is>
          <t>9780805837155</t>
        </is>
      </c>
      <c r="BC309" t="inlineStr">
        <is>
          <t>32285005577977</t>
        </is>
      </c>
      <c r="BD309" t="inlineStr">
        <is>
          <t>893501733</t>
        </is>
      </c>
    </row>
    <row r="310">
      <c r="A310" t="inlineStr">
        <is>
          <t>No</t>
        </is>
      </c>
      <c r="B310" t="inlineStr">
        <is>
          <t>P561 .L44 1996</t>
        </is>
      </c>
      <c r="C310" t="inlineStr">
        <is>
          <t>0                      P  0561000L  44          1996</t>
        </is>
      </c>
      <c r="D310" t="inlineStr">
        <is>
          <t>Theoretical bases of Indo-European linguistics / Winfred P. Lehmann.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Lehmann, Winfred P. (Winfred Philipp), 1916-2007.</t>
        </is>
      </c>
      <c r="L310" t="inlineStr">
        <is>
          <t>London ; New York : Routledge, 1996.</t>
        </is>
      </c>
      <c r="M310" t="inlineStr">
        <is>
          <t>1996</t>
        </is>
      </c>
      <c r="O310" t="inlineStr">
        <is>
          <t>eng</t>
        </is>
      </c>
      <c r="P310" t="inlineStr">
        <is>
          <t>enk</t>
        </is>
      </c>
      <c r="R310" t="inlineStr">
        <is>
          <t xml:space="preserve">P  </t>
        </is>
      </c>
      <c r="S310" t="n">
        <v>1</v>
      </c>
      <c r="T310" t="n">
        <v>1</v>
      </c>
      <c r="U310" t="inlineStr">
        <is>
          <t>2006-05-09</t>
        </is>
      </c>
      <c r="V310" t="inlineStr">
        <is>
          <t>2006-05-09</t>
        </is>
      </c>
      <c r="W310" t="inlineStr">
        <is>
          <t>2006-03-08</t>
        </is>
      </c>
      <c r="X310" t="inlineStr">
        <is>
          <t>2006-03-08</t>
        </is>
      </c>
      <c r="Y310" t="n">
        <v>55</v>
      </c>
      <c r="Z310" t="n">
        <v>31</v>
      </c>
      <c r="AA310" t="n">
        <v>174</v>
      </c>
      <c r="AB310" t="n">
        <v>1</v>
      </c>
      <c r="AC310" t="n">
        <v>2</v>
      </c>
      <c r="AD310" t="n">
        <v>1</v>
      </c>
      <c r="AE310" t="n">
        <v>7</v>
      </c>
      <c r="AF310" t="n">
        <v>1</v>
      </c>
      <c r="AG310" t="n">
        <v>1</v>
      </c>
      <c r="AH310" t="n">
        <v>0</v>
      </c>
      <c r="AI310" t="n">
        <v>2</v>
      </c>
      <c r="AJ310" t="n">
        <v>0</v>
      </c>
      <c r="AK310" t="n">
        <v>4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HYPERLINK("https://creighton-primo.hosted.exlibrisgroup.com/primo-explore/search?tab=default_tab&amp;search_scope=EVERYTHING&amp;vid=01CRU&amp;lang=en_US&amp;offset=0&amp;query=any,contains,991004763619702656","Catalog Record")</f>
        <v/>
      </c>
      <c r="AT310">
        <f>HYPERLINK("http://www.worldcat.org/oclc/36057846","WorldCat Record")</f>
        <v/>
      </c>
      <c r="AU310" t="inlineStr">
        <is>
          <t>476268249:eng</t>
        </is>
      </c>
      <c r="AV310" t="inlineStr">
        <is>
          <t>36057846</t>
        </is>
      </c>
      <c r="AW310" t="inlineStr">
        <is>
          <t>991004763619702656</t>
        </is>
      </c>
      <c r="AX310" t="inlineStr">
        <is>
          <t>991004763619702656</t>
        </is>
      </c>
      <c r="AY310" t="inlineStr">
        <is>
          <t>2255039610002656</t>
        </is>
      </c>
      <c r="AZ310" t="inlineStr">
        <is>
          <t>BOOK</t>
        </is>
      </c>
      <c r="BB310" t="inlineStr">
        <is>
          <t>9780415138505</t>
        </is>
      </c>
      <c r="BC310" t="inlineStr">
        <is>
          <t>32285005185649</t>
        </is>
      </c>
      <c r="BD310" t="inlineStr">
        <is>
          <t>893905064</t>
        </is>
      </c>
    </row>
    <row r="311">
      <c r="A311" t="inlineStr">
        <is>
          <t>No</t>
        </is>
      </c>
      <c r="B311" t="inlineStr">
        <is>
          <t>P569 .G74 2000</t>
        </is>
      </c>
      <c r="C311" t="inlineStr">
        <is>
          <t>0                      P  0569000G  74          2000</t>
        </is>
      </c>
      <c r="D311" t="inlineStr">
        <is>
          <t>Indo-European and its closest relatives : the Eurasiatic language family / Joseph H. Greenberg.</t>
        </is>
      </c>
      <c r="E311" t="inlineStr">
        <is>
          <t>V. 1</t>
        </is>
      </c>
      <c r="F311" t="inlineStr">
        <is>
          <t>Yes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Greenberg, Joseph H. (Joseph Harold), 1915-2001.</t>
        </is>
      </c>
      <c r="L311" t="inlineStr">
        <is>
          <t>Stanford, Calif. : Stanford University Press, 2000-2002.</t>
        </is>
      </c>
      <c r="M311" t="inlineStr">
        <is>
          <t>2000</t>
        </is>
      </c>
      <c r="O311" t="inlineStr">
        <is>
          <t>eng</t>
        </is>
      </c>
      <c r="P311" t="inlineStr">
        <is>
          <t>cau</t>
        </is>
      </c>
      <c r="R311" t="inlineStr">
        <is>
          <t xml:space="preserve">P  </t>
        </is>
      </c>
      <c r="S311" t="n">
        <v>4</v>
      </c>
      <c r="T311" t="n">
        <v>4</v>
      </c>
      <c r="U311" t="inlineStr">
        <is>
          <t>2006-06-13</t>
        </is>
      </c>
      <c r="V311" t="inlineStr">
        <is>
          <t>2006-06-13</t>
        </is>
      </c>
      <c r="W311" t="inlineStr">
        <is>
          <t>2006-03-08</t>
        </is>
      </c>
      <c r="X311" t="inlineStr">
        <is>
          <t>2006-03-08</t>
        </is>
      </c>
      <c r="Y311" t="n">
        <v>232</v>
      </c>
      <c r="Z311" t="n">
        <v>181</v>
      </c>
      <c r="AA311" t="n">
        <v>181</v>
      </c>
      <c r="AB311" t="n">
        <v>3</v>
      </c>
      <c r="AC311" t="n">
        <v>3</v>
      </c>
      <c r="AD311" t="n">
        <v>6</v>
      </c>
      <c r="AE311" t="n">
        <v>6</v>
      </c>
      <c r="AF311" t="n">
        <v>0</v>
      </c>
      <c r="AG311" t="n">
        <v>0</v>
      </c>
      <c r="AH311" t="n">
        <v>3</v>
      </c>
      <c r="AI311" t="n">
        <v>3</v>
      </c>
      <c r="AJ311" t="n">
        <v>2</v>
      </c>
      <c r="AK311" t="n">
        <v>2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HYPERLINK("https://creighton-primo.hosted.exlibrisgroup.com/primo-explore/search?tab=default_tab&amp;search_scope=EVERYTHING&amp;vid=01CRU&amp;lang=en_US&amp;offset=0&amp;query=any,contains,991004763679702656","Catalog Record")</f>
        <v/>
      </c>
      <c r="AT311">
        <f>HYPERLINK("http://www.worldcat.org/oclc/41967249","WorldCat Record")</f>
        <v/>
      </c>
      <c r="AU311" t="inlineStr">
        <is>
          <t>806543353:eng</t>
        </is>
      </c>
      <c r="AV311" t="inlineStr">
        <is>
          <t>41967249</t>
        </is>
      </c>
      <c r="AW311" t="inlineStr">
        <is>
          <t>991004763679702656</t>
        </is>
      </c>
      <c r="AX311" t="inlineStr">
        <is>
          <t>991004763679702656</t>
        </is>
      </c>
      <c r="AY311" t="inlineStr">
        <is>
          <t>2269322790002656</t>
        </is>
      </c>
      <c r="AZ311" t="inlineStr">
        <is>
          <t>BOOK</t>
        </is>
      </c>
      <c r="BB311" t="inlineStr">
        <is>
          <t>9780804738125</t>
        </is>
      </c>
      <c r="BC311" t="inlineStr">
        <is>
          <t>32285005165658</t>
        </is>
      </c>
      <c r="BD311" t="inlineStr">
        <is>
          <t>893443022</t>
        </is>
      </c>
    </row>
    <row r="312">
      <c r="A312" t="inlineStr">
        <is>
          <t>No</t>
        </is>
      </c>
      <c r="B312" t="inlineStr">
        <is>
          <t>P57.U5 S93 2005</t>
        </is>
      </c>
      <c r="C312" t="inlineStr">
        <is>
          <t>0                      P  0057000U  5                  S  93          2005</t>
        </is>
      </c>
      <c r="D312" t="inlineStr">
        <is>
          <t>Remapping the foreign language curriculum : an approach through multiple literacies / Janet Swaffar and Katherine Arens.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Swaffar, Janet K.</t>
        </is>
      </c>
      <c r="L312" t="inlineStr">
        <is>
          <t>New York : Modern Language Association of America, c2005.</t>
        </is>
      </c>
      <c r="M312" t="inlineStr">
        <is>
          <t>2005</t>
        </is>
      </c>
      <c r="O312" t="inlineStr">
        <is>
          <t>eng</t>
        </is>
      </c>
      <c r="P312" t="inlineStr">
        <is>
          <t>nyu</t>
        </is>
      </c>
      <c r="Q312" t="inlineStr">
        <is>
          <t>Teaching languages, literatures, and cultures</t>
        </is>
      </c>
      <c r="R312" t="inlineStr">
        <is>
          <t xml:space="preserve">P  </t>
        </is>
      </c>
      <c r="S312" t="n">
        <v>9</v>
      </c>
      <c r="T312" t="n">
        <v>9</v>
      </c>
      <c r="U312" t="inlineStr">
        <is>
          <t>2010-10-04</t>
        </is>
      </c>
      <c r="V312" t="inlineStr">
        <is>
          <t>2010-10-04</t>
        </is>
      </c>
      <c r="W312" t="inlineStr">
        <is>
          <t>2007-03-26</t>
        </is>
      </c>
      <c r="X312" t="inlineStr">
        <is>
          <t>2007-03-26</t>
        </is>
      </c>
      <c r="Y312" t="n">
        <v>300</v>
      </c>
      <c r="Z312" t="n">
        <v>260</v>
      </c>
      <c r="AA312" t="n">
        <v>261</v>
      </c>
      <c r="AB312" t="n">
        <v>4</v>
      </c>
      <c r="AC312" t="n">
        <v>4</v>
      </c>
      <c r="AD312" t="n">
        <v>18</v>
      </c>
      <c r="AE312" t="n">
        <v>18</v>
      </c>
      <c r="AF312" t="n">
        <v>9</v>
      </c>
      <c r="AG312" t="n">
        <v>9</v>
      </c>
      <c r="AH312" t="n">
        <v>6</v>
      </c>
      <c r="AI312" t="n">
        <v>6</v>
      </c>
      <c r="AJ312" t="n">
        <v>6</v>
      </c>
      <c r="AK312" t="n">
        <v>6</v>
      </c>
      <c r="AL312" t="n">
        <v>3</v>
      </c>
      <c r="AM312" t="n">
        <v>3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HYPERLINK("https://creighton-primo.hosted.exlibrisgroup.com/primo-explore/search?tab=default_tab&amp;search_scope=EVERYTHING&amp;vid=01CRU&amp;lang=en_US&amp;offset=0&amp;query=any,contains,991005043479702656","Catalog Record")</f>
        <v/>
      </c>
      <c r="AT312">
        <f>HYPERLINK("http://www.worldcat.org/oclc/60558802","WorldCat Record")</f>
        <v/>
      </c>
      <c r="AU312" t="inlineStr">
        <is>
          <t>428789921:eng</t>
        </is>
      </c>
      <c r="AV312" t="inlineStr">
        <is>
          <t>60558802</t>
        </is>
      </c>
      <c r="AW312" t="inlineStr">
        <is>
          <t>991005043479702656</t>
        </is>
      </c>
      <c r="AX312" t="inlineStr">
        <is>
          <t>991005043479702656</t>
        </is>
      </c>
      <c r="AY312" t="inlineStr">
        <is>
          <t>2254902580002656</t>
        </is>
      </c>
      <c r="AZ312" t="inlineStr">
        <is>
          <t>BOOK</t>
        </is>
      </c>
      <c r="BB312" t="inlineStr">
        <is>
          <t>9780873528061</t>
        </is>
      </c>
      <c r="BC312" t="inlineStr">
        <is>
          <t>32285005282925</t>
        </is>
      </c>
      <c r="BD312" t="inlineStr">
        <is>
          <t>893883250</t>
        </is>
      </c>
    </row>
    <row r="313">
      <c r="A313" t="inlineStr">
        <is>
          <t>No</t>
        </is>
      </c>
      <c r="B313" t="inlineStr">
        <is>
          <t>P57.U7 A23 1986</t>
        </is>
      </c>
      <c r="C313" t="inlineStr">
        <is>
          <t>0                      P  0057000U  7                  A  23          1986</t>
        </is>
      </c>
      <c r="D313" t="inlineStr">
        <is>
          <t>Academic preparation in foreign language : teaching for transition from high school to college.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College Entrance Examination Board, 1986.</t>
        </is>
      </c>
      <c r="M313" t="inlineStr">
        <is>
          <t>1986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P  </t>
        </is>
      </c>
      <c r="S313" t="n">
        <v>5</v>
      </c>
      <c r="T313" t="n">
        <v>5</v>
      </c>
      <c r="U313" t="inlineStr">
        <is>
          <t>2004-04-09</t>
        </is>
      </c>
      <c r="V313" t="inlineStr">
        <is>
          <t>2004-04-09</t>
        </is>
      </c>
      <c r="W313" t="inlineStr">
        <is>
          <t>1993-03-30</t>
        </is>
      </c>
      <c r="X313" t="inlineStr">
        <is>
          <t>1993-03-30</t>
        </is>
      </c>
      <c r="Y313" t="n">
        <v>325</v>
      </c>
      <c r="Z313" t="n">
        <v>312</v>
      </c>
      <c r="AA313" t="n">
        <v>319</v>
      </c>
      <c r="AB313" t="n">
        <v>6</v>
      </c>
      <c r="AC313" t="n">
        <v>6</v>
      </c>
      <c r="AD313" t="n">
        <v>11</v>
      </c>
      <c r="AE313" t="n">
        <v>11</v>
      </c>
      <c r="AF313" t="n">
        <v>4</v>
      </c>
      <c r="AG313" t="n">
        <v>4</v>
      </c>
      <c r="AH313" t="n">
        <v>0</v>
      </c>
      <c r="AI313" t="n">
        <v>0</v>
      </c>
      <c r="AJ313" t="n">
        <v>5</v>
      </c>
      <c r="AK313" t="n">
        <v>5</v>
      </c>
      <c r="AL313" t="n">
        <v>4</v>
      </c>
      <c r="AM313" t="n">
        <v>4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HYPERLINK("http://catalog.hathitrust.org/Record/009922778","HathiTrust Record")</f>
        <v/>
      </c>
      <c r="AS313">
        <f>HYPERLINK("https://creighton-primo.hosted.exlibrisgroup.com/primo-explore/search?tab=default_tab&amp;search_scope=EVERYTHING&amp;vid=01CRU&amp;lang=en_US&amp;offset=0&amp;query=any,contains,991000934689702656","Catalog Record")</f>
        <v/>
      </c>
      <c r="AT313">
        <f>HYPERLINK("http://www.worldcat.org/oclc/14357729","WorldCat Record")</f>
        <v/>
      </c>
      <c r="AU313" t="inlineStr">
        <is>
          <t>945096641:eng</t>
        </is>
      </c>
      <c r="AV313" t="inlineStr">
        <is>
          <t>14357729</t>
        </is>
      </c>
      <c r="AW313" t="inlineStr">
        <is>
          <t>991000934689702656</t>
        </is>
      </c>
      <c r="AX313" t="inlineStr">
        <is>
          <t>991000934689702656</t>
        </is>
      </c>
      <c r="AY313" t="inlineStr">
        <is>
          <t>2256093250002656</t>
        </is>
      </c>
      <c r="AZ313" t="inlineStr">
        <is>
          <t>BOOK</t>
        </is>
      </c>
      <c r="BB313" t="inlineStr">
        <is>
          <t>9780874472257</t>
        </is>
      </c>
      <c r="BC313" t="inlineStr">
        <is>
          <t>32285001611374</t>
        </is>
      </c>
      <c r="BD313" t="inlineStr">
        <is>
          <t>893891157</t>
        </is>
      </c>
    </row>
    <row r="314">
      <c r="A314" t="inlineStr">
        <is>
          <t>No</t>
        </is>
      </c>
      <c r="B314" t="inlineStr">
        <is>
          <t>P57.U7 S73 1996</t>
        </is>
      </c>
      <c r="C314" t="inlineStr">
        <is>
          <t>0                      P  0057000U  7                  S  73          1996</t>
        </is>
      </c>
      <c r="D314" t="inlineStr">
        <is>
          <t>Standards for foreign language learning : preparing for the 21st century.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Yonkers, NY : National Standards in Foreign Language Education Project, c1996.</t>
        </is>
      </c>
      <c r="M314" t="inlineStr">
        <is>
          <t>1996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P  </t>
        </is>
      </c>
      <c r="S314" t="n">
        <v>5</v>
      </c>
      <c r="T314" t="n">
        <v>5</v>
      </c>
      <c r="U314" t="inlineStr">
        <is>
          <t>2010-06-11</t>
        </is>
      </c>
      <c r="V314" t="inlineStr">
        <is>
          <t>2010-06-11</t>
        </is>
      </c>
      <c r="W314" t="inlineStr">
        <is>
          <t>1997-11-05</t>
        </is>
      </c>
      <c r="X314" t="inlineStr">
        <is>
          <t>1997-11-05</t>
        </is>
      </c>
      <c r="Y314" t="n">
        <v>52</v>
      </c>
      <c r="Z314" t="n">
        <v>47</v>
      </c>
      <c r="AA314" t="n">
        <v>54</v>
      </c>
      <c r="AB314" t="n">
        <v>1</v>
      </c>
      <c r="AC314" t="n">
        <v>1</v>
      </c>
      <c r="AD314" t="n">
        <v>2</v>
      </c>
      <c r="AE314" t="n">
        <v>2</v>
      </c>
      <c r="AF314" t="n">
        <v>2</v>
      </c>
      <c r="AG314" t="n">
        <v>2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HYPERLINK("https://creighton-primo.hosted.exlibrisgroup.com/primo-explore/search?tab=default_tab&amp;search_scope=EVERYTHING&amp;vid=01CRU&amp;lang=en_US&amp;offset=0&amp;query=any,contains,991002766789702656","Catalog Record")</f>
        <v/>
      </c>
      <c r="AT314">
        <f>HYPERLINK("http://www.worldcat.org/oclc/36307704","WorldCat Record")</f>
        <v/>
      </c>
      <c r="AU314" t="inlineStr">
        <is>
          <t>56144972:eng</t>
        </is>
      </c>
      <c r="AV314" t="inlineStr">
        <is>
          <t>36307704</t>
        </is>
      </c>
      <c r="AW314" t="inlineStr">
        <is>
          <t>991002766789702656</t>
        </is>
      </c>
      <c r="AX314" t="inlineStr">
        <is>
          <t>991002766789702656</t>
        </is>
      </c>
      <c r="AY314" t="inlineStr">
        <is>
          <t>2267271500002656</t>
        </is>
      </c>
      <c r="AZ314" t="inlineStr">
        <is>
          <t>BOOK</t>
        </is>
      </c>
      <c r="BB314" t="inlineStr">
        <is>
          <t>9780935868852</t>
        </is>
      </c>
      <c r="BC314" t="inlineStr">
        <is>
          <t>32285003276150</t>
        </is>
      </c>
      <c r="BD314" t="inlineStr">
        <is>
          <t>893434267</t>
        </is>
      </c>
    </row>
    <row r="315">
      <c r="A315" t="inlineStr">
        <is>
          <t>No</t>
        </is>
      </c>
      <c r="B315" t="inlineStr">
        <is>
          <t>P572 .G3613 1995</t>
        </is>
      </c>
      <c r="C315" t="inlineStr">
        <is>
          <t>0                      P  0572000G  3613        1995</t>
        </is>
      </c>
      <c r="D315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E315" t="inlineStr">
        <is>
          <t>V. 1</t>
        </is>
      </c>
      <c r="F315" t="inlineStr">
        <is>
          <t>Yes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Gamqreliże, Tʻamaz.</t>
        </is>
      </c>
      <c r="L315" t="inlineStr">
        <is>
          <t>Berlin ; New York : M. de Gruyter, 1995, c1994.</t>
        </is>
      </c>
      <c r="M315" t="inlineStr">
        <is>
          <t>1995</t>
        </is>
      </c>
      <c r="O315" t="inlineStr">
        <is>
          <t>eng</t>
        </is>
      </c>
      <c r="P315" t="inlineStr">
        <is>
          <t xml:space="preserve">gw </t>
        </is>
      </c>
      <c r="Q315" t="inlineStr">
        <is>
          <t>Trends in linguistics. Studies and monographs ; 80</t>
        </is>
      </c>
      <c r="R315" t="inlineStr">
        <is>
          <t xml:space="preserve">P  </t>
        </is>
      </c>
      <c r="S315" t="n">
        <v>1</v>
      </c>
      <c r="T315" t="n">
        <v>2</v>
      </c>
      <c r="U315" t="inlineStr">
        <is>
          <t>2006-05-09</t>
        </is>
      </c>
      <c r="V315" t="inlineStr">
        <is>
          <t>2006-05-09</t>
        </is>
      </c>
      <c r="W315" t="inlineStr">
        <is>
          <t>2006-03-08</t>
        </is>
      </c>
      <c r="X315" t="inlineStr">
        <is>
          <t>2006-05-09</t>
        </is>
      </c>
      <c r="Y315" t="n">
        <v>213</v>
      </c>
      <c r="Z315" t="n">
        <v>141</v>
      </c>
      <c r="AA315" t="n">
        <v>159</v>
      </c>
      <c r="AB315" t="n">
        <v>2</v>
      </c>
      <c r="AC315" t="n">
        <v>2</v>
      </c>
      <c r="AD315" t="n">
        <v>7</v>
      </c>
      <c r="AE315" t="n">
        <v>7</v>
      </c>
      <c r="AF315" t="n">
        <v>1</v>
      </c>
      <c r="AG315" t="n">
        <v>1</v>
      </c>
      <c r="AH315" t="n">
        <v>1</v>
      </c>
      <c r="AI315" t="n">
        <v>1</v>
      </c>
      <c r="AJ315" t="n">
        <v>5</v>
      </c>
      <c r="AK315" t="n">
        <v>5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HYPERLINK("http://catalog.hathitrust.org/Record/003997147","HathiTrust Record")</f>
        <v/>
      </c>
      <c r="AS315">
        <f>HYPERLINK("https://creighton-primo.hosted.exlibrisgroup.com/primo-explore/search?tab=default_tab&amp;search_scope=EVERYTHING&amp;vid=01CRU&amp;lang=en_US&amp;offset=0&amp;query=any,contains,991004763149702656","Catalog Record")</f>
        <v/>
      </c>
      <c r="AT315">
        <f>HYPERLINK("http://www.worldcat.org/oclc/31608214","WorldCat Record")</f>
        <v/>
      </c>
      <c r="AU315" t="inlineStr">
        <is>
          <t>2452897673:eng</t>
        </is>
      </c>
      <c r="AV315" t="inlineStr">
        <is>
          <t>31608214</t>
        </is>
      </c>
      <c r="AW315" t="inlineStr">
        <is>
          <t>991004763149702656</t>
        </is>
      </c>
      <c r="AX315" t="inlineStr">
        <is>
          <t>991004763149702656</t>
        </is>
      </c>
      <c r="AY315" t="inlineStr">
        <is>
          <t>2264343280002656</t>
        </is>
      </c>
      <c r="AZ315" t="inlineStr">
        <is>
          <t>BOOK</t>
        </is>
      </c>
      <c r="BB315" t="inlineStr">
        <is>
          <t>9783110096460</t>
        </is>
      </c>
      <c r="BC315" t="inlineStr">
        <is>
          <t>32285005185508</t>
        </is>
      </c>
      <c r="BD315" t="inlineStr">
        <is>
          <t>893332013</t>
        </is>
      </c>
    </row>
    <row r="316">
      <c r="A316" t="inlineStr">
        <is>
          <t>No</t>
        </is>
      </c>
      <c r="B316" t="inlineStr">
        <is>
          <t>P572 .G3613 1995</t>
        </is>
      </c>
      <c r="C316" t="inlineStr">
        <is>
          <t>0                      P  0572000G  3613        1995</t>
        </is>
      </c>
      <c r="D316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E316" t="inlineStr">
        <is>
          <t>V. 2</t>
        </is>
      </c>
      <c r="F316" t="inlineStr">
        <is>
          <t>Yes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Gamqreliże, Tʻamaz.</t>
        </is>
      </c>
      <c r="L316" t="inlineStr">
        <is>
          <t>Berlin ; New York : M. de Gruyter, 1995, c1994.</t>
        </is>
      </c>
      <c r="M316" t="inlineStr">
        <is>
          <t>1995</t>
        </is>
      </c>
      <c r="O316" t="inlineStr">
        <is>
          <t>eng</t>
        </is>
      </c>
      <c r="P316" t="inlineStr">
        <is>
          <t xml:space="preserve">gw </t>
        </is>
      </c>
      <c r="Q316" t="inlineStr">
        <is>
          <t>Trends in linguistics. Studies and monographs ; 80</t>
        </is>
      </c>
      <c r="R316" t="inlineStr">
        <is>
          <t xml:space="preserve">P  </t>
        </is>
      </c>
      <c r="S316" t="n">
        <v>1</v>
      </c>
      <c r="T316" t="n">
        <v>2</v>
      </c>
      <c r="U316" t="inlineStr">
        <is>
          <t>2006-05-09</t>
        </is>
      </c>
      <c r="V316" t="inlineStr">
        <is>
          <t>2006-05-09</t>
        </is>
      </c>
      <c r="W316" t="inlineStr">
        <is>
          <t>2006-05-09</t>
        </is>
      </c>
      <c r="X316" t="inlineStr">
        <is>
          <t>2006-05-09</t>
        </is>
      </c>
      <c r="Y316" t="n">
        <v>213</v>
      </c>
      <c r="Z316" t="n">
        <v>141</v>
      </c>
      <c r="AA316" t="n">
        <v>159</v>
      </c>
      <c r="AB316" t="n">
        <v>2</v>
      </c>
      <c r="AC316" t="n">
        <v>2</v>
      </c>
      <c r="AD316" t="n">
        <v>7</v>
      </c>
      <c r="AE316" t="n">
        <v>7</v>
      </c>
      <c r="AF316" t="n">
        <v>1</v>
      </c>
      <c r="AG316" t="n">
        <v>1</v>
      </c>
      <c r="AH316" t="n">
        <v>1</v>
      </c>
      <c r="AI316" t="n">
        <v>1</v>
      </c>
      <c r="AJ316" t="n">
        <v>5</v>
      </c>
      <c r="AK316" t="n">
        <v>5</v>
      </c>
      <c r="AL316" t="n">
        <v>1</v>
      </c>
      <c r="AM316" t="n">
        <v>1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HYPERLINK("http://catalog.hathitrust.org/Record/003997147","HathiTrust Record")</f>
        <v/>
      </c>
      <c r="AS316">
        <f>HYPERLINK("https://creighton-primo.hosted.exlibrisgroup.com/primo-explore/search?tab=default_tab&amp;search_scope=EVERYTHING&amp;vid=01CRU&amp;lang=en_US&amp;offset=0&amp;query=any,contains,991004763149702656","Catalog Record")</f>
        <v/>
      </c>
      <c r="AT316">
        <f>HYPERLINK("http://www.worldcat.org/oclc/31608214","WorldCat Record")</f>
        <v/>
      </c>
      <c r="AU316" t="inlineStr">
        <is>
          <t>2452897673:eng</t>
        </is>
      </c>
      <c r="AV316" t="inlineStr">
        <is>
          <t>31608214</t>
        </is>
      </c>
      <c r="AW316" t="inlineStr">
        <is>
          <t>991004763149702656</t>
        </is>
      </c>
      <c r="AX316" t="inlineStr">
        <is>
          <t>991004763149702656</t>
        </is>
      </c>
      <c r="AY316" t="inlineStr">
        <is>
          <t>2264343280002656</t>
        </is>
      </c>
      <c r="AZ316" t="inlineStr">
        <is>
          <t>BOOK</t>
        </is>
      </c>
      <c r="BB316" t="inlineStr">
        <is>
          <t>9783110096460</t>
        </is>
      </c>
      <c r="BC316" t="inlineStr">
        <is>
          <t>32285005185516</t>
        </is>
      </c>
      <c r="BD316" t="inlineStr">
        <is>
          <t>893350357</t>
        </is>
      </c>
    </row>
    <row r="317">
      <c r="A317" t="inlineStr">
        <is>
          <t>No</t>
        </is>
      </c>
      <c r="B317" t="inlineStr">
        <is>
          <t>P575 .H8</t>
        </is>
      </c>
      <c r="C317" t="inlineStr">
        <is>
          <t>0                      P  0575000H  8</t>
        </is>
      </c>
      <c r="D317" t="inlineStr">
        <is>
          <t>A short introduction to the study of comparative grammar (Indo-European)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Hudson-Williams, T. (Thomas), 1873-1961.</t>
        </is>
      </c>
      <c r="L317" t="inlineStr">
        <is>
          <t>Cardiff, The University of Wales Press Board, [1935]</t>
        </is>
      </c>
      <c r="M317" t="inlineStr">
        <is>
          <t>1935</t>
        </is>
      </c>
      <c r="O317" t="inlineStr">
        <is>
          <t>eng</t>
        </is>
      </c>
      <c r="P317" t="inlineStr">
        <is>
          <t xml:space="preserve">xx </t>
        </is>
      </c>
      <c r="R317" t="inlineStr">
        <is>
          <t xml:space="preserve">P  </t>
        </is>
      </c>
      <c r="S317" t="n">
        <v>5</v>
      </c>
      <c r="T317" t="n">
        <v>5</v>
      </c>
      <c r="U317" t="inlineStr">
        <is>
          <t>1999-03-24</t>
        </is>
      </c>
      <c r="V317" t="inlineStr">
        <is>
          <t>1999-03-24</t>
        </is>
      </c>
      <c r="W317" t="inlineStr">
        <is>
          <t>1997-08-19</t>
        </is>
      </c>
      <c r="X317" t="inlineStr">
        <is>
          <t>1997-08-19</t>
        </is>
      </c>
      <c r="Y317" t="n">
        <v>198</v>
      </c>
      <c r="Z317" t="n">
        <v>141</v>
      </c>
      <c r="AA317" t="n">
        <v>220</v>
      </c>
      <c r="AB317" t="n">
        <v>2</v>
      </c>
      <c r="AC317" t="n">
        <v>2</v>
      </c>
      <c r="AD317" t="n">
        <v>14</v>
      </c>
      <c r="AE317" t="n">
        <v>17</v>
      </c>
      <c r="AF317" t="n">
        <v>3</v>
      </c>
      <c r="AG317" t="n">
        <v>4</v>
      </c>
      <c r="AH317" t="n">
        <v>4</v>
      </c>
      <c r="AI317" t="n">
        <v>4</v>
      </c>
      <c r="AJ317" t="n">
        <v>11</v>
      </c>
      <c r="AK317" t="n">
        <v>14</v>
      </c>
      <c r="AL317" t="n">
        <v>1</v>
      </c>
      <c r="AM317" t="n">
        <v>1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HYPERLINK("http://catalog.hathitrust.org/Record/001435227","HathiTrust Record")</f>
        <v/>
      </c>
      <c r="AS317">
        <f>HYPERLINK("https://creighton-primo.hosted.exlibrisgroup.com/primo-explore/search?tab=default_tab&amp;search_scope=EVERYTHING&amp;vid=01CRU&amp;lang=en_US&amp;offset=0&amp;query=any,contains,991002904859702656","Catalog Record")</f>
        <v/>
      </c>
      <c r="AT317">
        <f>HYPERLINK("http://www.worldcat.org/oclc/518970","WorldCat Record")</f>
        <v/>
      </c>
      <c r="AU317" t="inlineStr">
        <is>
          <t>1510549:eng</t>
        </is>
      </c>
      <c r="AV317" t="inlineStr">
        <is>
          <t>518970</t>
        </is>
      </c>
      <c r="AW317" t="inlineStr">
        <is>
          <t>991002904859702656</t>
        </is>
      </c>
      <c r="AX317" t="inlineStr">
        <is>
          <t>991002904859702656</t>
        </is>
      </c>
      <c r="AY317" t="inlineStr">
        <is>
          <t>2256023890002656</t>
        </is>
      </c>
      <c r="AZ317" t="inlineStr">
        <is>
          <t>BOOK</t>
        </is>
      </c>
      <c r="BC317" t="inlineStr">
        <is>
          <t>32285003098299</t>
        </is>
      </c>
      <c r="BD317" t="inlineStr">
        <is>
          <t>893233584</t>
        </is>
      </c>
    </row>
    <row r="318">
      <c r="A318" t="inlineStr">
        <is>
          <t>No</t>
        </is>
      </c>
      <c r="B318" t="inlineStr">
        <is>
          <t>P575 .S913 1996</t>
        </is>
      </c>
      <c r="C318" t="inlineStr">
        <is>
          <t>0                      P  0575000S  913         1996</t>
        </is>
      </c>
      <c r="D318" t="inlineStr">
        <is>
          <t>Introduction to Indo-European linguistics / Oswald J.L. Szemerényi.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Szemerényi, Oswald, 1913-1996.</t>
        </is>
      </c>
      <c r="L318" t="inlineStr">
        <is>
          <t>Oxford : Clarendon Press ; New York : Oxford University Press, 1996.</t>
        </is>
      </c>
      <c r="M318" t="inlineStr">
        <is>
          <t>1996</t>
        </is>
      </c>
      <c r="N318" t="inlineStr">
        <is>
          <t>[Rev., enlarged, 5th ed.].</t>
        </is>
      </c>
      <c r="O318" t="inlineStr">
        <is>
          <t>eng</t>
        </is>
      </c>
      <c r="P318" t="inlineStr">
        <is>
          <t>enk</t>
        </is>
      </c>
      <c r="R318" t="inlineStr">
        <is>
          <t xml:space="preserve">P  </t>
        </is>
      </c>
      <c r="S318" t="n">
        <v>5</v>
      </c>
      <c r="T318" t="n">
        <v>5</v>
      </c>
      <c r="U318" t="inlineStr">
        <is>
          <t>2010-11-18</t>
        </is>
      </c>
      <c r="V318" t="inlineStr">
        <is>
          <t>2010-11-18</t>
        </is>
      </c>
      <c r="W318" t="inlineStr">
        <is>
          <t>1998-05-13</t>
        </is>
      </c>
      <c r="X318" t="inlineStr">
        <is>
          <t>1998-05-13</t>
        </is>
      </c>
      <c r="Y318" t="n">
        <v>160</v>
      </c>
      <c r="Z318" t="n">
        <v>114</v>
      </c>
      <c r="AA318" t="n">
        <v>148</v>
      </c>
      <c r="AB318" t="n">
        <v>2</v>
      </c>
      <c r="AC318" t="n">
        <v>2</v>
      </c>
      <c r="AD318" t="n">
        <v>6</v>
      </c>
      <c r="AE318" t="n">
        <v>7</v>
      </c>
      <c r="AF318" t="n">
        <v>2</v>
      </c>
      <c r="AG318" t="n">
        <v>2</v>
      </c>
      <c r="AH318" t="n">
        <v>2</v>
      </c>
      <c r="AI318" t="n">
        <v>3</v>
      </c>
      <c r="AJ318" t="n">
        <v>3</v>
      </c>
      <c r="AK318" t="n">
        <v>4</v>
      </c>
      <c r="AL318" t="n">
        <v>1</v>
      </c>
      <c r="AM318" t="n">
        <v>1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HYPERLINK("http://catalog.hathitrust.org/Record/003133514","HathiTrust Record")</f>
        <v/>
      </c>
      <c r="AS318">
        <f>HYPERLINK("https://creighton-primo.hosted.exlibrisgroup.com/primo-explore/search?tab=default_tab&amp;search_scope=EVERYTHING&amp;vid=01CRU&amp;lang=en_US&amp;offset=0&amp;query=any,contains,991002638619702656","Catalog Record")</f>
        <v/>
      </c>
      <c r="AT318">
        <f>HYPERLINK("http://www.worldcat.org/oclc/34548867","WorldCat Record")</f>
        <v/>
      </c>
      <c r="AU318" t="inlineStr">
        <is>
          <t>4785509:eng</t>
        </is>
      </c>
      <c r="AV318" t="inlineStr">
        <is>
          <t>34548867</t>
        </is>
      </c>
      <c r="AW318" t="inlineStr">
        <is>
          <t>991002638619702656</t>
        </is>
      </c>
      <c r="AX318" t="inlineStr">
        <is>
          <t>991002638619702656</t>
        </is>
      </c>
      <c r="AY318" t="inlineStr">
        <is>
          <t>2257035330002656</t>
        </is>
      </c>
      <c r="AZ318" t="inlineStr">
        <is>
          <t>BOOK</t>
        </is>
      </c>
      <c r="BB318" t="inlineStr">
        <is>
          <t>9780198240150</t>
        </is>
      </c>
      <c r="BC318" t="inlineStr">
        <is>
          <t>32285003409157</t>
        </is>
      </c>
      <c r="BD318" t="inlineStr">
        <is>
          <t>893517542</t>
        </is>
      </c>
    </row>
    <row r="319">
      <c r="A319" t="inlineStr">
        <is>
          <t>No</t>
        </is>
      </c>
      <c r="B319" t="inlineStr">
        <is>
          <t>P577 .L4</t>
        </is>
      </c>
      <c r="C319" t="inlineStr">
        <is>
          <t>0                      P  0577000L  4</t>
        </is>
      </c>
      <c r="D319" t="inlineStr">
        <is>
          <t>The Indo-European and Semitic languages; an exploration of structural similarities related to accent, chiefly in Greek, Sanskrit, and Hebrew.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Levin, Saul.</t>
        </is>
      </c>
      <c r="L319" t="inlineStr">
        <is>
          <t>Albany, State University of New York Press [1971]</t>
        </is>
      </c>
      <c r="M319" t="inlineStr">
        <is>
          <t>1971</t>
        </is>
      </c>
      <c r="O319" t="inlineStr">
        <is>
          <t>eng</t>
        </is>
      </c>
      <c r="P319" t="inlineStr">
        <is>
          <t>nyu</t>
        </is>
      </c>
      <c r="R319" t="inlineStr">
        <is>
          <t xml:space="preserve">P  </t>
        </is>
      </c>
      <c r="S319" t="n">
        <v>2</v>
      </c>
      <c r="T319" t="n">
        <v>2</v>
      </c>
      <c r="U319" t="inlineStr">
        <is>
          <t>1999-01-27</t>
        </is>
      </c>
      <c r="V319" t="inlineStr">
        <is>
          <t>1999-01-27</t>
        </is>
      </c>
      <c r="W319" t="inlineStr">
        <is>
          <t>1997-08-19</t>
        </is>
      </c>
      <c r="X319" t="inlineStr">
        <is>
          <t>1997-08-19</t>
        </is>
      </c>
      <c r="Y319" t="n">
        <v>378</v>
      </c>
      <c r="Z319" t="n">
        <v>329</v>
      </c>
      <c r="AA319" t="n">
        <v>330</v>
      </c>
      <c r="AB319" t="n">
        <v>2</v>
      </c>
      <c r="AC319" t="n">
        <v>2</v>
      </c>
      <c r="AD319" t="n">
        <v>12</v>
      </c>
      <c r="AE319" t="n">
        <v>12</v>
      </c>
      <c r="AF319" t="n">
        <v>2</v>
      </c>
      <c r="AG319" t="n">
        <v>2</v>
      </c>
      <c r="AH319" t="n">
        <v>4</v>
      </c>
      <c r="AI319" t="n">
        <v>4</v>
      </c>
      <c r="AJ319" t="n">
        <v>9</v>
      </c>
      <c r="AK319" t="n">
        <v>9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HYPERLINK("https://creighton-primo.hosted.exlibrisgroup.com/primo-explore/search?tab=default_tab&amp;search_scope=EVERYTHING&amp;vid=01CRU&amp;lang=en_US&amp;offset=0&amp;query=any,contains,991000772209702656","Catalog Record")</f>
        <v/>
      </c>
      <c r="AT319">
        <f>HYPERLINK("http://www.worldcat.org/oclc/131314","WorldCat Record")</f>
        <v/>
      </c>
      <c r="AU319" t="inlineStr">
        <is>
          <t>3943286616:eng</t>
        </is>
      </c>
      <c r="AV319" t="inlineStr">
        <is>
          <t>131314</t>
        </is>
      </c>
      <c r="AW319" t="inlineStr">
        <is>
          <t>991000772209702656</t>
        </is>
      </c>
      <c r="AX319" t="inlineStr">
        <is>
          <t>991000772209702656</t>
        </is>
      </c>
      <c r="AY319" t="inlineStr">
        <is>
          <t>2255384170002656</t>
        </is>
      </c>
      <c r="AZ319" t="inlineStr">
        <is>
          <t>BOOK</t>
        </is>
      </c>
      <c r="BB319" t="inlineStr">
        <is>
          <t>9780873950558</t>
        </is>
      </c>
      <c r="BC319" t="inlineStr">
        <is>
          <t>32285003098307</t>
        </is>
      </c>
      <c r="BD319" t="inlineStr">
        <is>
          <t>893502790</t>
        </is>
      </c>
    </row>
    <row r="320">
      <c r="A320" t="inlineStr">
        <is>
          <t>No</t>
        </is>
      </c>
      <c r="B320" t="inlineStr">
        <is>
          <t>P60 .M43 2001</t>
        </is>
      </c>
      <c r="C320" t="inlineStr">
        <is>
          <t>0                      P  0060000M  43          2001</t>
        </is>
      </c>
      <c r="D320" t="inlineStr">
        <is>
          <t>Media occupations and professions : a reader / edited by Jeremy Tunstall.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Oxford [England] ; New York : Oxford University Press, 2001.</t>
        </is>
      </c>
      <c r="M320" t="inlineStr">
        <is>
          <t>2001</t>
        </is>
      </c>
      <c r="O320" t="inlineStr">
        <is>
          <t>eng</t>
        </is>
      </c>
      <c r="P320" t="inlineStr">
        <is>
          <t>enk</t>
        </is>
      </c>
      <c r="Q320" t="inlineStr">
        <is>
          <t>Oxford readers in media and communication</t>
        </is>
      </c>
      <c r="R320" t="inlineStr">
        <is>
          <t xml:space="preserve">P  </t>
        </is>
      </c>
      <c r="S320" t="n">
        <v>3</v>
      </c>
      <c r="T320" t="n">
        <v>3</v>
      </c>
      <c r="U320" t="inlineStr">
        <is>
          <t>2004-03-31</t>
        </is>
      </c>
      <c r="V320" t="inlineStr">
        <is>
          <t>2004-03-31</t>
        </is>
      </c>
      <c r="W320" t="inlineStr">
        <is>
          <t>2002-01-08</t>
        </is>
      </c>
      <c r="X320" t="inlineStr">
        <is>
          <t>2002-01-08</t>
        </is>
      </c>
      <c r="Y320" t="n">
        <v>235</v>
      </c>
      <c r="Z320" t="n">
        <v>156</v>
      </c>
      <c r="AA320" t="n">
        <v>161</v>
      </c>
      <c r="AB320" t="n">
        <v>2</v>
      </c>
      <c r="AC320" t="n">
        <v>2</v>
      </c>
      <c r="AD320" t="n">
        <v>7</v>
      </c>
      <c r="AE320" t="n">
        <v>7</v>
      </c>
      <c r="AF320" t="n">
        <v>2</v>
      </c>
      <c r="AG320" t="n">
        <v>2</v>
      </c>
      <c r="AH320" t="n">
        <v>2</v>
      </c>
      <c r="AI320" t="n">
        <v>2</v>
      </c>
      <c r="AJ320" t="n">
        <v>4</v>
      </c>
      <c r="AK320" t="n">
        <v>4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HYPERLINK("https://creighton-primo.hosted.exlibrisgroup.com/primo-explore/search?tab=default_tab&amp;search_scope=EVERYTHING&amp;vid=01CRU&amp;lang=en_US&amp;offset=0&amp;query=any,contains,991003691549702656","Catalog Record")</f>
        <v/>
      </c>
      <c r="AT320">
        <f>HYPERLINK("http://www.worldcat.org/oclc/45505991","WorldCat Record")</f>
        <v/>
      </c>
      <c r="AU320" t="inlineStr">
        <is>
          <t>793257193:eng</t>
        </is>
      </c>
      <c r="AV320" t="inlineStr">
        <is>
          <t>45505991</t>
        </is>
      </c>
      <c r="AW320" t="inlineStr">
        <is>
          <t>991003691549702656</t>
        </is>
      </c>
      <c r="AX320" t="inlineStr">
        <is>
          <t>991003691549702656</t>
        </is>
      </c>
      <c r="AY320" t="inlineStr">
        <is>
          <t>2263776680002656</t>
        </is>
      </c>
      <c r="AZ320" t="inlineStr">
        <is>
          <t>BOOK</t>
        </is>
      </c>
      <c r="BB320" t="inlineStr">
        <is>
          <t>9780198742463</t>
        </is>
      </c>
      <c r="BC320" t="inlineStr">
        <is>
          <t>32285004446646</t>
        </is>
      </c>
      <c r="BD320" t="inlineStr">
        <is>
          <t>893535579</t>
        </is>
      </c>
    </row>
    <row r="321">
      <c r="A321" t="inlineStr">
        <is>
          <t>No</t>
        </is>
      </c>
      <c r="B321" t="inlineStr">
        <is>
          <t>P671 .L4</t>
        </is>
      </c>
      <c r="C321" t="inlineStr">
        <is>
          <t>0                      P  0671000L  4</t>
        </is>
      </c>
      <c r="D321" t="inlineStr">
        <is>
          <t>Proto-Indo-European syntax, by Winfred P. Lehmann.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Lehmann, Winfred P. (Winfred Philipp), 1916-2007.</t>
        </is>
      </c>
      <c r="L321" t="inlineStr">
        <is>
          <t>Austin, University of Texas Press [1974]</t>
        </is>
      </c>
      <c r="M321" t="inlineStr">
        <is>
          <t>1974</t>
        </is>
      </c>
      <c r="O321" t="inlineStr">
        <is>
          <t>eng</t>
        </is>
      </c>
      <c r="P321" t="inlineStr">
        <is>
          <t>txu</t>
        </is>
      </c>
      <c r="R321" t="inlineStr">
        <is>
          <t xml:space="preserve">P  </t>
        </is>
      </c>
      <c r="S321" t="n">
        <v>4</v>
      </c>
      <c r="T321" t="n">
        <v>4</v>
      </c>
      <c r="U321" t="inlineStr">
        <is>
          <t>1999-03-24</t>
        </is>
      </c>
      <c r="V321" t="inlineStr">
        <is>
          <t>1999-03-24</t>
        </is>
      </c>
      <c r="W321" t="inlineStr">
        <is>
          <t>1997-08-19</t>
        </is>
      </c>
      <c r="X321" t="inlineStr">
        <is>
          <t>1997-08-19</t>
        </is>
      </c>
      <c r="Y321" t="n">
        <v>473</v>
      </c>
      <c r="Z321" t="n">
        <v>353</v>
      </c>
      <c r="AA321" t="n">
        <v>355</v>
      </c>
      <c r="AB321" t="n">
        <v>4</v>
      </c>
      <c r="AC321" t="n">
        <v>4</v>
      </c>
      <c r="AD321" t="n">
        <v>19</v>
      </c>
      <c r="AE321" t="n">
        <v>19</v>
      </c>
      <c r="AF321" t="n">
        <v>4</v>
      </c>
      <c r="AG321" t="n">
        <v>4</v>
      </c>
      <c r="AH321" t="n">
        <v>5</v>
      </c>
      <c r="AI321" t="n">
        <v>5</v>
      </c>
      <c r="AJ321" t="n">
        <v>12</v>
      </c>
      <c r="AK321" t="n">
        <v>12</v>
      </c>
      <c r="AL321" t="n">
        <v>3</v>
      </c>
      <c r="AM321" t="n">
        <v>3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HYPERLINK("http://catalog.hathitrust.org/Record/001435262","HathiTrust Record")</f>
        <v/>
      </c>
      <c r="AS321">
        <f>HYPERLINK("https://creighton-primo.hosted.exlibrisgroup.com/primo-explore/search?tab=default_tab&amp;search_scope=EVERYTHING&amp;vid=01CRU&amp;lang=en_US&amp;offset=0&amp;query=any,contains,991003386589702656","Catalog Record")</f>
        <v/>
      </c>
      <c r="AT321">
        <f>HYPERLINK("http://www.worldcat.org/oclc/922888","WorldCat Record")</f>
        <v/>
      </c>
      <c r="AU321" t="inlineStr">
        <is>
          <t>460700682:eng</t>
        </is>
      </c>
      <c r="AV321" t="inlineStr">
        <is>
          <t>922888</t>
        </is>
      </c>
      <c r="AW321" t="inlineStr">
        <is>
          <t>991003386589702656</t>
        </is>
      </c>
      <c r="AX321" t="inlineStr">
        <is>
          <t>991003386589702656</t>
        </is>
      </c>
      <c r="AY321" t="inlineStr">
        <is>
          <t>2264891410002656</t>
        </is>
      </c>
      <c r="AZ321" t="inlineStr">
        <is>
          <t>BOOK</t>
        </is>
      </c>
      <c r="BB321" t="inlineStr">
        <is>
          <t>9780292764194</t>
        </is>
      </c>
      <c r="BC321" t="inlineStr">
        <is>
          <t>32285003098315</t>
        </is>
      </c>
      <c r="BD321" t="inlineStr">
        <is>
          <t>893348635</t>
        </is>
      </c>
    </row>
    <row r="322">
      <c r="A322" t="inlineStr">
        <is>
          <t>No</t>
        </is>
      </c>
      <c r="B322" t="inlineStr">
        <is>
          <t>P77 .H34 1965</t>
        </is>
      </c>
      <c r="C322" t="inlineStr">
        <is>
          <t>0                      P  0077000H  34          1965</t>
        </is>
      </c>
      <c r="D322" t="inlineStr">
        <is>
          <t>The linguistic sciences and language teaching, by M.A.K. Halliday, Angus McIntosh [and] Peter Strevens.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Halliday, M. A. K. (Michael Alexander Kirkwood), 1925-</t>
        </is>
      </c>
      <c r="L322" t="inlineStr">
        <is>
          <t>Bloomington, Indiana University Press [1965,c1964]</t>
        </is>
      </c>
      <c r="M322" t="inlineStr">
        <is>
          <t>1965</t>
        </is>
      </c>
      <c r="O322" t="inlineStr">
        <is>
          <t>eng</t>
        </is>
      </c>
      <c r="P322" t="inlineStr">
        <is>
          <t>inu</t>
        </is>
      </c>
      <c r="Q322" t="inlineStr">
        <is>
          <t>Indiana University studies in the history and theory of linguistics</t>
        </is>
      </c>
      <c r="R322" t="inlineStr">
        <is>
          <t xml:space="preserve">P  </t>
        </is>
      </c>
      <c r="S322" t="n">
        <v>1</v>
      </c>
      <c r="T322" t="n">
        <v>1</v>
      </c>
      <c r="U322" t="inlineStr">
        <is>
          <t>2005-11-12</t>
        </is>
      </c>
      <c r="V322" t="inlineStr">
        <is>
          <t>2005-11-12</t>
        </is>
      </c>
      <c r="W322" t="inlineStr">
        <is>
          <t>1997-08-11</t>
        </is>
      </c>
      <c r="X322" t="inlineStr">
        <is>
          <t>1997-08-11</t>
        </is>
      </c>
      <c r="Y322" t="n">
        <v>518</v>
      </c>
      <c r="Z322" t="n">
        <v>495</v>
      </c>
      <c r="AA322" t="n">
        <v>597</v>
      </c>
      <c r="AB322" t="n">
        <v>7</v>
      </c>
      <c r="AC322" t="n">
        <v>7</v>
      </c>
      <c r="AD322" t="n">
        <v>29</v>
      </c>
      <c r="AE322" t="n">
        <v>31</v>
      </c>
      <c r="AF322" t="n">
        <v>10</v>
      </c>
      <c r="AG322" t="n">
        <v>11</v>
      </c>
      <c r="AH322" t="n">
        <v>6</v>
      </c>
      <c r="AI322" t="n">
        <v>6</v>
      </c>
      <c r="AJ322" t="n">
        <v>16</v>
      </c>
      <c r="AK322" t="n">
        <v>17</v>
      </c>
      <c r="AL322" t="n">
        <v>6</v>
      </c>
      <c r="AM322" t="n">
        <v>6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HYPERLINK("http://catalog.hathitrust.org/Record/001898710","HathiTrust Record")</f>
        <v/>
      </c>
      <c r="AS322">
        <f>HYPERLINK("https://creighton-primo.hosted.exlibrisgroup.com/primo-explore/search?tab=default_tab&amp;search_scope=EVERYTHING&amp;vid=01CRU&amp;lang=en_US&amp;offset=0&amp;query=any,contains,991000947989702656","Catalog Record")</f>
        <v/>
      </c>
      <c r="AT322">
        <f>HYPERLINK("http://www.worldcat.org/oclc/167425","WorldCat Record")</f>
        <v/>
      </c>
      <c r="AU322" t="inlineStr">
        <is>
          <t>1287414:eng</t>
        </is>
      </c>
      <c r="AV322" t="inlineStr">
        <is>
          <t>167425</t>
        </is>
      </c>
      <c r="AW322" t="inlineStr">
        <is>
          <t>991000947989702656</t>
        </is>
      </c>
      <c r="AX322" t="inlineStr">
        <is>
          <t>991000947989702656</t>
        </is>
      </c>
      <c r="AY322" t="inlineStr">
        <is>
          <t>2272322310002656</t>
        </is>
      </c>
      <c r="AZ322" t="inlineStr">
        <is>
          <t>BOOK</t>
        </is>
      </c>
      <c r="BC322" t="inlineStr">
        <is>
          <t>32285003049375</t>
        </is>
      </c>
      <c r="BD322" t="inlineStr">
        <is>
          <t>893865822</t>
        </is>
      </c>
    </row>
    <row r="323">
      <c r="A323" t="inlineStr">
        <is>
          <t>No</t>
        </is>
      </c>
      <c r="B323" t="inlineStr">
        <is>
          <t>P81.G7 L3 1968</t>
        </is>
      </c>
      <c r="C323" t="inlineStr">
        <is>
          <t>0                      P  0081000G  7                  L  3           1968</t>
        </is>
      </c>
      <c r="D323" t="inlineStr">
        <is>
          <t>The London school of linguistics; a study of the linguistic theories of B. Malinowski and J. R. Firth [by] D. Terence Langendoen.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Langendoen, D. Terence.</t>
        </is>
      </c>
      <c r="L323" t="inlineStr">
        <is>
          <t>Cambridge, Mass., M.I.T. Press [1968]</t>
        </is>
      </c>
      <c r="M323" t="inlineStr">
        <is>
          <t>1968</t>
        </is>
      </c>
      <c r="O323" t="inlineStr">
        <is>
          <t>eng</t>
        </is>
      </c>
      <c r="P323" t="inlineStr">
        <is>
          <t>mau</t>
        </is>
      </c>
      <c r="Q323" t="inlineStr">
        <is>
          <t>M.I.T. research monograph no. 46</t>
        </is>
      </c>
      <c r="R323" t="inlineStr">
        <is>
          <t xml:space="preserve">P  </t>
        </is>
      </c>
      <c r="S323" t="n">
        <v>2</v>
      </c>
      <c r="T323" t="n">
        <v>2</v>
      </c>
      <c r="U323" t="inlineStr">
        <is>
          <t>2006-04-02</t>
        </is>
      </c>
      <c r="V323" t="inlineStr">
        <is>
          <t>2006-04-02</t>
        </is>
      </c>
      <c r="W323" t="inlineStr">
        <is>
          <t>1997-08-11</t>
        </is>
      </c>
      <c r="X323" t="inlineStr">
        <is>
          <t>1997-08-11</t>
        </is>
      </c>
      <c r="Y323" t="n">
        <v>559</v>
      </c>
      <c r="Z323" t="n">
        <v>396</v>
      </c>
      <c r="AA323" t="n">
        <v>405</v>
      </c>
      <c r="AB323" t="n">
        <v>3</v>
      </c>
      <c r="AC323" t="n">
        <v>3</v>
      </c>
      <c r="AD323" t="n">
        <v>19</v>
      </c>
      <c r="AE323" t="n">
        <v>19</v>
      </c>
      <c r="AF323" t="n">
        <v>5</v>
      </c>
      <c r="AG323" t="n">
        <v>5</v>
      </c>
      <c r="AH323" t="n">
        <v>5</v>
      </c>
      <c r="AI323" t="n">
        <v>5</v>
      </c>
      <c r="AJ323" t="n">
        <v>12</v>
      </c>
      <c r="AK323" t="n">
        <v>12</v>
      </c>
      <c r="AL323" t="n">
        <v>2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HYPERLINK("http://catalog.hathitrust.org/Record/001434828","HathiTrust Record")</f>
        <v/>
      </c>
      <c r="AS323">
        <f>HYPERLINK("https://creighton-primo.hosted.exlibrisgroup.com/primo-explore/search?tab=default_tab&amp;search_scope=EVERYTHING&amp;vid=01CRU&amp;lang=en_US&amp;offset=0&amp;query=any,contains,991001781379702656","Catalog Record")</f>
        <v/>
      </c>
      <c r="AT323">
        <f>HYPERLINK("http://www.worldcat.org/oclc/236560","WorldCat Record")</f>
        <v/>
      </c>
      <c r="AU323" t="inlineStr">
        <is>
          <t>871564851:eng</t>
        </is>
      </c>
      <c r="AV323" t="inlineStr">
        <is>
          <t>236560</t>
        </is>
      </c>
      <c r="AW323" t="inlineStr">
        <is>
          <t>991001781379702656</t>
        </is>
      </c>
      <c r="AX323" t="inlineStr">
        <is>
          <t>991001781379702656</t>
        </is>
      </c>
      <c r="AY323" t="inlineStr">
        <is>
          <t>2257578600002656</t>
        </is>
      </c>
      <c r="AZ323" t="inlineStr">
        <is>
          <t>BOOK</t>
        </is>
      </c>
      <c r="BC323" t="inlineStr">
        <is>
          <t>32285003049409</t>
        </is>
      </c>
      <c r="BD323" t="inlineStr">
        <is>
          <t>893721146</t>
        </is>
      </c>
    </row>
    <row r="324">
      <c r="A324" t="inlineStr">
        <is>
          <t>No</t>
        </is>
      </c>
      <c r="B324" t="inlineStr">
        <is>
          <t>P85.B22 B35 1986</t>
        </is>
      </c>
      <c r="C324" t="inlineStr">
        <is>
          <t>0                      P  0085000B  22                 B  35          1986</t>
        </is>
      </c>
      <c r="D324" t="inlineStr">
        <is>
          <t>Bakhtin, essays and dialogues on his work / edited by Gary Saul Morson.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Chicago : University of Chicago Press, 1986.</t>
        </is>
      </c>
      <c r="M324" t="inlineStr">
        <is>
          <t>1986</t>
        </is>
      </c>
      <c r="O324" t="inlineStr">
        <is>
          <t>eng</t>
        </is>
      </c>
      <c r="P324" t="inlineStr">
        <is>
          <t>ilu</t>
        </is>
      </c>
      <c r="R324" t="inlineStr">
        <is>
          <t xml:space="preserve">P  </t>
        </is>
      </c>
      <c r="S324" t="n">
        <v>3</v>
      </c>
      <c r="T324" t="n">
        <v>3</v>
      </c>
      <c r="U324" t="inlineStr">
        <is>
          <t>2002-11-01</t>
        </is>
      </c>
      <c r="V324" t="inlineStr">
        <is>
          <t>2002-11-01</t>
        </is>
      </c>
      <c r="W324" t="inlineStr">
        <is>
          <t>1991-04-29</t>
        </is>
      </c>
      <c r="X324" t="inlineStr">
        <is>
          <t>1991-04-29</t>
        </is>
      </c>
      <c r="Y324" t="n">
        <v>439</v>
      </c>
      <c r="Z324" t="n">
        <v>322</v>
      </c>
      <c r="AA324" t="n">
        <v>323</v>
      </c>
      <c r="AB324" t="n">
        <v>4</v>
      </c>
      <c r="AC324" t="n">
        <v>4</v>
      </c>
      <c r="AD324" t="n">
        <v>21</v>
      </c>
      <c r="AE324" t="n">
        <v>21</v>
      </c>
      <c r="AF324" t="n">
        <v>9</v>
      </c>
      <c r="AG324" t="n">
        <v>9</v>
      </c>
      <c r="AH324" t="n">
        <v>6</v>
      </c>
      <c r="AI324" t="n">
        <v>6</v>
      </c>
      <c r="AJ324" t="n">
        <v>10</v>
      </c>
      <c r="AK324" t="n">
        <v>10</v>
      </c>
      <c r="AL324" t="n">
        <v>3</v>
      </c>
      <c r="AM324" t="n">
        <v>3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HYPERLINK("http://catalog.hathitrust.org/Record/000945630","HathiTrust Record")</f>
        <v/>
      </c>
      <c r="AS324">
        <f>HYPERLINK("https://creighton-primo.hosted.exlibrisgroup.com/primo-explore/search?tab=default_tab&amp;search_scope=EVERYTHING&amp;vid=01CRU&amp;lang=en_US&amp;offset=0&amp;query=any,contains,991000741399702656","Catalog Record")</f>
        <v/>
      </c>
      <c r="AT324">
        <f>HYPERLINK("http://www.worldcat.org/oclc/12808703","WorldCat Record")</f>
        <v/>
      </c>
      <c r="AU324" t="inlineStr">
        <is>
          <t>54760648:eng</t>
        </is>
      </c>
      <c r="AV324" t="inlineStr">
        <is>
          <t>12808703</t>
        </is>
      </c>
      <c r="AW324" t="inlineStr">
        <is>
          <t>991000741399702656</t>
        </is>
      </c>
      <c r="AX324" t="inlineStr">
        <is>
          <t>991000741399702656</t>
        </is>
      </c>
      <c r="AY324" t="inlineStr">
        <is>
          <t>2257292930002656</t>
        </is>
      </c>
      <c r="AZ324" t="inlineStr">
        <is>
          <t>BOOK</t>
        </is>
      </c>
      <c r="BB324" t="inlineStr">
        <is>
          <t>9780226541327</t>
        </is>
      </c>
      <c r="BC324" t="inlineStr">
        <is>
          <t>32285005054977</t>
        </is>
      </c>
      <c r="BD324" t="inlineStr">
        <is>
          <t>893708685</t>
        </is>
      </c>
    </row>
    <row r="325">
      <c r="A325" t="inlineStr">
        <is>
          <t>No</t>
        </is>
      </c>
      <c r="B325" t="inlineStr">
        <is>
          <t>P85.B33 C2913 1995</t>
        </is>
      </c>
      <c r="C325" t="inlineStr">
        <is>
          <t>0                      P  0085000B  33                 C  2913        1995</t>
        </is>
      </c>
      <c r="D325" t="inlineStr">
        <is>
          <t>Roland Barthes : a biography / Louis-Jean Calvet ; translated by Sarah Wykes.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Calvet, Louis-Jean, 1942-</t>
        </is>
      </c>
      <c r="L325" t="inlineStr">
        <is>
          <t>Bloomington : Indiana University Press, 1995.</t>
        </is>
      </c>
      <c r="M325" t="inlineStr">
        <is>
          <t>1995</t>
        </is>
      </c>
      <c r="O325" t="inlineStr">
        <is>
          <t>eng</t>
        </is>
      </c>
      <c r="P325" t="inlineStr">
        <is>
          <t>inu</t>
        </is>
      </c>
      <c r="R325" t="inlineStr">
        <is>
          <t xml:space="preserve">P  </t>
        </is>
      </c>
      <c r="S325" t="n">
        <v>4</v>
      </c>
      <c r="T325" t="n">
        <v>4</v>
      </c>
      <c r="U325" t="inlineStr">
        <is>
          <t>1999-10-28</t>
        </is>
      </c>
      <c r="V325" t="inlineStr">
        <is>
          <t>1999-10-28</t>
        </is>
      </c>
      <c r="W325" t="inlineStr">
        <is>
          <t>1996-03-29</t>
        </is>
      </c>
      <c r="X325" t="inlineStr">
        <is>
          <t>1996-03-29</t>
        </is>
      </c>
      <c r="Y325" t="n">
        <v>472</v>
      </c>
      <c r="Z325" t="n">
        <v>410</v>
      </c>
      <c r="AA325" t="n">
        <v>442</v>
      </c>
      <c r="AB325" t="n">
        <v>3</v>
      </c>
      <c r="AC325" t="n">
        <v>3</v>
      </c>
      <c r="AD325" t="n">
        <v>24</v>
      </c>
      <c r="AE325" t="n">
        <v>25</v>
      </c>
      <c r="AF325" t="n">
        <v>7</v>
      </c>
      <c r="AG325" t="n">
        <v>7</v>
      </c>
      <c r="AH325" t="n">
        <v>8</v>
      </c>
      <c r="AI325" t="n">
        <v>9</v>
      </c>
      <c r="AJ325" t="n">
        <v>15</v>
      </c>
      <c r="AK325" t="n">
        <v>16</v>
      </c>
      <c r="AL325" t="n">
        <v>2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HYPERLINK("https://creighton-primo.hosted.exlibrisgroup.com/primo-explore/search?tab=default_tab&amp;search_scope=EVERYTHING&amp;vid=01CRU&amp;lang=en_US&amp;offset=0&amp;query=any,contains,991002406509702656","Catalog Record")</f>
        <v/>
      </c>
      <c r="AT325">
        <f>HYPERLINK("http://www.worldcat.org/oclc/31295073","WorldCat Record")</f>
        <v/>
      </c>
      <c r="AU325" t="inlineStr">
        <is>
          <t>4494985707:eng</t>
        </is>
      </c>
      <c r="AV325" t="inlineStr">
        <is>
          <t>31295073</t>
        </is>
      </c>
      <c r="AW325" t="inlineStr">
        <is>
          <t>991002406509702656</t>
        </is>
      </c>
      <c r="AX325" t="inlineStr">
        <is>
          <t>991002406509702656</t>
        </is>
      </c>
      <c r="AY325" t="inlineStr">
        <is>
          <t>2268057410002656</t>
        </is>
      </c>
      <c r="AZ325" t="inlineStr">
        <is>
          <t>BOOK</t>
        </is>
      </c>
      <c r="BB325" t="inlineStr">
        <is>
          <t>9780253349873</t>
        </is>
      </c>
      <c r="BC325" t="inlineStr">
        <is>
          <t>32285002148475</t>
        </is>
      </c>
      <c r="BD325" t="inlineStr">
        <is>
          <t>893792423</t>
        </is>
      </c>
    </row>
    <row r="326">
      <c r="A326" t="inlineStr">
        <is>
          <t>No</t>
        </is>
      </c>
      <c r="B326" t="inlineStr">
        <is>
          <t>P85.B33 W5 1989</t>
        </is>
      </c>
      <c r="C326" t="inlineStr">
        <is>
          <t>0                      P  0085000B  33                 W  5           1989</t>
        </is>
      </c>
      <c r="D326" t="inlineStr">
        <is>
          <t>The ecstasies of Roland Barthes / Mary Bittner Wiseman.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Wiseman, Mary Bittner.</t>
        </is>
      </c>
      <c r="L326" t="inlineStr">
        <is>
          <t>London ; New York : Routledge, 1989.</t>
        </is>
      </c>
      <c r="M326" t="inlineStr">
        <is>
          <t>1989</t>
        </is>
      </c>
      <c r="O326" t="inlineStr">
        <is>
          <t>eng</t>
        </is>
      </c>
      <c r="P326" t="inlineStr">
        <is>
          <t>enk</t>
        </is>
      </c>
      <c r="Q326" t="inlineStr">
        <is>
          <t>Critics of the twentieth century</t>
        </is>
      </c>
      <c r="R326" t="inlineStr">
        <is>
          <t xml:space="preserve">P  </t>
        </is>
      </c>
      <c r="S326" t="n">
        <v>3</v>
      </c>
      <c r="T326" t="n">
        <v>3</v>
      </c>
      <c r="U326" t="inlineStr">
        <is>
          <t>2003-11-29</t>
        </is>
      </c>
      <c r="V326" t="inlineStr">
        <is>
          <t>2003-11-29</t>
        </is>
      </c>
      <c r="W326" t="inlineStr">
        <is>
          <t>1990-05-04</t>
        </is>
      </c>
      <c r="X326" t="inlineStr">
        <is>
          <t>1990-05-04</t>
        </is>
      </c>
      <c r="Y326" t="n">
        <v>376</v>
      </c>
      <c r="Z326" t="n">
        <v>215</v>
      </c>
      <c r="AA326" t="n">
        <v>242</v>
      </c>
      <c r="AB326" t="n">
        <v>2</v>
      </c>
      <c r="AC326" t="n">
        <v>2</v>
      </c>
      <c r="AD326" t="n">
        <v>13</v>
      </c>
      <c r="AE326" t="n">
        <v>13</v>
      </c>
      <c r="AF326" t="n">
        <v>4</v>
      </c>
      <c r="AG326" t="n">
        <v>4</v>
      </c>
      <c r="AH326" t="n">
        <v>5</v>
      </c>
      <c r="AI326" t="n">
        <v>5</v>
      </c>
      <c r="AJ326" t="n">
        <v>9</v>
      </c>
      <c r="AK326" t="n">
        <v>9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HYPERLINK("https://creighton-primo.hosted.exlibrisgroup.com/primo-explore/search?tab=default_tab&amp;search_scope=EVERYTHING&amp;vid=01CRU&amp;lang=en_US&amp;offset=0&amp;query=any,contains,991001328509702656","Catalog Record")</f>
        <v/>
      </c>
      <c r="AT326">
        <f>HYPERLINK("http://www.worldcat.org/oclc/18291999","WorldCat Record")</f>
        <v/>
      </c>
      <c r="AU326" t="inlineStr">
        <is>
          <t>17945740:eng</t>
        </is>
      </c>
      <c r="AV326" t="inlineStr">
        <is>
          <t>18291999</t>
        </is>
      </c>
      <c r="AW326" t="inlineStr">
        <is>
          <t>991001328509702656</t>
        </is>
      </c>
      <c r="AX326" t="inlineStr">
        <is>
          <t>991001328509702656</t>
        </is>
      </c>
      <c r="AY326" t="inlineStr">
        <is>
          <t>2264565740002656</t>
        </is>
      </c>
      <c r="AZ326" t="inlineStr">
        <is>
          <t>BOOK</t>
        </is>
      </c>
      <c r="BB326" t="inlineStr">
        <is>
          <t>9780415010580</t>
        </is>
      </c>
      <c r="BC326" t="inlineStr">
        <is>
          <t>32285000119551</t>
        </is>
      </c>
      <c r="BD326" t="inlineStr">
        <is>
          <t>893250162</t>
        </is>
      </c>
    </row>
    <row r="327">
      <c r="A327" t="inlineStr">
        <is>
          <t>No</t>
        </is>
      </c>
      <c r="B327" t="inlineStr">
        <is>
          <t>P85.C47 A5 1996</t>
        </is>
      </c>
      <c r="C327" t="inlineStr">
        <is>
          <t>0                      P  0085000C  47                 A  5           1996</t>
        </is>
      </c>
      <c r="D327" t="inlineStr">
        <is>
          <t>Class warfare : interviews with David Barsamian / Noam Chomsky.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Chomsky, Noam.</t>
        </is>
      </c>
      <c r="L327" t="inlineStr">
        <is>
          <t>Monroe, Me : Common Courage Press, c1996.</t>
        </is>
      </c>
      <c r="M327" t="inlineStr">
        <is>
          <t>1996</t>
        </is>
      </c>
      <c r="O327" t="inlineStr">
        <is>
          <t>eng</t>
        </is>
      </c>
      <c r="P327" t="inlineStr">
        <is>
          <t>meu</t>
        </is>
      </c>
      <c r="R327" t="inlineStr">
        <is>
          <t xml:space="preserve">P  </t>
        </is>
      </c>
      <c r="S327" t="n">
        <v>6</v>
      </c>
      <c r="T327" t="n">
        <v>6</v>
      </c>
      <c r="U327" t="inlineStr">
        <is>
          <t>2005-06-28</t>
        </is>
      </c>
      <c r="V327" t="inlineStr">
        <is>
          <t>2005-06-28</t>
        </is>
      </c>
      <c r="W327" t="inlineStr">
        <is>
          <t>1996-11-01</t>
        </is>
      </c>
      <c r="X327" t="inlineStr">
        <is>
          <t>1996-11-01</t>
        </is>
      </c>
      <c r="Y327" t="n">
        <v>422</v>
      </c>
      <c r="Z327" t="n">
        <v>373</v>
      </c>
      <c r="AA327" t="n">
        <v>652</v>
      </c>
      <c r="AB327" t="n">
        <v>3</v>
      </c>
      <c r="AC327" t="n">
        <v>6</v>
      </c>
      <c r="AD327" t="n">
        <v>14</v>
      </c>
      <c r="AE327" t="n">
        <v>19</v>
      </c>
      <c r="AF327" t="n">
        <v>5</v>
      </c>
      <c r="AG327" t="n">
        <v>6</v>
      </c>
      <c r="AH327" t="n">
        <v>7</v>
      </c>
      <c r="AI327" t="n">
        <v>7</v>
      </c>
      <c r="AJ327" t="n">
        <v>6</v>
      </c>
      <c r="AK327" t="n">
        <v>7</v>
      </c>
      <c r="AL327" t="n">
        <v>2</v>
      </c>
      <c r="AM327" t="n">
        <v>5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HYPERLINK("http://catalog.hathitrust.org/Record/003087255","HathiTrust Record")</f>
        <v/>
      </c>
      <c r="AS327">
        <f>HYPERLINK("https://creighton-primo.hosted.exlibrisgroup.com/primo-explore/search?tab=default_tab&amp;search_scope=EVERYTHING&amp;vid=01CRU&amp;lang=en_US&amp;offset=0&amp;query=any,contains,991002604539702656","Catalog Record")</f>
        <v/>
      </c>
      <c r="AT327">
        <f>HYPERLINK("http://www.worldcat.org/oclc/34115584","WorldCat Record")</f>
        <v/>
      </c>
      <c r="AU327" t="inlineStr">
        <is>
          <t>39063120:eng</t>
        </is>
      </c>
      <c r="AV327" t="inlineStr">
        <is>
          <t>34115584</t>
        </is>
      </c>
      <c r="AW327" t="inlineStr">
        <is>
          <t>991002604539702656</t>
        </is>
      </c>
      <c r="AX327" t="inlineStr">
        <is>
          <t>991002604539702656</t>
        </is>
      </c>
      <c r="AY327" t="inlineStr">
        <is>
          <t>2271416030002656</t>
        </is>
      </c>
      <c r="AZ327" t="inlineStr">
        <is>
          <t>BOOK</t>
        </is>
      </c>
      <c r="BB327" t="inlineStr">
        <is>
          <t>9781567510928</t>
        </is>
      </c>
      <c r="BC327" t="inlineStr">
        <is>
          <t>32285002370509</t>
        </is>
      </c>
      <c r="BD327" t="inlineStr">
        <is>
          <t>893440309</t>
        </is>
      </c>
    </row>
    <row r="328">
      <c r="A328" t="inlineStr">
        <is>
          <t>No</t>
        </is>
      </c>
      <c r="B328" t="inlineStr">
        <is>
          <t>P85.C47 A84 2004</t>
        </is>
      </c>
      <c r="C328" t="inlineStr">
        <is>
          <t>0                      P  0085000C  47                 A  84          2004</t>
        </is>
      </c>
      <c r="D328" t="inlineStr">
        <is>
          <t>The anti-Chomsky reader / edited by Peter Collier and David Horowitz.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San Francisco: Encounter Books, 2004.</t>
        </is>
      </c>
      <c r="M328" t="inlineStr">
        <is>
          <t>2004</t>
        </is>
      </c>
      <c r="N328" t="inlineStr">
        <is>
          <t>1st ed.</t>
        </is>
      </c>
      <c r="O328" t="inlineStr">
        <is>
          <t>eng</t>
        </is>
      </c>
      <c r="P328" t="inlineStr">
        <is>
          <t>cau</t>
        </is>
      </c>
      <c r="R328" t="inlineStr">
        <is>
          <t xml:space="preserve">P  </t>
        </is>
      </c>
      <c r="S328" t="n">
        <v>2</v>
      </c>
      <c r="T328" t="n">
        <v>2</v>
      </c>
      <c r="U328" t="inlineStr">
        <is>
          <t>2004-11-28</t>
        </is>
      </c>
      <c r="V328" t="inlineStr">
        <is>
          <t>2004-11-28</t>
        </is>
      </c>
      <c r="W328" t="inlineStr">
        <is>
          <t>2004-10-17</t>
        </is>
      </c>
      <c r="X328" t="inlineStr">
        <is>
          <t>2004-10-17</t>
        </is>
      </c>
      <c r="Y328" t="n">
        <v>398</v>
      </c>
      <c r="Z328" t="n">
        <v>305</v>
      </c>
      <c r="AA328" t="n">
        <v>809</v>
      </c>
      <c r="AB328" t="n">
        <v>3</v>
      </c>
      <c r="AC328" t="n">
        <v>30</v>
      </c>
      <c r="AD328" t="n">
        <v>14</v>
      </c>
      <c r="AE328" t="n">
        <v>29</v>
      </c>
      <c r="AF328" t="n">
        <v>4</v>
      </c>
      <c r="AG328" t="n">
        <v>8</v>
      </c>
      <c r="AH328" t="n">
        <v>6</v>
      </c>
      <c r="AI328" t="n">
        <v>6</v>
      </c>
      <c r="AJ328" t="n">
        <v>6</v>
      </c>
      <c r="AK328" t="n">
        <v>9</v>
      </c>
      <c r="AL328" t="n">
        <v>1</v>
      </c>
      <c r="AM328" t="n">
        <v>10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HYPERLINK("http://catalog.hathitrust.org/Record/004741583","HathiTrust Record")</f>
        <v/>
      </c>
      <c r="AS328">
        <f>HYPERLINK("https://creighton-primo.hosted.exlibrisgroup.com/primo-explore/search?tab=default_tab&amp;search_scope=EVERYTHING&amp;vid=01CRU&amp;lang=en_US&amp;offset=0&amp;query=any,contains,991004390579702656","Catalog Record")</f>
        <v/>
      </c>
      <c r="AT328">
        <f>HYPERLINK("http://www.worldcat.org/oclc/54966287","WorldCat Record")</f>
        <v/>
      </c>
      <c r="AU328" t="inlineStr">
        <is>
          <t>357355238:eng</t>
        </is>
      </c>
      <c r="AV328" t="inlineStr">
        <is>
          <t>54966287</t>
        </is>
      </c>
      <c r="AW328" t="inlineStr">
        <is>
          <t>991004390579702656</t>
        </is>
      </c>
      <c r="AX328" t="inlineStr">
        <is>
          <t>991004390579702656</t>
        </is>
      </c>
      <c r="AY328" t="inlineStr">
        <is>
          <t>2255325740002656</t>
        </is>
      </c>
      <c r="AZ328" t="inlineStr">
        <is>
          <t>BOOK</t>
        </is>
      </c>
      <c r="BB328" t="inlineStr">
        <is>
          <t>9781893554979</t>
        </is>
      </c>
      <c r="BC328" t="inlineStr">
        <is>
          <t>32285005005110</t>
        </is>
      </c>
      <c r="BD328" t="inlineStr">
        <is>
          <t>893337670</t>
        </is>
      </c>
    </row>
    <row r="329">
      <c r="A329" t="inlineStr">
        <is>
          <t>No</t>
        </is>
      </c>
      <c r="B329" t="inlineStr">
        <is>
          <t>P85.C47 N63 1987</t>
        </is>
      </c>
      <c r="C329" t="inlineStr">
        <is>
          <t>0                      P  0085000C  47                 N  63          1987</t>
        </is>
      </c>
      <c r="D329" t="inlineStr">
        <is>
          <t>Noam Chomsky : consensus and controversy / edited by Sohan Modgil and Celia Modgil.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New York : Falmer Press, 1987.</t>
        </is>
      </c>
      <c r="M329" t="inlineStr">
        <is>
          <t>1987</t>
        </is>
      </c>
      <c r="O329" t="inlineStr">
        <is>
          <t>eng</t>
        </is>
      </c>
      <c r="P329" t="inlineStr">
        <is>
          <t>nyu</t>
        </is>
      </c>
      <c r="Q329" t="inlineStr">
        <is>
          <t>Falmer international master-minds challenged ; 3</t>
        </is>
      </c>
      <c r="R329" t="inlineStr">
        <is>
          <t xml:space="preserve">P  </t>
        </is>
      </c>
      <c r="S329" t="n">
        <v>1</v>
      </c>
      <c r="T329" t="n">
        <v>1</v>
      </c>
      <c r="U329" t="inlineStr">
        <is>
          <t>2000-06-15</t>
        </is>
      </c>
      <c r="V329" t="inlineStr">
        <is>
          <t>2000-06-15</t>
        </is>
      </c>
      <c r="W329" t="inlineStr">
        <is>
          <t>1990-03-01</t>
        </is>
      </c>
      <c r="X329" t="inlineStr">
        <is>
          <t>1990-03-01</t>
        </is>
      </c>
      <c r="Y329" t="n">
        <v>609</v>
      </c>
      <c r="Z329" t="n">
        <v>439</v>
      </c>
      <c r="AA329" t="n">
        <v>441</v>
      </c>
      <c r="AB329" t="n">
        <v>6</v>
      </c>
      <c r="AC329" t="n">
        <v>6</v>
      </c>
      <c r="AD329" t="n">
        <v>26</v>
      </c>
      <c r="AE329" t="n">
        <v>26</v>
      </c>
      <c r="AF329" t="n">
        <v>5</v>
      </c>
      <c r="AG329" t="n">
        <v>5</v>
      </c>
      <c r="AH329" t="n">
        <v>8</v>
      </c>
      <c r="AI329" t="n">
        <v>8</v>
      </c>
      <c r="AJ329" t="n">
        <v>13</v>
      </c>
      <c r="AK329" t="n">
        <v>13</v>
      </c>
      <c r="AL329" t="n">
        <v>5</v>
      </c>
      <c r="AM329" t="n">
        <v>5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HYPERLINK("http://catalog.hathitrust.org/Record/000595842","HathiTrust Record")</f>
        <v/>
      </c>
      <c r="AS329">
        <f>HYPERLINK("https://creighton-primo.hosted.exlibrisgroup.com/primo-explore/search?tab=default_tab&amp;search_scope=EVERYTHING&amp;vid=01CRU&amp;lang=en_US&amp;offset=0&amp;query=any,contains,991000857499702656","Catalog Record")</f>
        <v/>
      </c>
      <c r="AT329">
        <f>HYPERLINK("http://www.worldcat.org/oclc/13666273","WorldCat Record")</f>
        <v/>
      </c>
      <c r="AU329" t="inlineStr">
        <is>
          <t>2754323456:eng</t>
        </is>
      </c>
      <c r="AV329" t="inlineStr">
        <is>
          <t>13666273</t>
        </is>
      </c>
      <c r="AW329" t="inlineStr">
        <is>
          <t>991000857499702656</t>
        </is>
      </c>
      <c r="AX329" t="inlineStr">
        <is>
          <t>991000857499702656</t>
        </is>
      </c>
      <c r="AY329" t="inlineStr">
        <is>
          <t>2269840860002656</t>
        </is>
      </c>
      <c r="AZ329" t="inlineStr">
        <is>
          <t>BOOK</t>
        </is>
      </c>
      <c r="BB329" t="inlineStr">
        <is>
          <t>9781850000228</t>
        </is>
      </c>
      <c r="BC329" t="inlineStr">
        <is>
          <t>32285000075001</t>
        </is>
      </c>
      <c r="BD329" t="inlineStr">
        <is>
          <t>893865747</t>
        </is>
      </c>
    </row>
    <row r="330">
      <c r="A330" t="inlineStr">
        <is>
          <t>No</t>
        </is>
      </c>
      <c r="B330" t="inlineStr">
        <is>
          <t>P85.C47 R35 1995</t>
        </is>
      </c>
      <c r="C330" t="inlineStr">
        <is>
          <t>0                      P  0085000C  47                 R  35          1995</t>
        </is>
      </c>
      <c r="D330" t="inlineStr">
        <is>
          <t>Chomsky's politics / Milan Rai.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Rai, Milan.</t>
        </is>
      </c>
      <c r="L330" t="inlineStr">
        <is>
          <t>London ; New York : Verso, 1995.</t>
        </is>
      </c>
      <c r="M330" t="inlineStr">
        <is>
          <t>1995</t>
        </is>
      </c>
      <c r="O330" t="inlineStr">
        <is>
          <t>eng</t>
        </is>
      </c>
      <c r="P330" t="inlineStr">
        <is>
          <t>enk</t>
        </is>
      </c>
      <c r="R330" t="inlineStr">
        <is>
          <t xml:space="preserve">P  </t>
        </is>
      </c>
      <c r="S330" t="n">
        <v>2</v>
      </c>
      <c r="T330" t="n">
        <v>2</v>
      </c>
      <c r="U330" t="inlineStr">
        <is>
          <t>1998-01-23</t>
        </is>
      </c>
      <c r="V330" t="inlineStr">
        <is>
          <t>1998-01-23</t>
        </is>
      </c>
      <c r="W330" t="inlineStr">
        <is>
          <t>1996-05-20</t>
        </is>
      </c>
      <c r="X330" t="inlineStr">
        <is>
          <t>1996-05-20</t>
        </is>
      </c>
      <c r="Y330" t="n">
        <v>455</v>
      </c>
      <c r="Z330" t="n">
        <v>314</v>
      </c>
      <c r="AA330" t="n">
        <v>319</v>
      </c>
      <c r="AB330" t="n">
        <v>3</v>
      </c>
      <c r="AC330" t="n">
        <v>3</v>
      </c>
      <c r="AD330" t="n">
        <v>16</v>
      </c>
      <c r="AE330" t="n">
        <v>16</v>
      </c>
      <c r="AF330" t="n">
        <v>5</v>
      </c>
      <c r="AG330" t="n">
        <v>5</v>
      </c>
      <c r="AH330" t="n">
        <v>4</v>
      </c>
      <c r="AI330" t="n">
        <v>4</v>
      </c>
      <c r="AJ330" t="n">
        <v>11</v>
      </c>
      <c r="AK330" t="n">
        <v>11</v>
      </c>
      <c r="AL330" t="n">
        <v>2</v>
      </c>
      <c r="AM330" t="n">
        <v>2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HYPERLINK("http://catalog.hathitrust.org/Record/002991128","HathiTrust Record")</f>
        <v/>
      </c>
      <c r="AS330">
        <f>HYPERLINK("https://creighton-primo.hosted.exlibrisgroup.com/primo-explore/search?tab=default_tab&amp;search_scope=EVERYTHING&amp;vid=01CRU&amp;lang=en_US&amp;offset=0&amp;query=any,contains,991002440879702656","Catalog Record")</f>
        <v/>
      </c>
      <c r="AT330">
        <f>HYPERLINK("http://www.worldcat.org/oclc/31815308","WorldCat Record")</f>
        <v/>
      </c>
      <c r="AU330" t="inlineStr">
        <is>
          <t>33871103:eng</t>
        </is>
      </c>
      <c r="AV330" t="inlineStr">
        <is>
          <t>31815308</t>
        </is>
      </c>
      <c r="AW330" t="inlineStr">
        <is>
          <t>991002440879702656</t>
        </is>
      </c>
      <c r="AX330" t="inlineStr">
        <is>
          <t>991002440879702656</t>
        </is>
      </c>
      <c r="AY330" t="inlineStr">
        <is>
          <t>2264081650002656</t>
        </is>
      </c>
      <c r="AZ330" t="inlineStr">
        <is>
          <t>BOOK</t>
        </is>
      </c>
      <c r="BB330" t="inlineStr">
        <is>
          <t>9781859840115</t>
        </is>
      </c>
      <c r="BC330" t="inlineStr">
        <is>
          <t>32285002175510</t>
        </is>
      </c>
      <c r="BD330" t="inlineStr">
        <is>
          <t>893335312</t>
        </is>
      </c>
    </row>
    <row r="331">
      <c r="A331" t="inlineStr">
        <is>
          <t>No</t>
        </is>
      </c>
      <c r="B331" t="inlineStr">
        <is>
          <t>P85.C47 W575 2002</t>
        </is>
      </c>
      <c r="C331" t="inlineStr">
        <is>
          <t>0                      P  0085000C  47                 W  575         2002</t>
        </is>
      </c>
      <c r="D331" t="inlineStr">
        <is>
          <t>On Chomsky / Morton Winston.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Winston, Morton Emanuel.</t>
        </is>
      </c>
      <c r="L331" t="inlineStr">
        <is>
          <t>Belmont, CA : Wadsworth/Thomson Learning, c2002.</t>
        </is>
      </c>
      <c r="M331" t="inlineStr">
        <is>
          <t>2002</t>
        </is>
      </c>
      <c r="O331" t="inlineStr">
        <is>
          <t>eng</t>
        </is>
      </c>
      <c r="P331" t="inlineStr">
        <is>
          <t>cau</t>
        </is>
      </c>
      <c r="Q331" t="inlineStr">
        <is>
          <t>Wadsworth philosophers series</t>
        </is>
      </c>
      <c r="R331" t="inlineStr">
        <is>
          <t xml:space="preserve">P  </t>
        </is>
      </c>
      <c r="S331" t="n">
        <v>1</v>
      </c>
      <c r="T331" t="n">
        <v>1</v>
      </c>
      <c r="U331" t="inlineStr">
        <is>
          <t>2002-10-22</t>
        </is>
      </c>
      <c r="V331" t="inlineStr">
        <is>
          <t>2002-10-22</t>
        </is>
      </c>
      <c r="W331" t="inlineStr">
        <is>
          <t>2002-10-22</t>
        </is>
      </c>
      <c r="X331" t="inlineStr">
        <is>
          <t>2002-10-22</t>
        </is>
      </c>
      <c r="Y331" t="n">
        <v>189</v>
      </c>
      <c r="Z331" t="n">
        <v>156</v>
      </c>
      <c r="AA331" t="n">
        <v>167</v>
      </c>
      <c r="AB331" t="n">
        <v>2</v>
      </c>
      <c r="AC331" t="n">
        <v>2</v>
      </c>
      <c r="AD331" t="n">
        <v>8</v>
      </c>
      <c r="AE331" t="n">
        <v>8</v>
      </c>
      <c r="AF331" t="n">
        <v>1</v>
      </c>
      <c r="AG331" t="n">
        <v>1</v>
      </c>
      <c r="AH331" t="n">
        <v>5</v>
      </c>
      <c r="AI331" t="n">
        <v>5</v>
      </c>
      <c r="AJ331" t="n">
        <v>4</v>
      </c>
      <c r="AK331" t="n">
        <v>4</v>
      </c>
      <c r="AL331" t="n">
        <v>1</v>
      </c>
      <c r="AM331" t="n">
        <v>1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HYPERLINK("http://catalog.hathitrust.org/Record/004179078","HathiTrust Record")</f>
        <v/>
      </c>
      <c r="AS331">
        <f>HYPERLINK("https://creighton-primo.hosted.exlibrisgroup.com/primo-explore/search?tab=default_tab&amp;search_scope=EVERYTHING&amp;vid=01CRU&amp;lang=en_US&amp;offset=0&amp;query=any,contains,991003881539702656","Catalog Record")</f>
        <v/>
      </c>
      <c r="AT331">
        <f>HYPERLINK("http://www.worldcat.org/oclc/47204213","WorldCat Record")</f>
        <v/>
      </c>
      <c r="AU331" t="inlineStr">
        <is>
          <t>6185669:eng</t>
        </is>
      </c>
      <c r="AV331" t="inlineStr">
        <is>
          <t>47204213</t>
        </is>
      </c>
      <c r="AW331" t="inlineStr">
        <is>
          <t>991003881539702656</t>
        </is>
      </c>
      <c r="AX331" t="inlineStr">
        <is>
          <t>991003881539702656</t>
        </is>
      </c>
      <c r="AY331" t="inlineStr">
        <is>
          <t>2255878800002656</t>
        </is>
      </c>
      <c r="AZ331" t="inlineStr">
        <is>
          <t>BOOK</t>
        </is>
      </c>
      <c r="BB331" t="inlineStr">
        <is>
          <t>9780534576400</t>
        </is>
      </c>
      <c r="BC331" t="inlineStr">
        <is>
          <t>32285004656855</t>
        </is>
      </c>
      <c r="BD331" t="inlineStr">
        <is>
          <t>893262995</t>
        </is>
      </c>
    </row>
    <row r="332">
      <c r="A332" t="inlineStr">
        <is>
          <t>No</t>
        </is>
      </c>
      <c r="B332" t="inlineStr">
        <is>
          <t>P85.D38 R35 1989</t>
        </is>
      </c>
      <c r="C332" t="inlineStr">
        <is>
          <t>0                      P  0085000D  38                 R  35          1989</t>
        </is>
      </c>
      <c r="D332" t="inlineStr">
        <is>
          <t>Donald Davidson's philosophy of language : an introduction / Bjørn T. Ramberg.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Ramberg, Bjørn T.</t>
        </is>
      </c>
      <c r="L332" t="inlineStr">
        <is>
          <t>Oxford [England] ; New York, NY, USA : B. Blackwell, 1989.</t>
        </is>
      </c>
      <c r="M332" t="inlineStr">
        <is>
          <t>1989</t>
        </is>
      </c>
      <c r="O332" t="inlineStr">
        <is>
          <t>eng</t>
        </is>
      </c>
      <c r="P332" t="inlineStr">
        <is>
          <t>enk</t>
        </is>
      </c>
      <c r="R332" t="inlineStr">
        <is>
          <t xml:space="preserve">P  </t>
        </is>
      </c>
      <c r="S332" t="n">
        <v>1</v>
      </c>
      <c r="T332" t="n">
        <v>1</v>
      </c>
      <c r="U332" t="inlineStr">
        <is>
          <t>2009-03-11</t>
        </is>
      </c>
      <c r="V332" t="inlineStr">
        <is>
          <t>2009-03-11</t>
        </is>
      </c>
      <c r="W332" t="inlineStr">
        <is>
          <t>2009-03-11</t>
        </is>
      </c>
      <c r="X332" t="inlineStr">
        <is>
          <t>2009-03-11</t>
        </is>
      </c>
      <c r="Y332" t="n">
        <v>363</v>
      </c>
      <c r="Z332" t="n">
        <v>213</v>
      </c>
      <c r="AA332" t="n">
        <v>213</v>
      </c>
      <c r="AB332" t="n">
        <v>2</v>
      </c>
      <c r="AC332" t="n">
        <v>2</v>
      </c>
      <c r="AD332" t="n">
        <v>14</v>
      </c>
      <c r="AE332" t="n">
        <v>14</v>
      </c>
      <c r="AF332" t="n">
        <v>3</v>
      </c>
      <c r="AG332" t="n">
        <v>3</v>
      </c>
      <c r="AH332" t="n">
        <v>4</v>
      </c>
      <c r="AI332" t="n">
        <v>4</v>
      </c>
      <c r="AJ332" t="n">
        <v>10</v>
      </c>
      <c r="AK332" t="n">
        <v>10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HYPERLINK("https://creighton-primo.hosted.exlibrisgroup.com/primo-explore/search?tab=default_tab&amp;search_scope=EVERYTHING&amp;vid=01CRU&amp;lang=en_US&amp;offset=0&amp;query=any,contains,991005298919702656","Catalog Record")</f>
        <v/>
      </c>
      <c r="AT332">
        <f>HYPERLINK("http://www.worldcat.org/oclc/18949016","WorldCat Record")</f>
        <v/>
      </c>
      <c r="AU332" t="inlineStr">
        <is>
          <t>836840624:eng</t>
        </is>
      </c>
      <c r="AV332" t="inlineStr">
        <is>
          <t>18949016</t>
        </is>
      </c>
      <c r="AW332" t="inlineStr">
        <is>
          <t>991005298919702656</t>
        </is>
      </c>
      <c r="AX332" t="inlineStr">
        <is>
          <t>991005298919702656</t>
        </is>
      </c>
      <c r="AY332" t="inlineStr">
        <is>
          <t>2270609080002656</t>
        </is>
      </c>
      <c r="AZ332" t="inlineStr">
        <is>
          <t>BOOK</t>
        </is>
      </c>
      <c r="BB332" t="inlineStr">
        <is>
          <t>9780631164586</t>
        </is>
      </c>
      <c r="BC332" t="inlineStr">
        <is>
          <t>32285005508535</t>
        </is>
      </c>
      <c r="BD332" t="inlineStr">
        <is>
          <t>893607164</t>
        </is>
      </c>
    </row>
    <row r="333">
      <c r="A333" t="inlineStr">
        <is>
          <t>No</t>
        </is>
      </c>
      <c r="B333" t="inlineStr">
        <is>
          <t>P85.D45 L43 2002</t>
        </is>
      </c>
      <c r="C333" t="inlineStr">
        <is>
          <t>0                      P  0085000D  45                 L  43          2002</t>
        </is>
      </c>
      <c r="D333" t="inlineStr">
        <is>
          <t>Deleuze and language / Jean-Jacques Lecercle.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Lecercle, Jean-Jacques.</t>
        </is>
      </c>
      <c r="L333" t="inlineStr">
        <is>
          <t>Houndmills, Basingstoke, Hampshire ; New York : Palgrave Macmillan, 2002.</t>
        </is>
      </c>
      <c r="M333" t="inlineStr">
        <is>
          <t>2002</t>
        </is>
      </c>
      <c r="O333" t="inlineStr">
        <is>
          <t>eng</t>
        </is>
      </c>
      <c r="P333" t="inlineStr">
        <is>
          <t>nyu</t>
        </is>
      </c>
      <c r="Q333" t="inlineStr">
        <is>
          <t>Language, discourse, society</t>
        </is>
      </c>
      <c r="R333" t="inlineStr">
        <is>
          <t xml:space="preserve">P  </t>
        </is>
      </c>
      <c r="S333" t="n">
        <v>1</v>
      </c>
      <c r="T333" t="n">
        <v>1</v>
      </c>
      <c r="U333" t="inlineStr">
        <is>
          <t>2003-12-15</t>
        </is>
      </c>
      <c r="V333" t="inlineStr">
        <is>
          <t>2003-12-15</t>
        </is>
      </c>
      <c r="W333" t="inlineStr">
        <is>
          <t>2003-10-01</t>
        </is>
      </c>
      <c r="X333" t="inlineStr">
        <is>
          <t>2003-10-01</t>
        </is>
      </c>
      <c r="Y333" t="n">
        <v>287</v>
      </c>
      <c r="Z333" t="n">
        <v>203</v>
      </c>
      <c r="AA333" t="n">
        <v>225</v>
      </c>
      <c r="AB333" t="n">
        <v>2</v>
      </c>
      <c r="AC333" t="n">
        <v>2</v>
      </c>
      <c r="AD333" t="n">
        <v>11</v>
      </c>
      <c r="AE333" t="n">
        <v>12</v>
      </c>
      <c r="AF333" t="n">
        <v>2</v>
      </c>
      <c r="AG333" t="n">
        <v>3</v>
      </c>
      <c r="AH333" t="n">
        <v>7</v>
      </c>
      <c r="AI333" t="n">
        <v>7</v>
      </c>
      <c r="AJ333" t="n">
        <v>5</v>
      </c>
      <c r="AK333" t="n">
        <v>6</v>
      </c>
      <c r="AL333" t="n">
        <v>1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HYPERLINK("https://creighton-primo.hosted.exlibrisgroup.com/primo-explore/search?tab=default_tab&amp;search_scope=EVERYTHING&amp;vid=01CRU&amp;lang=en_US&amp;offset=0&amp;query=any,contains,991004147349702656","Catalog Record")</f>
        <v/>
      </c>
      <c r="AT333">
        <f>HYPERLINK("http://www.worldcat.org/oclc/49352137","WorldCat Record")</f>
        <v/>
      </c>
      <c r="AU333" t="inlineStr">
        <is>
          <t>991134:eng</t>
        </is>
      </c>
      <c r="AV333" t="inlineStr">
        <is>
          <t>49352137</t>
        </is>
      </c>
      <c r="AW333" t="inlineStr">
        <is>
          <t>991004147349702656</t>
        </is>
      </c>
      <c r="AX333" t="inlineStr">
        <is>
          <t>991004147349702656</t>
        </is>
      </c>
      <c r="AY333" t="inlineStr">
        <is>
          <t>2272472800002656</t>
        </is>
      </c>
      <c r="AZ333" t="inlineStr">
        <is>
          <t>BOOK</t>
        </is>
      </c>
      <c r="BB333" t="inlineStr">
        <is>
          <t>9781403900364</t>
        </is>
      </c>
      <c r="BC333" t="inlineStr">
        <is>
          <t>32285004847264</t>
        </is>
      </c>
      <c r="BD333" t="inlineStr">
        <is>
          <t>893423436</t>
        </is>
      </c>
    </row>
    <row r="334">
      <c r="A334" t="inlineStr">
        <is>
          <t>No</t>
        </is>
      </c>
      <c r="B334" t="inlineStr">
        <is>
          <t>P85.D47 J64 1993</t>
        </is>
      </c>
      <c r="C334" t="inlineStr">
        <is>
          <t>0                      P  0085000D  47                 J  64          1993</t>
        </is>
      </c>
      <c r="D334" t="inlineStr">
        <is>
          <t>System and writing in the philosophy of Jacques Derrida / Christopher Johnson.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Johnson, Christopher, 1958-</t>
        </is>
      </c>
      <c r="L334" t="inlineStr">
        <is>
          <t>Cambridge [England] ; New York, NY, USA : Cambridge University Press, 1993.</t>
        </is>
      </c>
      <c r="M334" t="inlineStr">
        <is>
          <t>1993</t>
        </is>
      </c>
      <c r="O334" t="inlineStr">
        <is>
          <t>eng</t>
        </is>
      </c>
      <c r="P334" t="inlineStr">
        <is>
          <t>enk</t>
        </is>
      </c>
      <c r="Q334" t="inlineStr">
        <is>
          <t>Cambridge studies in French ; 40</t>
        </is>
      </c>
      <c r="R334" t="inlineStr">
        <is>
          <t xml:space="preserve">P  </t>
        </is>
      </c>
      <c r="S334" t="n">
        <v>1</v>
      </c>
      <c r="T334" t="n">
        <v>1</v>
      </c>
      <c r="U334" t="inlineStr">
        <is>
          <t>1994-11-10</t>
        </is>
      </c>
      <c r="V334" t="inlineStr">
        <is>
          <t>1994-11-10</t>
        </is>
      </c>
      <c r="W334" t="inlineStr">
        <is>
          <t>1994-03-18</t>
        </is>
      </c>
      <c r="X334" t="inlineStr">
        <is>
          <t>1994-03-18</t>
        </is>
      </c>
      <c r="Y334" t="n">
        <v>334</v>
      </c>
      <c r="Z334" t="n">
        <v>193</v>
      </c>
      <c r="AA334" t="n">
        <v>205</v>
      </c>
      <c r="AB334" t="n">
        <v>2</v>
      </c>
      <c r="AC334" t="n">
        <v>2</v>
      </c>
      <c r="AD334" t="n">
        <v>12</v>
      </c>
      <c r="AE334" t="n">
        <v>12</v>
      </c>
      <c r="AF334" t="n">
        <v>2</v>
      </c>
      <c r="AG334" t="n">
        <v>2</v>
      </c>
      <c r="AH334" t="n">
        <v>5</v>
      </c>
      <c r="AI334" t="n">
        <v>5</v>
      </c>
      <c r="AJ334" t="n">
        <v>8</v>
      </c>
      <c r="AK334" t="n">
        <v>8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HYPERLINK("https://creighton-primo.hosted.exlibrisgroup.com/primo-explore/search?tab=default_tab&amp;search_scope=EVERYTHING&amp;vid=01CRU&amp;lang=en_US&amp;offset=0&amp;query=any,contains,991002029039702656","Catalog Record")</f>
        <v/>
      </c>
      <c r="AT334">
        <f>HYPERLINK("http://www.worldcat.org/oclc/25832524","WorldCat Record")</f>
        <v/>
      </c>
      <c r="AU334" t="inlineStr">
        <is>
          <t>117900169:eng</t>
        </is>
      </c>
      <c r="AV334" t="inlineStr">
        <is>
          <t>25832524</t>
        </is>
      </c>
      <c r="AW334" t="inlineStr">
        <is>
          <t>991002029039702656</t>
        </is>
      </c>
      <c r="AX334" t="inlineStr">
        <is>
          <t>991002029039702656</t>
        </is>
      </c>
      <c r="AY334" t="inlineStr">
        <is>
          <t>2264135560002656</t>
        </is>
      </c>
      <c r="AZ334" t="inlineStr">
        <is>
          <t>BOOK</t>
        </is>
      </c>
      <c r="BB334" t="inlineStr">
        <is>
          <t>9780521414920</t>
        </is>
      </c>
      <c r="BC334" t="inlineStr">
        <is>
          <t>32285001856698</t>
        </is>
      </c>
      <c r="BD334" t="inlineStr">
        <is>
          <t>893621832</t>
        </is>
      </c>
    </row>
    <row r="335">
      <c r="A335" t="inlineStr">
        <is>
          <t>No</t>
        </is>
      </c>
      <c r="B335" t="inlineStr">
        <is>
          <t>P85.H37 L3413 2000</t>
        </is>
      </c>
      <c r="C335" t="inlineStr">
        <is>
          <t>0                      P  0085000H  37                 L  3413        2000</t>
        </is>
      </c>
      <c r="D335" t="inlineStr">
        <is>
          <t>Heidegger, language, and world-disclosure / Cristina Lafont ; translated by Graham Harman.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Lafont, Cristina, 1963-</t>
        </is>
      </c>
      <c r="L335" t="inlineStr">
        <is>
          <t>Cambridge, UK : New York : Cambridge University Press, 2000.</t>
        </is>
      </c>
      <c r="M335" t="inlineStr">
        <is>
          <t>2000</t>
        </is>
      </c>
      <c r="O335" t="inlineStr">
        <is>
          <t>eng</t>
        </is>
      </c>
      <c r="P335" t="inlineStr">
        <is>
          <t>enk</t>
        </is>
      </c>
      <c r="Q335" t="inlineStr">
        <is>
          <t>Modern European philosophy</t>
        </is>
      </c>
      <c r="R335" t="inlineStr">
        <is>
          <t xml:space="preserve">P  </t>
        </is>
      </c>
      <c r="S335" t="n">
        <v>1</v>
      </c>
      <c r="T335" t="n">
        <v>1</v>
      </c>
      <c r="U335" t="inlineStr">
        <is>
          <t>2001-10-16</t>
        </is>
      </c>
      <c r="V335" t="inlineStr">
        <is>
          <t>2001-10-16</t>
        </is>
      </c>
      <c r="W335" t="inlineStr">
        <is>
          <t>2001-10-16</t>
        </is>
      </c>
      <c r="X335" t="inlineStr">
        <is>
          <t>2001-10-16</t>
        </is>
      </c>
      <c r="Y335" t="n">
        <v>286</v>
      </c>
      <c r="Z335" t="n">
        <v>203</v>
      </c>
      <c r="AA335" t="n">
        <v>203</v>
      </c>
      <c r="AB335" t="n">
        <v>3</v>
      </c>
      <c r="AC335" t="n">
        <v>3</v>
      </c>
      <c r="AD335" t="n">
        <v>18</v>
      </c>
      <c r="AE335" t="n">
        <v>18</v>
      </c>
      <c r="AF335" t="n">
        <v>3</v>
      </c>
      <c r="AG335" t="n">
        <v>3</v>
      </c>
      <c r="AH335" t="n">
        <v>5</v>
      </c>
      <c r="AI335" t="n">
        <v>5</v>
      </c>
      <c r="AJ335" t="n">
        <v>10</v>
      </c>
      <c r="AK335" t="n">
        <v>10</v>
      </c>
      <c r="AL335" t="n">
        <v>2</v>
      </c>
      <c r="AM335" t="n">
        <v>2</v>
      </c>
      <c r="AN335" t="n">
        <v>1</v>
      </c>
      <c r="AO335" t="n">
        <v>1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HYPERLINK("https://creighton-primo.hosted.exlibrisgroup.com/primo-explore/search?tab=default_tab&amp;search_scope=EVERYTHING&amp;vid=01CRU&amp;lang=en_US&amp;offset=0&amp;query=any,contains,991003619039702656","Catalog Record")</f>
        <v/>
      </c>
      <c r="AT335">
        <f>HYPERLINK("http://www.worldcat.org/oclc/43615833","WorldCat Record")</f>
        <v/>
      </c>
      <c r="AU335" t="inlineStr">
        <is>
          <t>44690556:eng</t>
        </is>
      </c>
      <c r="AV335" t="inlineStr">
        <is>
          <t>43615833</t>
        </is>
      </c>
      <c r="AW335" t="inlineStr">
        <is>
          <t>991003619039702656</t>
        </is>
      </c>
      <c r="AX335" t="inlineStr">
        <is>
          <t>991003619039702656</t>
        </is>
      </c>
      <c r="AY335" t="inlineStr">
        <is>
          <t>2264190860002656</t>
        </is>
      </c>
      <c r="AZ335" t="inlineStr">
        <is>
          <t>BOOK</t>
        </is>
      </c>
      <c r="BB335" t="inlineStr">
        <is>
          <t>9780521662475</t>
        </is>
      </c>
      <c r="BC335" t="inlineStr">
        <is>
          <t>32285004397021</t>
        </is>
      </c>
      <c r="BD335" t="inlineStr">
        <is>
          <t>893352950</t>
        </is>
      </c>
    </row>
    <row r="336">
      <c r="A336" t="inlineStr">
        <is>
          <t>No</t>
        </is>
      </c>
      <c r="B336" t="inlineStr">
        <is>
          <t>P85.H37 W5</t>
        </is>
      </c>
      <c r="C336" t="inlineStr">
        <is>
          <t>0                      P  0085000H  37                 W  5</t>
        </is>
      </c>
      <c r="D336" t="inlineStr">
        <is>
          <t>Heidegger and the language of poetry / David A. White.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White, David A., 1942-</t>
        </is>
      </c>
      <c r="L336" t="inlineStr">
        <is>
          <t>Lincoln : University of Nebraska Press, c1978.</t>
        </is>
      </c>
      <c r="M336" t="inlineStr">
        <is>
          <t>1978</t>
        </is>
      </c>
      <c r="O336" t="inlineStr">
        <is>
          <t>eng</t>
        </is>
      </c>
      <c r="P336" t="inlineStr">
        <is>
          <t>nbu</t>
        </is>
      </c>
      <c r="R336" t="inlineStr">
        <is>
          <t xml:space="preserve">P  </t>
        </is>
      </c>
      <c r="S336" t="n">
        <v>10</v>
      </c>
      <c r="T336" t="n">
        <v>10</v>
      </c>
      <c r="U336" t="inlineStr">
        <is>
          <t>2010-09-16</t>
        </is>
      </c>
      <c r="V336" t="inlineStr">
        <is>
          <t>2010-09-16</t>
        </is>
      </c>
      <c r="W336" t="inlineStr">
        <is>
          <t>1993-03-30</t>
        </is>
      </c>
      <c r="X336" t="inlineStr">
        <is>
          <t>1993-03-30</t>
        </is>
      </c>
      <c r="Y336" t="n">
        <v>490</v>
      </c>
      <c r="Z336" t="n">
        <v>396</v>
      </c>
      <c r="AA336" t="n">
        <v>404</v>
      </c>
      <c r="AB336" t="n">
        <v>6</v>
      </c>
      <c r="AC336" t="n">
        <v>6</v>
      </c>
      <c r="AD336" t="n">
        <v>30</v>
      </c>
      <c r="AE336" t="n">
        <v>30</v>
      </c>
      <c r="AF336" t="n">
        <v>11</v>
      </c>
      <c r="AG336" t="n">
        <v>11</v>
      </c>
      <c r="AH336" t="n">
        <v>8</v>
      </c>
      <c r="AI336" t="n">
        <v>8</v>
      </c>
      <c r="AJ336" t="n">
        <v>18</v>
      </c>
      <c r="AK336" t="n">
        <v>18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HYPERLINK("http://catalog.hathitrust.org/Record/000135506","HathiTrust Record")</f>
        <v/>
      </c>
      <c r="AS336">
        <f>HYPERLINK("https://creighton-primo.hosted.exlibrisgroup.com/primo-explore/search?tab=default_tab&amp;search_scope=EVERYTHING&amp;vid=01CRU&amp;lang=en_US&amp;offset=0&amp;query=any,contains,991004529089702656","Catalog Record")</f>
        <v/>
      </c>
      <c r="AT336">
        <f>HYPERLINK("http://www.worldcat.org/oclc/3844527","WorldCat Record")</f>
        <v/>
      </c>
      <c r="AU336" t="inlineStr">
        <is>
          <t>11024071:eng</t>
        </is>
      </c>
      <c r="AV336" t="inlineStr">
        <is>
          <t>3844527</t>
        </is>
      </c>
      <c r="AW336" t="inlineStr">
        <is>
          <t>991004529089702656</t>
        </is>
      </c>
      <c r="AX336" t="inlineStr">
        <is>
          <t>991004529089702656</t>
        </is>
      </c>
      <c r="AY336" t="inlineStr">
        <is>
          <t>2264813760002656</t>
        </is>
      </c>
      <c r="AZ336" t="inlineStr">
        <is>
          <t>BOOK</t>
        </is>
      </c>
      <c r="BB336" t="inlineStr">
        <is>
          <t>9780803247031</t>
        </is>
      </c>
      <c r="BC336" t="inlineStr">
        <is>
          <t>32285001611473</t>
        </is>
      </c>
      <c r="BD336" t="inlineStr">
        <is>
          <t>893882570</t>
        </is>
      </c>
    </row>
    <row r="337">
      <c r="A337" t="inlineStr">
        <is>
          <t>No</t>
        </is>
      </c>
      <c r="B337" t="inlineStr">
        <is>
          <t>P85.H8 W53 1999</t>
        </is>
      </c>
      <c r="C337" t="inlineStr">
        <is>
          <t>0                      P  0085000H  8                  W  53          1999</t>
        </is>
      </c>
      <c r="D337" t="inlineStr">
        <is>
          <t>Wilhelm von Humboldt : on language : on the diversity of human language construction and its influence on the mental development of the human species / edited by Michael Losonsky ; translated by Peter Heath.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New York : Cambridge University Press, 1999.</t>
        </is>
      </c>
      <c r="M337" t="inlineStr">
        <is>
          <t>1999</t>
        </is>
      </c>
      <c r="O337" t="inlineStr">
        <is>
          <t>eng</t>
        </is>
      </c>
      <c r="P337" t="inlineStr">
        <is>
          <t>nyu</t>
        </is>
      </c>
      <c r="Q337" t="inlineStr">
        <is>
          <t>Cambridge texts in the history of philosophy</t>
        </is>
      </c>
      <c r="R337" t="inlineStr">
        <is>
          <t xml:space="preserve">P  </t>
        </is>
      </c>
      <c r="S337" t="n">
        <v>0</v>
      </c>
      <c r="T337" t="n">
        <v>0</v>
      </c>
      <c r="U337" t="inlineStr">
        <is>
          <t>2010-10-29</t>
        </is>
      </c>
      <c r="V337" t="inlineStr">
        <is>
          <t>2010-10-29</t>
        </is>
      </c>
      <c r="W337" t="inlineStr">
        <is>
          <t>2000-03-13</t>
        </is>
      </c>
      <c r="X337" t="inlineStr">
        <is>
          <t>2000-03-13</t>
        </is>
      </c>
      <c r="Y337" t="n">
        <v>225</v>
      </c>
      <c r="Z337" t="n">
        <v>150</v>
      </c>
      <c r="AA337" t="n">
        <v>150</v>
      </c>
      <c r="AB337" t="n">
        <v>4</v>
      </c>
      <c r="AC337" t="n">
        <v>4</v>
      </c>
      <c r="AD337" t="n">
        <v>12</v>
      </c>
      <c r="AE337" t="n">
        <v>12</v>
      </c>
      <c r="AF337" t="n">
        <v>3</v>
      </c>
      <c r="AG337" t="n">
        <v>3</v>
      </c>
      <c r="AH337" t="n">
        <v>3</v>
      </c>
      <c r="AI337" t="n">
        <v>3</v>
      </c>
      <c r="AJ337" t="n">
        <v>7</v>
      </c>
      <c r="AK337" t="n">
        <v>7</v>
      </c>
      <c r="AL337" t="n">
        <v>3</v>
      </c>
      <c r="AM337" t="n">
        <v>3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HYPERLINK("https://creighton-primo.hosted.exlibrisgroup.com/primo-explore/search?tab=default_tab&amp;search_scope=EVERYTHING&amp;vid=01CRU&amp;lang=en_US&amp;offset=0&amp;query=any,contains,991002999049702656","Catalog Record")</f>
        <v/>
      </c>
      <c r="AT337">
        <f>HYPERLINK("http://www.worldcat.org/oclc/40595363","WorldCat Record")</f>
        <v/>
      </c>
      <c r="AU337" t="inlineStr">
        <is>
          <t>4460768387:eng</t>
        </is>
      </c>
      <c r="AV337" t="inlineStr">
        <is>
          <t>40595363</t>
        </is>
      </c>
      <c r="AW337" t="inlineStr">
        <is>
          <t>991002999049702656</t>
        </is>
      </c>
      <c r="AX337" t="inlineStr">
        <is>
          <t>991002999049702656</t>
        </is>
      </c>
      <c r="AY337" t="inlineStr">
        <is>
          <t>2262168950002656</t>
        </is>
      </c>
      <c r="AZ337" t="inlineStr">
        <is>
          <t>BOOK</t>
        </is>
      </c>
      <c r="BB337" t="inlineStr">
        <is>
          <t>9780521660891</t>
        </is>
      </c>
      <c r="BC337" t="inlineStr">
        <is>
          <t>32285003668463</t>
        </is>
      </c>
      <c r="BD337" t="inlineStr">
        <is>
          <t>893505088</t>
        </is>
      </c>
    </row>
    <row r="338">
      <c r="A338" t="inlineStr">
        <is>
          <t>No</t>
        </is>
      </c>
      <c r="B338" t="inlineStr">
        <is>
          <t>P85.L34 R35 1991</t>
        </is>
      </c>
      <c r="C338" t="inlineStr">
        <is>
          <t>0                      P  0085000L  34                 R  35          1991</t>
        </is>
      </c>
      <c r="D338" t="inlineStr">
        <is>
          <t>Lacan and the subject of language / edited by Ellie Ragland-Sullivan and Mark Bracher.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Ragland-Sullivan, Ellie, 1941-</t>
        </is>
      </c>
      <c r="L338" t="inlineStr">
        <is>
          <t>New York : Routledge, 1991.</t>
        </is>
      </c>
      <c r="M338" t="inlineStr">
        <is>
          <t>1991</t>
        </is>
      </c>
      <c r="O338" t="inlineStr">
        <is>
          <t>eng</t>
        </is>
      </c>
      <c r="P338" t="inlineStr">
        <is>
          <t>nyu</t>
        </is>
      </c>
      <c r="R338" t="inlineStr">
        <is>
          <t xml:space="preserve">P  </t>
        </is>
      </c>
      <c r="S338" t="n">
        <v>7</v>
      </c>
      <c r="T338" t="n">
        <v>7</v>
      </c>
      <c r="U338" t="inlineStr">
        <is>
          <t>2008-12-18</t>
        </is>
      </c>
      <c r="V338" t="inlineStr">
        <is>
          <t>2008-12-18</t>
        </is>
      </c>
      <c r="W338" t="inlineStr">
        <is>
          <t>1991-06-14</t>
        </is>
      </c>
      <c r="X338" t="inlineStr">
        <is>
          <t>1991-06-14</t>
        </is>
      </c>
      <c r="Y338" t="n">
        <v>373</v>
      </c>
      <c r="Z338" t="n">
        <v>261</v>
      </c>
      <c r="AA338" t="n">
        <v>304</v>
      </c>
      <c r="AB338" t="n">
        <v>2</v>
      </c>
      <c r="AC338" t="n">
        <v>2</v>
      </c>
      <c r="AD338" t="n">
        <v>20</v>
      </c>
      <c r="AE338" t="n">
        <v>21</v>
      </c>
      <c r="AF338" t="n">
        <v>8</v>
      </c>
      <c r="AG338" t="n">
        <v>8</v>
      </c>
      <c r="AH338" t="n">
        <v>7</v>
      </c>
      <c r="AI338" t="n">
        <v>8</v>
      </c>
      <c r="AJ338" t="n">
        <v>12</v>
      </c>
      <c r="AK338" t="n">
        <v>13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HYPERLINK("https://creighton-primo.hosted.exlibrisgroup.com/primo-explore/search?tab=default_tab&amp;search_scope=EVERYTHING&amp;vid=01CRU&amp;lang=en_US&amp;offset=0&amp;query=any,contains,991001783039702656","Catalog Record")</f>
        <v/>
      </c>
      <c r="AT338">
        <f>HYPERLINK("http://www.worldcat.org/oclc/22489346","WorldCat Record")</f>
        <v/>
      </c>
      <c r="AU338" t="inlineStr">
        <is>
          <t>350361675:eng</t>
        </is>
      </c>
      <c r="AV338" t="inlineStr">
        <is>
          <t>22489346</t>
        </is>
      </c>
      <c r="AW338" t="inlineStr">
        <is>
          <t>991001783039702656</t>
        </is>
      </c>
      <c r="AX338" t="inlineStr">
        <is>
          <t>991001783039702656</t>
        </is>
      </c>
      <c r="AY338" t="inlineStr">
        <is>
          <t>2271593700002656</t>
        </is>
      </c>
      <c r="AZ338" t="inlineStr">
        <is>
          <t>BOOK</t>
        </is>
      </c>
      <c r="BB338" t="inlineStr">
        <is>
          <t>9780415903080</t>
        </is>
      </c>
      <c r="BC338" t="inlineStr">
        <is>
          <t>32285000656800</t>
        </is>
      </c>
      <c r="BD338" t="inlineStr">
        <is>
          <t>893866477</t>
        </is>
      </c>
    </row>
    <row r="339">
      <c r="A339" t="inlineStr">
        <is>
          <t>No</t>
        </is>
      </c>
      <c r="B339" t="inlineStr">
        <is>
          <t>P85.M48 F76 1982</t>
        </is>
      </c>
      <c r="C339" t="inlineStr">
        <is>
          <t>0                      P  0085000M  48                 F  76          1982</t>
        </is>
      </c>
      <c r="D339" t="inlineStr">
        <is>
          <t>Merleau-Ponty : language and the act of speech / Wayne Jeffrey Froman.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Froman, Wayne Jeffrey, 1945-</t>
        </is>
      </c>
      <c r="L339" t="inlineStr">
        <is>
          <t>Lewisburg [Pa.] : Bucknell University Press ; London : Associated University Presses, c1982.</t>
        </is>
      </c>
      <c r="M339" t="inlineStr">
        <is>
          <t>1982</t>
        </is>
      </c>
      <c r="O339" t="inlineStr">
        <is>
          <t>eng</t>
        </is>
      </c>
      <c r="P339" t="inlineStr">
        <is>
          <t>pau</t>
        </is>
      </c>
      <c r="R339" t="inlineStr">
        <is>
          <t xml:space="preserve">P  </t>
        </is>
      </c>
      <c r="S339" t="n">
        <v>2</v>
      </c>
      <c r="T339" t="n">
        <v>2</v>
      </c>
      <c r="U339" t="inlineStr">
        <is>
          <t>2006-11-09</t>
        </is>
      </c>
      <c r="V339" t="inlineStr">
        <is>
          <t>2006-11-09</t>
        </is>
      </c>
      <c r="W339" t="inlineStr">
        <is>
          <t>1993-03-30</t>
        </is>
      </c>
      <c r="X339" t="inlineStr">
        <is>
          <t>1993-03-30</t>
        </is>
      </c>
      <c r="Y339" t="n">
        <v>362</v>
      </c>
      <c r="Z339" t="n">
        <v>308</v>
      </c>
      <c r="AA339" t="n">
        <v>310</v>
      </c>
      <c r="AB339" t="n">
        <v>3</v>
      </c>
      <c r="AC339" t="n">
        <v>3</v>
      </c>
      <c r="AD339" t="n">
        <v>17</v>
      </c>
      <c r="AE339" t="n">
        <v>17</v>
      </c>
      <c r="AF339" t="n">
        <v>6</v>
      </c>
      <c r="AG339" t="n">
        <v>6</v>
      </c>
      <c r="AH339" t="n">
        <v>4</v>
      </c>
      <c r="AI339" t="n">
        <v>4</v>
      </c>
      <c r="AJ339" t="n">
        <v>11</v>
      </c>
      <c r="AK339" t="n">
        <v>11</v>
      </c>
      <c r="AL339" t="n">
        <v>2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HYPERLINK("http://catalog.hathitrust.org/Record/000188445","HathiTrust Record")</f>
        <v/>
      </c>
      <c r="AS339">
        <f>HYPERLINK("https://creighton-primo.hosted.exlibrisgroup.com/primo-explore/search?tab=default_tab&amp;search_scope=EVERYTHING&amp;vid=01CRU&amp;lang=en_US&amp;offset=0&amp;query=any,contains,991005182719702656","Catalog Record")</f>
        <v/>
      </c>
      <c r="AT339">
        <f>HYPERLINK("http://www.worldcat.org/oclc/7947366","WorldCat Record")</f>
        <v/>
      </c>
      <c r="AU339" t="inlineStr">
        <is>
          <t>3856653396:eng</t>
        </is>
      </c>
      <c r="AV339" t="inlineStr">
        <is>
          <t>7947366</t>
        </is>
      </c>
      <c r="AW339" t="inlineStr">
        <is>
          <t>991005182719702656</t>
        </is>
      </c>
      <c r="AX339" t="inlineStr">
        <is>
          <t>991005182719702656</t>
        </is>
      </c>
      <c r="AY339" t="inlineStr">
        <is>
          <t>2267669010002656</t>
        </is>
      </c>
      <c r="AZ339" t="inlineStr">
        <is>
          <t>BOOK</t>
        </is>
      </c>
      <c r="BB339" t="inlineStr">
        <is>
          <t>9780838750155</t>
        </is>
      </c>
      <c r="BC339" t="inlineStr">
        <is>
          <t>32285001611499</t>
        </is>
      </c>
      <c r="BD339" t="inlineStr">
        <is>
          <t>893230335</t>
        </is>
      </c>
    </row>
    <row r="340">
      <c r="A340" t="inlineStr">
        <is>
          <t>No</t>
        </is>
      </c>
      <c r="B340" t="inlineStr">
        <is>
          <t>P85.S18 C8 1986</t>
        </is>
      </c>
      <c r="C340" t="inlineStr">
        <is>
          <t>0                      P  0085000S  18                 C  8           1986</t>
        </is>
      </c>
      <c r="D340" t="inlineStr">
        <is>
          <t>Ferdinand de Saussure / Jonathan Culler.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Culler, Jonathan D.</t>
        </is>
      </c>
      <c r="L340" t="inlineStr">
        <is>
          <t>Ithaca, N.Y. : Cornell University Press, 1986.</t>
        </is>
      </c>
      <c r="M340" t="inlineStr">
        <is>
          <t>1986</t>
        </is>
      </c>
      <c r="N340" t="inlineStr">
        <is>
          <t>Rev.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P  </t>
        </is>
      </c>
      <c r="S340" t="n">
        <v>6</v>
      </c>
      <c r="T340" t="n">
        <v>6</v>
      </c>
      <c r="U340" t="inlineStr">
        <is>
          <t>2000-11-01</t>
        </is>
      </c>
      <c r="V340" t="inlineStr">
        <is>
          <t>2000-11-01</t>
        </is>
      </c>
      <c r="W340" t="inlineStr">
        <is>
          <t>1993-03-30</t>
        </is>
      </c>
      <c r="X340" t="inlineStr">
        <is>
          <t>1993-03-30</t>
        </is>
      </c>
      <c r="Y340" t="n">
        <v>504</v>
      </c>
      <c r="Z340" t="n">
        <v>404</v>
      </c>
      <c r="AA340" t="n">
        <v>648</v>
      </c>
      <c r="AB340" t="n">
        <v>4</v>
      </c>
      <c r="AC340" t="n">
        <v>5</v>
      </c>
      <c r="AD340" t="n">
        <v>27</v>
      </c>
      <c r="AE340" t="n">
        <v>40</v>
      </c>
      <c r="AF340" t="n">
        <v>12</v>
      </c>
      <c r="AG340" t="n">
        <v>19</v>
      </c>
      <c r="AH340" t="n">
        <v>7</v>
      </c>
      <c r="AI340" t="n">
        <v>9</v>
      </c>
      <c r="AJ340" t="n">
        <v>13</v>
      </c>
      <c r="AK340" t="n">
        <v>19</v>
      </c>
      <c r="AL340" t="n">
        <v>3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HYPERLINK("http://catalog.hathitrust.org/Record/000537448","HathiTrust Record")</f>
        <v/>
      </c>
      <c r="AS340">
        <f>HYPERLINK("https://creighton-primo.hosted.exlibrisgroup.com/primo-explore/search?tab=default_tab&amp;search_scope=EVERYTHING&amp;vid=01CRU&amp;lang=en_US&amp;offset=0&amp;query=any,contains,991000817809702656","Catalog Record")</f>
        <v/>
      </c>
      <c r="AT340">
        <f>HYPERLINK("http://www.worldcat.org/oclc/13360870","WorldCat Record")</f>
        <v/>
      </c>
      <c r="AU340" t="inlineStr">
        <is>
          <t>8907776078:eng</t>
        </is>
      </c>
      <c r="AV340" t="inlineStr">
        <is>
          <t>13360870</t>
        </is>
      </c>
      <c r="AW340" t="inlineStr">
        <is>
          <t>991000817809702656</t>
        </is>
      </c>
      <c r="AX340" t="inlineStr">
        <is>
          <t>991000817809702656</t>
        </is>
      </c>
      <c r="AY340" t="inlineStr">
        <is>
          <t>2271775170002656</t>
        </is>
      </c>
      <c r="AZ340" t="inlineStr">
        <is>
          <t>BOOK</t>
        </is>
      </c>
      <c r="BB340" t="inlineStr">
        <is>
          <t>9780801493898</t>
        </is>
      </c>
      <c r="BC340" t="inlineStr">
        <is>
          <t>32285001611523</t>
        </is>
      </c>
      <c r="BD340" t="inlineStr">
        <is>
          <t>893509136</t>
        </is>
      </c>
    </row>
    <row r="341">
      <c r="A341" t="inlineStr">
        <is>
          <t>No</t>
        </is>
      </c>
      <c r="B341" t="inlineStr">
        <is>
          <t>P85.S74 R4 1994</t>
        </is>
      </c>
      <c r="C341" t="inlineStr">
        <is>
          <t>0                      P  0085000S  74                 R  4           1994</t>
        </is>
      </c>
      <c r="D341" t="inlineStr">
        <is>
          <t>Reading George Steiner / edited by Nathan A. Scott, Jr. and Ronald A. Sharp.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Baltimore : Johns Hopkins University Press, 1994.</t>
        </is>
      </c>
      <c r="M341" t="inlineStr">
        <is>
          <t>1994</t>
        </is>
      </c>
      <c r="O341" t="inlineStr">
        <is>
          <t>eng</t>
        </is>
      </c>
      <c r="P341" t="inlineStr">
        <is>
          <t>mdu</t>
        </is>
      </c>
      <c r="R341" t="inlineStr">
        <is>
          <t xml:space="preserve">P  </t>
        </is>
      </c>
      <c r="S341" t="n">
        <v>5</v>
      </c>
      <c r="T341" t="n">
        <v>5</v>
      </c>
      <c r="U341" t="inlineStr">
        <is>
          <t>2010-03-05</t>
        </is>
      </c>
      <c r="V341" t="inlineStr">
        <is>
          <t>2010-03-05</t>
        </is>
      </c>
      <c r="W341" t="inlineStr">
        <is>
          <t>2005-10-05</t>
        </is>
      </c>
      <c r="X341" t="inlineStr">
        <is>
          <t>2005-10-05</t>
        </is>
      </c>
      <c r="Y341" t="n">
        <v>429</v>
      </c>
      <c r="Z341" t="n">
        <v>336</v>
      </c>
      <c r="AA341" t="n">
        <v>340</v>
      </c>
      <c r="AB341" t="n">
        <v>3</v>
      </c>
      <c r="AC341" t="n">
        <v>3</v>
      </c>
      <c r="AD341" t="n">
        <v>19</v>
      </c>
      <c r="AE341" t="n">
        <v>19</v>
      </c>
      <c r="AF341" t="n">
        <v>7</v>
      </c>
      <c r="AG341" t="n">
        <v>7</v>
      </c>
      <c r="AH341" t="n">
        <v>6</v>
      </c>
      <c r="AI341" t="n">
        <v>6</v>
      </c>
      <c r="AJ341" t="n">
        <v>12</v>
      </c>
      <c r="AK341" t="n">
        <v>12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HYPERLINK("http://catalog.hathitrust.org/Record/002810105","HathiTrust Record")</f>
        <v/>
      </c>
      <c r="AS341">
        <f>HYPERLINK("https://creighton-primo.hosted.exlibrisgroup.com/primo-explore/search?tab=default_tab&amp;search_scope=EVERYTHING&amp;vid=01CRU&amp;lang=en_US&amp;offset=0&amp;query=any,contains,991004673669702656","Catalog Record")</f>
        <v/>
      </c>
      <c r="AT341">
        <f>HYPERLINK("http://www.worldcat.org/oclc/28721435","WorldCat Record")</f>
        <v/>
      </c>
      <c r="AU341" t="inlineStr">
        <is>
          <t>350051921:eng</t>
        </is>
      </c>
      <c r="AV341" t="inlineStr">
        <is>
          <t>28721435</t>
        </is>
      </c>
      <c r="AW341" t="inlineStr">
        <is>
          <t>991004673669702656</t>
        </is>
      </c>
      <c r="AX341" t="inlineStr">
        <is>
          <t>991004673669702656</t>
        </is>
      </c>
      <c r="AY341" t="inlineStr">
        <is>
          <t>2266099740002656</t>
        </is>
      </c>
      <c r="AZ341" t="inlineStr">
        <is>
          <t>BOOK</t>
        </is>
      </c>
      <c r="BB341" t="inlineStr">
        <is>
          <t>9780801847486</t>
        </is>
      </c>
      <c r="BC341" t="inlineStr">
        <is>
          <t>32285005087589</t>
        </is>
      </c>
      <c r="BD341" t="inlineStr">
        <is>
          <t>893606323</t>
        </is>
      </c>
    </row>
    <row r="342">
      <c r="A342" t="inlineStr">
        <is>
          <t>No</t>
        </is>
      </c>
      <c r="B342" t="inlineStr">
        <is>
          <t>P85.W478 A78 2005</t>
        </is>
      </c>
      <c r="C342" t="inlineStr">
        <is>
          <t>0                      P  0085000W  478                A  78          2005</t>
        </is>
      </c>
      <c r="D342" t="inlineStr">
        <is>
          <t>William Dwight Whitney and the science of language / Stephen G. Alter.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Alter, Stephen G.</t>
        </is>
      </c>
      <c r="L342" t="inlineStr">
        <is>
          <t>Baltimore, Md. : Johns Hopkins University Press, c2005.</t>
        </is>
      </c>
      <c r="M342" t="inlineStr">
        <is>
          <t>2005</t>
        </is>
      </c>
      <c r="O342" t="inlineStr">
        <is>
          <t>eng</t>
        </is>
      </c>
      <c r="P342" t="inlineStr">
        <is>
          <t>mdu</t>
        </is>
      </c>
      <c r="R342" t="inlineStr">
        <is>
          <t xml:space="preserve">P  </t>
        </is>
      </c>
      <c r="S342" t="n">
        <v>1</v>
      </c>
      <c r="T342" t="n">
        <v>1</v>
      </c>
      <c r="U342" t="inlineStr">
        <is>
          <t>2005-04-26</t>
        </is>
      </c>
      <c r="V342" t="inlineStr">
        <is>
          <t>2005-04-26</t>
        </is>
      </c>
      <c r="W342" t="inlineStr">
        <is>
          <t>2005-04-26</t>
        </is>
      </c>
      <c r="X342" t="inlineStr">
        <is>
          <t>2005-04-26</t>
        </is>
      </c>
      <c r="Y342" t="n">
        <v>297</v>
      </c>
      <c r="Z342" t="n">
        <v>248</v>
      </c>
      <c r="AA342" t="n">
        <v>379</v>
      </c>
      <c r="AB342" t="n">
        <v>2</v>
      </c>
      <c r="AC342" t="n">
        <v>5</v>
      </c>
      <c r="AD342" t="n">
        <v>12</v>
      </c>
      <c r="AE342" t="n">
        <v>19</v>
      </c>
      <c r="AF342" t="n">
        <v>6</v>
      </c>
      <c r="AG342" t="n">
        <v>9</v>
      </c>
      <c r="AH342" t="n">
        <v>3</v>
      </c>
      <c r="AI342" t="n">
        <v>4</v>
      </c>
      <c r="AJ342" t="n">
        <v>7</v>
      </c>
      <c r="AK342" t="n">
        <v>8</v>
      </c>
      <c r="AL342" t="n">
        <v>1</v>
      </c>
      <c r="AM342" t="n">
        <v>4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HYPERLINK("http://catalog.hathitrust.org/Record/006879201","HathiTrust Record")</f>
        <v/>
      </c>
      <c r="AS342">
        <f>HYPERLINK("https://creighton-primo.hosted.exlibrisgroup.com/primo-explore/search?tab=default_tab&amp;search_scope=EVERYTHING&amp;vid=01CRU&amp;lang=en_US&amp;offset=0&amp;query=any,contains,991004532129702656","Catalog Record")</f>
        <v/>
      </c>
      <c r="AT342">
        <f>HYPERLINK("http://www.worldcat.org/oclc/55487335","WorldCat Record")</f>
        <v/>
      </c>
      <c r="AU342" t="inlineStr">
        <is>
          <t>903745:eng</t>
        </is>
      </c>
      <c r="AV342" t="inlineStr">
        <is>
          <t>55487335</t>
        </is>
      </c>
      <c r="AW342" t="inlineStr">
        <is>
          <t>991004532129702656</t>
        </is>
      </c>
      <c r="AX342" t="inlineStr">
        <is>
          <t>991004532129702656</t>
        </is>
      </c>
      <c r="AY342" t="inlineStr">
        <is>
          <t>2263146140002656</t>
        </is>
      </c>
      <c r="AZ342" t="inlineStr">
        <is>
          <t>BOOK</t>
        </is>
      </c>
      <c r="BB342" t="inlineStr">
        <is>
          <t>9780801880209</t>
        </is>
      </c>
      <c r="BC342" t="inlineStr">
        <is>
          <t>32285005033609</t>
        </is>
      </c>
      <c r="BD342" t="inlineStr">
        <is>
          <t>893782346</t>
        </is>
      </c>
    </row>
    <row r="343">
      <c r="A343" t="inlineStr">
        <is>
          <t>No</t>
        </is>
      </c>
      <c r="B343" t="inlineStr">
        <is>
          <t>P87.25 .I52 2002</t>
        </is>
      </c>
      <c r="C343" t="inlineStr">
        <is>
          <t>0                      P  0087250I  52          2002</t>
        </is>
      </c>
      <c r="D343" t="inlineStr">
        <is>
          <t>Included in communication : learning climates that cultivate racial and ethnic diversity / Judtih S. Trent, editor.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Washington, D.C. : American Association for Higher Education, c2002.</t>
        </is>
      </c>
      <c r="M343" t="inlineStr">
        <is>
          <t>2002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P  </t>
        </is>
      </c>
      <c r="S343" t="n">
        <v>2</v>
      </c>
      <c r="T343" t="n">
        <v>2</v>
      </c>
      <c r="U343" t="inlineStr">
        <is>
          <t>2006-04-20</t>
        </is>
      </c>
      <c r="V343" t="inlineStr">
        <is>
          <t>2006-04-20</t>
        </is>
      </c>
      <c r="W343" t="inlineStr">
        <is>
          <t>2003-11-25</t>
        </is>
      </c>
      <c r="X343" t="inlineStr">
        <is>
          <t>2003-11-25</t>
        </is>
      </c>
      <c r="Y343" t="n">
        <v>115</v>
      </c>
      <c r="Z343" t="n">
        <v>112</v>
      </c>
      <c r="AA343" t="n">
        <v>117</v>
      </c>
      <c r="AB343" t="n">
        <v>1</v>
      </c>
      <c r="AC343" t="n">
        <v>1</v>
      </c>
      <c r="AD343" t="n">
        <v>2</v>
      </c>
      <c r="AE343" t="n">
        <v>2</v>
      </c>
      <c r="AF343" t="n">
        <v>0</v>
      </c>
      <c r="AG343" t="n">
        <v>0</v>
      </c>
      <c r="AH343" t="n">
        <v>1</v>
      </c>
      <c r="AI343" t="n">
        <v>1</v>
      </c>
      <c r="AJ343" t="n">
        <v>1</v>
      </c>
      <c r="AK343" t="n">
        <v>1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HYPERLINK("http://catalog.hathitrust.org/Record/012255696","HathiTrust Record")</f>
        <v/>
      </c>
      <c r="AS343">
        <f>HYPERLINK("https://creighton-primo.hosted.exlibrisgroup.com/primo-explore/search?tab=default_tab&amp;search_scope=EVERYTHING&amp;vid=01CRU&amp;lang=en_US&amp;offset=0&amp;query=any,contains,991004192109702656","Catalog Record")</f>
        <v/>
      </c>
      <c r="AT343">
        <f>HYPERLINK("http://www.worldcat.org/oclc/49793422","WorldCat Record")</f>
        <v/>
      </c>
      <c r="AU343" t="inlineStr">
        <is>
          <t>1045544649:eng</t>
        </is>
      </c>
      <c r="AV343" t="inlineStr">
        <is>
          <t>49793422</t>
        </is>
      </c>
      <c r="AW343" t="inlineStr">
        <is>
          <t>991004192109702656</t>
        </is>
      </c>
      <c r="AX343" t="inlineStr">
        <is>
          <t>991004192109702656</t>
        </is>
      </c>
      <c r="AY343" t="inlineStr">
        <is>
          <t>2255784020002656</t>
        </is>
      </c>
      <c r="AZ343" t="inlineStr">
        <is>
          <t>BOOK</t>
        </is>
      </c>
      <c r="BB343" t="inlineStr">
        <is>
          <t>9781563770517</t>
        </is>
      </c>
      <c r="BC343" t="inlineStr">
        <is>
          <t>32285004842299</t>
        </is>
      </c>
      <c r="BD343" t="inlineStr">
        <is>
          <t>893706085</t>
        </is>
      </c>
    </row>
    <row r="344">
      <c r="A344" t="inlineStr">
        <is>
          <t>No</t>
        </is>
      </c>
      <c r="B344" t="inlineStr">
        <is>
          <t>P90 .B4133 2002</t>
        </is>
      </c>
      <c r="C344" t="inlineStr">
        <is>
          <t>0                      P  0090000B  4133        2002</t>
        </is>
      </c>
      <c r="D344" t="inlineStr">
        <is>
          <t>The mass comm murders : five media theorists self-destruct / Arthur Asa Berger ; illustrated by the author.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Berger, Arthur Asa, 1933-</t>
        </is>
      </c>
      <c r="L344" t="inlineStr">
        <is>
          <t>Lanham, Md. : Rowman &amp; Littlefield, c2002.</t>
        </is>
      </c>
      <c r="M344" t="inlineStr">
        <is>
          <t>2002</t>
        </is>
      </c>
      <c r="O344" t="inlineStr">
        <is>
          <t>eng</t>
        </is>
      </c>
      <c r="P344" t="inlineStr">
        <is>
          <t>mdu</t>
        </is>
      </c>
      <c r="R344" t="inlineStr">
        <is>
          <t xml:space="preserve">P  </t>
        </is>
      </c>
      <c r="S344" t="n">
        <v>1</v>
      </c>
      <c r="T344" t="n">
        <v>1</v>
      </c>
      <c r="U344" t="inlineStr">
        <is>
          <t>2003-12-02</t>
        </is>
      </c>
      <c r="V344" t="inlineStr">
        <is>
          <t>2003-12-02</t>
        </is>
      </c>
      <c r="W344" t="inlineStr">
        <is>
          <t>2003-10-02</t>
        </is>
      </c>
      <c r="X344" t="inlineStr">
        <is>
          <t>2003-10-02</t>
        </is>
      </c>
      <c r="Y344" t="n">
        <v>181</v>
      </c>
      <c r="Z344" t="n">
        <v>152</v>
      </c>
      <c r="AA344" t="n">
        <v>153</v>
      </c>
      <c r="AB344" t="n">
        <v>2</v>
      </c>
      <c r="AC344" t="n">
        <v>2</v>
      </c>
      <c r="AD344" t="n">
        <v>12</v>
      </c>
      <c r="AE344" t="n">
        <v>12</v>
      </c>
      <c r="AF344" t="n">
        <v>1</v>
      </c>
      <c r="AG344" t="n">
        <v>1</v>
      </c>
      <c r="AH344" t="n">
        <v>4</v>
      </c>
      <c r="AI344" t="n">
        <v>4</v>
      </c>
      <c r="AJ344" t="n">
        <v>9</v>
      </c>
      <c r="AK344" t="n">
        <v>9</v>
      </c>
      <c r="AL344" t="n">
        <v>1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HYPERLINK("http://catalog.hathitrust.org/Record/007142817","HathiTrust Record")</f>
        <v/>
      </c>
      <c r="AS344">
        <f>HYPERLINK("https://creighton-primo.hosted.exlibrisgroup.com/primo-explore/search?tab=default_tab&amp;search_scope=EVERYTHING&amp;vid=01CRU&amp;lang=en_US&amp;offset=0&amp;query=any,contains,991004150129702656","Catalog Record")</f>
        <v/>
      </c>
      <c r="AT344">
        <f>HYPERLINK("http://www.worldcat.org/oclc/48559158","WorldCat Record")</f>
        <v/>
      </c>
      <c r="AU344" t="inlineStr">
        <is>
          <t>289883843:eng</t>
        </is>
      </c>
      <c r="AV344" t="inlineStr">
        <is>
          <t>48559158</t>
        </is>
      </c>
      <c r="AW344" t="inlineStr">
        <is>
          <t>991004150129702656</t>
        </is>
      </c>
      <c r="AX344" t="inlineStr">
        <is>
          <t>991004150129702656</t>
        </is>
      </c>
      <c r="AY344" t="inlineStr">
        <is>
          <t>2267308500002656</t>
        </is>
      </c>
      <c r="AZ344" t="inlineStr">
        <is>
          <t>BOOK</t>
        </is>
      </c>
      <c r="BB344" t="inlineStr">
        <is>
          <t>9780742517202</t>
        </is>
      </c>
      <c r="BC344" t="inlineStr">
        <is>
          <t>32285004843578</t>
        </is>
      </c>
      <c r="BD344" t="inlineStr">
        <is>
          <t>893712217</t>
        </is>
      </c>
    </row>
    <row r="345">
      <c r="A345" t="inlineStr">
        <is>
          <t>No</t>
        </is>
      </c>
      <c r="B345" t="inlineStr">
        <is>
          <t>P90 .B55 1980</t>
        </is>
      </c>
      <c r="C345" t="inlineStr">
        <is>
          <t>0                      P  0090000B  55          1980</t>
        </is>
      </c>
      <c r="D345" t="inlineStr">
        <is>
          <t>Basic books in the mass media : an annotated, selected booklist covering general communications, book publishing, broadcasting, editorial journalism, film, magazines, and advertising / Eleanor Blum.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Blum, Eleanor.</t>
        </is>
      </c>
      <c r="L345" t="inlineStr">
        <is>
          <t>Urbana : University of Illinois Press, c1980.</t>
        </is>
      </c>
      <c r="M345" t="inlineStr">
        <is>
          <t>1980</t>
        </is>
      </c>
      <c r="N345" t="inlineStr">
        <is>
          <t>2d ed.</t>
        </is>
      </c>
      <c r="O345" t="inlineStr">
        <is>
          <t>eng</t>
        </is>
      </c>
      <c r="P345" t="inlineStr">
        <is>
          <t>ilu</t>
        </is>
      </c>
      <c r="R345" t="inlineStr">
        <is>
          <t xml:space="preserve">P  </t>
        </is>
      </c>
      <c r="S345" t="n">
        <v>4</v>
      </c>
      <c r="T345" t="n">
        <v>4</v>
      </c>
      <c r="U345" t="inlineStr">
        <is>
          <t>2000-04-18</t>
        </is>
      </c>
      <c r="V345" t="inlineStr">
        <is>
          <t>2000-04-18</t>
        </is>
      </c>
      <c r="W345" t="inlineStr">
        <is>
          <t>1996-12-20</t>
        </is>
      </c>
      <c r="X345" t="inlineStr">
        <is>
          <t>1996-12-20</t>
        </is>
      </c>
      <c r="Y345" t="n">
        <v>467</v>
      </c>
      <c r="Z345" t="n">
        <v>381</v>
      </c>
      <c r="AA345" t="n">
        <v>385</v>
      </c>
      <c r="AB345" t="n">
        <v>4</v>
      </c>
      <c r="AC345" t="n">
        <v>4</v>
      </c>
      <c r="AD345" t="n">
        <v>15</v>
      </c>
      <c r="AE345" t="n">
        <v>15</v>
      </c>
      <c r="AF345" t="n">
        <v>6</v>
      </c>
      <c r="AG345" t="n">
        <v>6</v>
      </c>
      <c r="AH345" t="n">
        <v>2</v>
      </c>
      <c r="AI345" t="n">
        <v>2</v>
      </c>
      <c r="AJ345" t="n">
        <v>5</v>
      </c>
      <c r="AK345" t="n">
        <v>5</v>
      </c>
      <c r="AL345" t="n">
        <v>3</v>
      </c>
      <c r="AM345" t="n">
        <v>3</v>
      </c>
      <c r="AN345" t="n">
        <v>1</v>
      </c>
      <c r="AO345" t="n">
        <v>1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HYPERLINK("http://catalog.hathitrust.org/Record/000715548","HathiTrust Record")</f>
        <v/>
      </c>
      <c r="AS345">
        <f>HYPERLINK("https://creighton-primo.hosted.exlibrisgroup.com/primo-explore/search?tab=default_tab&amp;search_scope=EVERYTHING&amp;vid=01CRU&amp;lang=en_US&amp;offset=0&amp;query=any,contains,991004929919702656","Catalog Record")</f>
        <v/>
      </c>
      <c r="AT345">
        <f>HYPERLINK("http://www.worldcat.org/oclc/6092252","WorldCat Record")</f>
        <v/>
      </c>
      <c r="AU345" t="inlineStr">
        <is>
          <t>4160662455:eng</t>
        </is>
      </c>
      <c r="AV345" t="inlineStr">
        <is>
          <t>6092252</t>
        </is>
      </c>
      <c r="AW345" t="inlineStr">
        <is>
          <t>991004929919702656</t>
        </is>
      </c>
      <c r="AX345" t="inlineStr">
        <is>
          <t>991004929919702656</t>
        </is>
      </c>
      <c r="AY345" t="inlineStr">
        <is>
          <t>2263276860002656</t>
        </is>
      </c>
      <c r="AZ345" t="inlineStr">
        <is>
          <t>BOOK</t>
        </is>
      </c>
      <c r="BB345" t="inlineStr">
        <is>
          <t>9780252008146</t>
        </is>
      </c>
      <c r="BC345" t="inlineStr">
        <is>
          <t>32285002401791</t>
        </is>
      </c>
      <c r="BD345" t="inlineStr">
        <is>
          <t>893719562</t>
        </is>
      </c>
    </row>
    <row r="346">
      <c r="A346" t="inlineStr">
        <is>
          <t>No</t>
        </is>
      </c>
      <c r="B346" t="inlineStr">
        <is>
          <t>P90 .B6764 2006</t>
        </is>
      </c>
      <c r="C346" t="inlineStr">
        <is>
          <t>0                      P  0090000B  6764        2006</t>
        </is>
      </c>
      <c r="D346" t="inlineStr">
        <is>
          <t>The media student's book / Gill Branston and Roy Stafford.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Branston, Gill.</t>
        </is>
      </c>
      <c r="L346" t="inlineStr">
        <is>
          <t>London ; New York : Routledge, 2006.</t>
        </is>
      </c>
      <c r="M346" t="inlineStr">
        <is>
          <t>2006</t>
        </is>
      </c>
      <c r="N346" t="inlineStr">
        <is>
          <t>4th ed.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P  </t>
        </is>
      </c>
      <c r="S346" t="n">
        <v>2</v>
      </c>
      <c r="T346" t="n">
        <v>2</v>
      </c>
      <c r="U346" t="inlineStr">
        <is>
          <t>2007-11-12</t>
        </is>
      </c>
      <c r="V346" t="inlineStr">
        <is>
          <t>2007-11-12</t>
        </is>
      </c>
      <c r="W346" t="inlineStr">
        <is>
          <t>2007-09-18</t>
        </is>
      </c>
      <c r="X346" t="inlineStr">
        <is>
          <t>2007-09-18</t>
        </is>
      </c>
      <c r="Y346" t="n">
        <v>246</v>
      </c>
      <c r="Z346" t="n">
        <v>44</v>
      </c>
      <c r="AA346" t="n">
        <v>583</v>
      </c>
      <c r="AB346" t="n">
        <v>1</v>
      </c>
      <c r="AC346" t="n">
        <v>5</v>
      </c>
      <c r="AD346" t="n">
        <v>2</v>
      </c>
      <c r="AE346" t="n">
        <v>29</v>
      </c>
      <c r="AF346" t="n">
        <v>1</v>
      </c>
      <c r="AG346" t="n">
        <v>10</v>
      </c>
      <c r="AH346" t="n">
        <v>1</v>
      </c>
      <c r="AI346" t="n">
        <v>8</v>
      </c>
      <c r="AJ346" t="n">
        <v>1</v>
      </c>
      <c r="AK346" t="n">
        <v>13</v>
      </c>
      <c r="AL346" t="n">
        <v>0</v>
      </c>
      <c r="AM346" t="n">
        <v>4</v>
      </c>
      <c r="AN346" t="n">
        <v>0</v>
      </c>
      <c r="AO346" t="n">
        <v>1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HYPERLINK("https://creighton-primo.hosted.exlibrisgroup.com/primo-explore/search?tab=default_tab&amp;search_scope=EVERYTHING&amp;vid=01CRU&amp;lang=en_US&amp;offset=0&amp;query=any,contains,991005101409702656","Catalog Record")</f>
        <v/>
      </c>
      <c r="AT346">
        <f>HYPERLINK("http://www.worldcat.org/oclc/61703940","WorldCat Record")</f>
        <v/>
      </c>
      <c r="AU346" t="inlineStr">
        <is>
          <t>882393:eng</t>
        </is>
      </c>
      <c r="AV346" t="inlineStr">
        <is>
          <t>61703940</t>
        </is>
      </c>
      <c r="AW346" t="inlineStr">
        <is>
          <t>991005101409702656</t>
        </is>
      </c>
      <c r="AX346" t="inlineStr">
        <is>
          <t>991005101409702656</t>
        </is>
      </c>
      <c r="AY346" t="inlineStr">
        <is>
          <t>2259263840002656</t>
        </is>
      </c>
      <c r="AZ346" t="inlineStr">
        <is>
          <t>BOOK</t>
        </is>
      </c>
      <c r="BB346" t="inlineStr">
        <is>
          <t>9780415371421</t>
        </is>
      </c>
      <c r="BC346" t="inlineStr">
        <is>
          <t>32285005325195</t>
        </is>
      </c>
      <c r="BD346" t="inlineStr">
        <is>
          <t>893350711</t>
        </is>
      </c>
    </row>
    <row r="347">
      <c r="A347" t="inlineStr">
        <is>
          <t>No</t>
        </is>
      </c>
      <c r="B347" t="inlineStr">
        <is>
          <t>P90 .C6324 2006</t>
        </is>
      </c>
      <c r="C347" t="inlineStr">
        <is>
          <t>0                      P  0090000C  6324        2006</t>
        </is>
      </c>
      <c r="D347" t="inlineStr">
        <is>
          <t>Communication theories / edited by Paul Cobley.</t>
        </is>
      </c>
      <c r="E347" t="inlineStr">
        <is>
          <t>V. 2</t>
        </is>
      </c>
      <c r="F347" t="inlineStr">
        <is>
          <t>Yes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London ; New York : Routledge, 2006.</t>
        </is>
      </c>
      <c r="M347" t="inlineStr">
        <is>
          <t>2006</t>
        </is>
      </c>
      <c r="O347" t="inlineStr">
        <is>
          <t>eng</t>
        </is>
      </c>
      <c r="P347" t="inlineStr">
        <is>
          <t>enk</t>
        </is>
      </c>
      <c r="Q347" t="inlineStr">
        <is>
          <t>Critical concepts in media and cultural studies</t>
        </is>
      </c>
      <c r="R347" t="inlineStr">
        <is>
          <t xml:space="preserve">P  </t>
        </is>
      </c>
      <c r="S347" t="n">
        <v>1</v>
      </c>
      <c r="T347" t="n">
        <v>4</v>
      </c>
      <c r="U347" t="inlineStr">
        <is>
          <t>2006-05-16</t>
        </is>
      </c>
      <c r="V347" t="inlineStr">
        <is>
          <t>2006-05-16</t>
        </is>
      </c>
      <c r="W347" t="inlineStr">
        <is>
          <t>2006-05-16</t>
        </is>
      </c>
      <c r="X347" t="inlineStr">
        <is>
          <t>2006-05-16</t>
        </is>
      </c>
      <c r="Y347" t="n">
        <v>97</v>
      </c>
      <c r="Z347" t="n">
        <v>49</v>
      </c>
      <c r="AA347" t="n">
        <v>49</v>
      </c>
      <c r="AB347" t="n">
        <v>1</v>
      </c>
      <c r="AC347" t="n">
        <v>1</v>
      </c>
      <c r="AD347" t="n">
        <v>2</v>
      </c>
      <c r="AE347" t="n">
        <v>2</v>
      </c>
      <c r="AF347" t="n">
        <v>0</v>
      </c>
      <c r="AG347" t="n">
        <v>0</v>
      </c>
      <c r="AH347" t="n">
        <v>1</v>
      </c>
      <c r="AI347" t="n">
        <v>1</v>
      </c>
      <c r="AJ347" t="n">
        <v>2</v>
      </c>
      <c r="AK347" t="n">
        <v>2</v>
      </c>
      <c r="AL347" t="n">
        <v>0</v>
      </c>
      <c r="AM347" t="n">
        <v>0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47">
        <f>HYPERLINK("http://www.worldcat.org/oclc/60791752","WorldCat Record")</f>
        <v/>
      </c>
      <c r="AU347" t="inlineStr">
        <is>
          <t>890521876:eng</t>
        </is>
      </c>
      <c r="AV347" t="inlineStr">
        <is>
          <t>60791752</t>
        </is>
      </c>
      <c r="AW347" t="inlineStr">
        <is>
          <t>991004764059702656</t>
        </is>
      </c>
      <c r="AX347" t="inlineStr">
        <is>
          <t>991004764059702656</t>
        </is>
      </c>
      <c r="AY347" t="inlineStr">
        <is>
          <t>2261223500002656</t>
        </is>
      </c>
      <c r="AZ347" t="inlineStr">
        <is>
          <t>BOOK</t>
        </is>
      </c>
      <c r="BB347" t="inlineStr">
        <is>
          <t>9780415331975</t>
        </is>
      </c>
      <c r="BC347" t="inlineStr">
        <is>
          <t>32285005187561</t>
        </is>
      </c>
      <c r="BD347" t="inlineStr">
        <is>
          <t>893247952</t>
        </is>
      </c>
    </row>
    <row r="348">
      <c r="A348" t="inlineStr">
        <is>
          <t>No</t>
        </is>
      </c>
      <c r="B348" t="inlineStr">
        <is>
          <t>P90 .C6324 2006</t>
        </is>
      </c>
      <c r="C348" t="inlineStr">
        <is>
          <t>0                      P  0090000C  6324        2006</t>
        </is>
      </c>
      <c r="D348" t="inlineStr">
        <is>
          <t>Communication theories / edited by Paul Cobley.</t>
        </is>
      </c>
      <c r="E348" t="inlineStr">
        <is>
          <t>V. 1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London ; New York : Routledge, 2006.</t>
        </is>
      </c>
      <c r="M348" t="inlineStr">
        <is>
          <t>2006</t>
        </is>
      </c>
      <c r="O348" t="inlineStr">
        <is>
          <t>eng</t>
        </is>
      </c>
      <c r="P348" t="inlineStr">
        <is>
          <t>enk</t>
        </is>
      </c>
      <c r="Q348" t="inlineStr">
        <is>
          <t>Critical concepts in media and cultural studies</t>
        </is>
      </c>
      <c r="R348" t="inlineStr">
        <is>
          <t xml:space="preserve">P  </t>
        </is>
      </c>
      <c r="S348" t="n">
        <v>1</v>
      </c>
      <c r="T348" t="n">
        <v>4</v>
      </c>
      <c r="U348" t="inlineStr">
        <is>
          <t>2006-05-16</t>
        </is>
      </c>
      <c r="V348" t="inlineStr">
        <is>
          <t>2006-05-16</t>
        </is>
      </c>
      <c r="W348" t="inlineStr">
        <is>
          <t>2006-05-16</t>
        </is>
      </c>
      <c r="X348" t="inlineStr">
        <is>
          <t>2006-05-16</t>
        </is>
      </c>
      <c r="Y348" t="n">
        <v>97</v>
      </c>
      <c r="Z348" t="n">
        <v>49</v>
      </c>
      <c r="AA348" t="n">
        <v>49</v>
      </c>
      <c r="AB348" t="n">
        <v>1</v>
      </c>
      <c r="AC348" t="n">
        <v>1</v>
      </c>
      <c r="AD348" t="n">
        <v>2</v>
      </c>
      <c r="AE348" t="n">
        <v>2</v>
      </c>
      <c r="AF348" t="n">
        <v>0</v>
      </c>
      <c r="AG348" t="n">
        <v>0</v>
      </c>
      <c r="AH348" t="n">
        <v>1</v>
      </c>
      <c r="AI348" t="n">
        <v>1</v>
      </c>
      <c r="AJ348" t="n">
        <v>2</v>
      </c>
      <c r="AK348" t="n">
        <v>2</v>
      </c>
      <c r="AL348" t="n">
        <v>0</v>
      </c>
      <c r="AM348" t="n">
        <v>0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48">
        <f>HYPERLINK("http://www.worldcat.org/oclc/60791752","WorldCat Record")</f>
        <v/>
      </c>
      <c r="AU348" t="inlineStr">
        <is>
          <t>890521876:eng</t>
        </is>
      </c>
      <c r="AV348" t="inlineStr">
        <is>
          <t>60791752</t>
        </is>
      </c>
      <c r="AW348" t="inlineStr">
        <is>
          <t>991004764059702656</t>
        </is>
      </c>
      <c r="AX348" t="inlineStr">
        <is>
          <t>991004764059702656</t>
        </is>
      </c>
      <c r="AY348" t="inlineStr">
        <is>
          <t>2261223500002656</t>
        </is>
      </c>
      <c r="AZ348" t="inlineStr">
        <is>
          <t>BOOK</t>
        </is>
      </c>
      <c r="BB348" t="inlineStr">
        <is>
          <t>9780415331975</t>
        </is>
      </c>
      <c r="BC348" t="inlineStr">
        <is>
          <t>32285005187553</t>
        </is>
      </c>
      <c r="BD348" t="inlineStr">
        <is>
          <t>893260140</t>
        </is>
      </c>
    </row>
    <row r="349">
      <c r="A349" t="inlineStr">
        <is>
          <t>No</t>
        </is>
      </c>
      <c r="B349" t="inlineStr">
        <is>
          <t>P90 .C6324 2006</t>
        </is>
      </c>
      <c r="C349" t="inlineStr">
        <is>
          <t>0                      P  0090000C  6324        2006</t>
        </is>
      </c>
      <c r="D349" t="inlineStr">
        <is>
          <t>Communication theories / edited by Paul Cobley.</t>
        </is>
      </c>
      <c r="E349" t="inlineStr">
        <is>
          <t>V. 3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London ; New York : Routledge, 2006.</t>
        </is>
      </c>
      <c r="M349" t="inlineStr">
        <is>
          <t>2006</t>
        </is>
      </c>
      <c r="O349" t="inlineStr">
        <is>
          <t>eng</t>
        </is>
      </c>
      <c r="P349" t="inlineStr">
        <is>
          <t>enk</t>
        </is>
      </c>
      <c r="Q349" t="inlineStr">
        <is>
          <t>Critical concepts in media and cultural studies</t>
        </is>
      </c>
      <c r="R349" t="inlineStr">
        <is>
          <t xml:space="preserve">P  </t>
        </is>
      </c>
      <c r="S349" t="n">
        <v>1</v>
      </c>
      <c r="T349" t="n">
        <v>4</v>
      </c>
      <c r="U349" t="inlineStr">
        <is>
          <t>2006-05-16</t>
        </is>
      </c>
      <c r="V349" t="inlineStr">
        <is>
          <t>2006-05-16</t>
        </is>
      </c>
      <c r="W349" t="inlineStr">
        <is>
          <t>2006-05-16</t>
        </is>
      </c>
      <c r="X349" t="inlineStr">
        <is>
          <t>2006-05-16</t>
        </is>
      </c>
      <c r="Y349" t="n">
        <v>97</v>
      </c>
      <c r="Z349" t="n">
        <v>49</v>
      </c>
      <c r="AA349" t="n">
        <v>49</v>
      </c>
      <c r="AB349" t="n">
        <v>1</v>
      </c>
      <c r="AC349" t="n">
        <v>1</v>
      </c>
      <c r="AD349" t="n">
        <v>2</v>
      </c>
      <c r="AE349" t="n">
        <v>2</v>
      </c>
      <c r="AF349" t="n">
        <v>0</v>
      </c>
      <c r="AG349" t="n">
        <v>0</v>
      </c>
      <c r="AH349" t="n">
        <v>1</v>
      </c>
      <c r="AI349" t="n">
        <v>1</v>
      </c>
      <c r="AJ349" t="n">
        <v>2</v>
      </c>
      <c r="AK349" t="n">
        <v>2</v>
      </c>
      <c r="AL349" t="n">
        <v>0</v>
      </c>
      <c r="AM349" t="n">
        <v>0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49">
        <f>HYPERLINK("http://www.worldcat.org/oclc/60791752","WorldCat Record")</f>
        <v/>
      </c>
      <c r="AU349" t="inlineStr">
        <is>
          <t>890521876:eng</t>
        </is>
      </c>
      <c r="AV349" t="inlineStr">
        <is>
          <t>60791752</t>
        </is>
      </c>
      <c r="AW349" t="inlineStr">
        <is>
          <t>991004764059702656</t>
        </is>
      </c>
      <c r="AX349" t="inlineStr">
        <is>
          <t>991004764059702656</t>
        </is>
      </c>
      <c r="AY349" t="inlineStr">
        <is>
          <t>2261223500002656</t>
        </is>
      </c>
      <c r="AZ349" t="inlineStr">
        <is>
          <t>BOOK</t>
        </is>
      </c>
      <c r="BB349" t="inlineStr">
        <is>
          <t>9780415331975</t>
        </is>
      </c>
      <c r="BC349" t="inlineStr">
        <is>
          <t>32285005187579</t>
        </is>
      </c>
      <c r="BD349" t="inlineStr">
        <is>
          <t>893247951</t>
        </is>
      </c>
    </row>
    <row r="350">
      <c r="A350" t="inlineStr">
        <is>
          <t>No</t>
        </is>
      </c>
      <c r="B350" t="inlineStr">
        <is>
          <t>P90 .C6324 2006</t>
        </is>
      </c>
      <c r="C350" t="inlineStr">
        <is>
          <t>0                      P  0090000C  6324        2006</t>
        </is>
      </c>
      <c r="D350" t="inlineStr">
        <is>
          <t>Communication theories / edited by Paul Cobley.</t>
        </is>
      </c>
      <c r="E350" t="inlineStr">
        <is>
          <t>V. 4</t>
        </is>
      </c>
      <c r="F350" t="inlineStr">
        <is>
          <t>Yes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London ; New York : Routledge, 2006.</t>
        </is>
      </c>
      <c r="M350" t="inlineStr">
        <is>
          <t>2006</t>
        </is>
      </c>
      <c r="O350" t="inlineStr">
        <is>
          <t>eng</t>
        </is>
      </c>
      <c r="P350" t="inlineStr">
        <is>
          <t>enk</t>
        </is>
      </c>
      <c r="Q350" t="inlineStr">
        <is>
          <t>Critical concepts in media and cultural studies</t>
        </is>
      </c>
      <c r="R350" t="inlineStr">
        <is>
          <t xml:space="preserve">P  </t>
        </is>
      </c>
      <c r="S350" t="n">
        <v>1</v>
      </c>
      <c r="T350" t="n">
        <v>4</v>
      </c>
      <c r="U350" t="inlineStr">
        <is>
          <t>2006-05-16</t>
        </is>
      </c>
      <c r="V350" t="inlineStr">
        <is>
          <t>2006-05-16</t>
        </is>
      </c>
      <c r="W350" t="inlineStr">
        <is>
          <t>2006-05-16</t>
        </is>
      </c>
      <c r="X350" t="inlineStr">
        <is>
          <t>2006-05-16</t>
        </is>
      </c>
      <c r="Y350" t="n">
        <v>97</v>
      </c>
      <c r="Z350" t="n">
        <v>49</v>
      </c>
      <c r="AA350" t="n">
        <v>49</v>
      </c>
      <c r="AB350" t="n">
        <v>1</v>
      </c>
      <c r="AC350" t="n">
        <v>1</v>
      </c>
      <c r="AD350" t="n">
        <v>2</v>
      </c>
      <c r="AE350" t="n">
        <v>2</v>
      </c>
      <c r="AF350" t="n">
        <v>0</v>
      </c>
      <c r="AG350" t="n">
        <v>0</v>
      </c>
      <c r="AH350" t="n">
        <v>1</v>
      </c>
      <c r="AI350" t="n">
        <v>1</v>
      </c>
      <c r="AJ350" t="n">
        <v>2</v>
      </c>
      <c r="AK350" t="n">
        <v>2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50">
        <f>HYPERLINK("http://www.worldcat.org/oclc/60791752","WorldCat Record")</f>
        <v/>
      </c>
      <c r="AU350" t="inlineStr">
        <is>
          <t>890521876:eng</t>
        </is>
      </c>
      <c r="AV350" t="inlineStr">
        <is>
          <t>60791752</t>
        </is>
      </c>
      <c r="AW350" t="inlineStr">
        <is>
          <t>991004764059702656</t>
        </is>
      </c>
      <c r="AX350" t="inlineStr">
        <is>
          <t>991004764059702656</t>
        </is>
      </c>
      <c r="AY350" t="inlineStr">
        <is>
          <t>2261223500002656</t>
        </is>
      </c>
      <c r="AZ350" t="inlineStr">
        <is>
          <t>BOOK</t>
        </is>
      </c>
      <c r="BB350" t="inlineStr">
        <is>
          <t>9780415331975</t>
        </is>
      </c>
      <c r="BC350" t="inlineStr">
        <is>
          <t>32285005187587</t>
        </is>
      </c>
      <c r="BD350" t="inlineStr">
        <is>
          <t>893247953</t>
        </is>
      </c>
    </row>
    <row r="351">
      <c r="A351" t="inlineStr">
        <is>
          <t>No</t>
        </is>
      </c>
      <c r="B351" t="inlineStr">
        <is>
          <t>P90 .D3</t>
        </is>
      </c>
      <c r="C351" t="inlineStr">
        <is>
          <t>0                      P  0090000D  3</t>
        </is>
      </c>
      <c r="D351" t="inlineStr">
        <is>
          <t>International political communication [by] W. Phillips Davison.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Davison, W. Phillips (Walter Phillips), 1918-</t>
        </is>
      </c>
      <c r="L351" t="inlineStr">
        <is>
          <t>New York, Published for the Council on Foreign Relations [by] F. A. Praeger [1965]</t>
        </is>
      </c>
      <c r="M351" t="inlineStr">
        <is>
          <t>1965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P  </t>
        </is>
      </c>
      <c r="S351" t="n">
        <v>1</v>
      </c>
      <c r="T351" t="n">
        <v>1</v>
      </c>
      <c r="U351" t="inlineStr">
        <is>
          <t>2002-11-08</t>
        </is>
      </c>
      <c r="V351" t="inlineStr">
        <is>
          <t>2002-11-08</t>
        </is>
      </c>
      <c r="W351" t="inlineStr">
        <is>
          <t>1997-08-12</t>
        </is>
      </c>
      <c r="X351" t="inlineStr">
        <is>
          <t>1997-08-12</t>
        </is>
      </c>
      <c r="Y351" t="n">
        <v>446</v>
      </c>
      <c r="Z351" t="n">
        <v>344</v>
      </c>
      <c r="AA351" t="n">
        <v>365</v>
      </c>
      <c r="AB351" t="n">
        <v>3</v>
      </c>
      <c r="AC351" t="n">
        <v>3</v>
      </c>
      <c r="AD351" t="n">
        <v>18</v>
      </c>
      <c r="AE351" t="n">
        <v>22</v>
      </c>
      <c r="AF351" t="n">
        <v>7</v>
      </c>
      <c r="AG351" t="n">
        <v>7</v>
      </c>
      <c r="AH351" t="n">
        <v>4</v>
      </c>
      <c r="AI351" t="n">
        <v>4</v>
      </c>
      <c r="AJ351" t="n">
        <v>9</v>
      </c>
      <c r="AK351" t="n">
        <v>9</v>
      </c>
      <c r="AL351" t="n">
        <v>2</v>
      </c>
      <c r="AM351" t="n">
        <v>2</v>
      </c>
      <c r="AN351" t="n">
        <v>1</v>
      </c>
      <c r="AO351" t="n">
        <v>5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HYPERLINK("http://catalog.hathitrust.org/Record/001180750","HathiTrust Record")</f>
        <v/>
      </c>
      <c r="AS351">
        <f>HYPERLINK("https://creighton-primo.hosted.exlibrisgroup.com/primo-explore/search?tab=default_tab&amp;search_scope=EVERYTHING&amp;vid=01CRU&amp;lang=en_US&amp;offset=0&amp;query=any,contains,991002740619702656","Catalog Record")</f>
        <v/>
      </c>
      <c r="AT351">
        <f>HYPERLINK("http://www.worldcat.org/oclc/420914","WorldCat Record")</f>
        <v/>
      </c>
      <c r="AU351" t="inlineStr">
        <is>
          <t>1502510:eng</t>
        </is>
      </c>
      <c r="AV351" t="inlineStr">
        <is>
          <t>420914</t>
        </is>
      </c>
      <c r="AW351" t="inlineStr">
        <is>
          <t>991002740619702656</t>
        </is>
      </c>
      <c r="AX351" t="inlineStr">
        <is>
          <t>991002740619702656</t>
        </is>
      </c>
      <c r="AY351" t="inlineStr">
        <is>
          <t>2270750310002656</t>
        </is>
      </c>
      <c r="AZ351" t="inlineStr">
        <is>
          <t>BOOK</t>
        </is>
      </c>
      <c r="BC351" t="inlineStr">
        <is>
          <t>32285003049672</t>
        </is>
      </c>
      <c r="BD351" t="inlineStr">
        <is>
          <t>893591708</t>
        </is>
      </c>
    </row>
    <row r="352">
      <c r="A352" t="inlineStr">
        <is>
          <t>No</t>
        </is>
      </c>
      <c r="B352" t="inlineStr">
        <is>
          <t>P90 .F26 1997</t>
        </is>
      </c>
      <c r="C352" t="inlineStr">
        <is>
          <t>0                      P  0090000F  26          1997</t>
        </is>
      </c>
      <c r="D352" t="inlineStr">
        <is>
          <t>A history of mass communication : six information revolutions / Irving Fang.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Fang, Irving E.</t>
        </is>
      </c>
      <c r="L352" t="inlineStr">
        <is>
          <t>Boston : Focal Press, c1997.</t>
        </is>
      </c>
      <c r="M352" t="inlineStr">
        <is>
          <t>1997</t>
        </is>
      </c>
      <c r="O352" t="inlineStr">
        <is>
          <t>eng</t>
        </is>
      </c>
      <c r="P352" t="inlineStr">
        <is>
          <t>mau</t>
        </is>
      </c>
      <c r="R352" t="inlineStr">
        <is>
          <t xml:space="preserve">P  </t>
        </is>
      </c>
      <c r="S352" t="n">
        <v>1</v>
      </c>
      <c r="T352" t="n">
        <v>1</v>
      </c>
      <c r="U352" t="inlineStr">
        <is>
          <t>2004-04-27</t>
        </is>
      </c>
      <c r="V352" t="inlineStr">
        <is>
          <t>2004-04-27</t>
        </is>
      </c>
      <c r="W352" t="inlineStr">
        <is>
          <t>1998-05-07</t>
        </is>
      </c>
      <c r="X352" t="inlineStr">
        <is>
          <t>1998-05-07</t>
        </is>
      </c>
      <c r="Y352" t="n">
        <v>336</v>
      </c>
      <c r="Z352" t="n">
        <v>206</v>
      </c>
      <c r="AA352" t="n">
        <v>224</v>
      </c>
      <c r="AB352" t="n">
        <v>2</v>
      </c>
      <c r="AC352" t="n">
        <v>2</v>
      </c>
      <c r="AD352" t="n">
        <v>13</v>
      </c>
      <c r="AE352" t="n">
        <v>13</v>
      </c>
      <c r="AF352" t="n">
        <v>6</v>
      </c>
      <c r="AG352" t="n">
        <v>6</v>
      </c>
      <c r="AH352" t="n">
        <v>3</v>
      </c>
      <c r="AI352" t="n">
        <v>3</v>
      </c>
      <c r="AJ352" t="n">
        <v>6</v>
      </c>
      <c r="AK352" t="n">
        <v>6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HYPERLINK("http://catalog.hathitrust.org/Record/003159039","HathiTrust Record")</f>
        <v/>
      </c>
      <c r="AS352">
        <f>HYPERLINK("https://creighton-primo.hosted.exlibrisgroup.com/primo-explore/search?tab=default_tab&amp;search_scope=EVERYTHING&amp;vid=01CRU&amp;lang=en_US&amp;offset=0&amp;query=any,contains,991002717149702656","Catalog Record")</f>
        <v/>
      </c>
      <c r="AT352">
        <f>HYPERLINK("http://www.worldcat.org/oclc/35637521","WorldCat Record")</f>
        <v/>
      </c>
      <c r="AU352" t="inlineStr">
        <is>
          <t>365625733:eng</t>
        </is>
      </c>
      <c r="AV352" t="inlineStr">
        <is>
          <t>35637521</t>
        </is>
      </c>
      <c r="AW352" t="inlineStr">
        <is>
          <t>991002717149702656</t>
        </is>
      </c>
      <c r="AX352" t="inlineStr">
        <is>
          <t>991002717149702656</t>
        </is>
      </c>
      <c r="AY352" t="inlineStr">
        <is>
          <t>2270069460002656</t>
        </is>
      </c>
      <c r="AZ352" t="inlineStr">
        <is>
          <t>BOOK</t>
        </is>
      </c>
      <c r="BB352" t="inlineStr">
        <is>
          <t>9780240802541</t>
        </is>
      </c>
      <c r="BC352" t="inlineStr">
        <is>
          <t>32285003407078</t>
        </is>
      </c>
      <c r="BD352" t="inlineStr">
        <is>
          <t>893716829</t>
        </is>
      </c>
    </row>
    <row r="353">
      <c r="A353" t="inlineStr">
        <is>
          <t>No</t>
        </is>
      </c>
      <c r="B353" t="inlineStr">
        <is>
          <t>P90 .F628 2004</t>
        </is>
      </c>
      <c r="C353" t="inlineStr">
        <is>
          <t>0                      P  0090000F  628         2004</t>
        </is>
      </c>
      <c r="D353" t="inlineStr">
        <is>
          <t>The media in your life : an introduction to mass communication / Jean Folkerts, Stephen Lacy.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Folkerts, Jean.</t>
        </is>
      </c>
      <c r="L353" t="inlineStr">
        <is>
          <t>Boston : Pearson A and B, c2004.</t>
        </is>
      </c>
      <c r="M353" t="inlineStr">
        <is>
          <t>2004</t>
        </is>
      </c>
      <c r="N353" t="inlineStr">
        <is>
          <t>3rd ed.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P  </t>
        </is>
      </c>
      <c r="S353" t="n">
        <v>3</v>
      </c>
      <c r="T353" t="n">
        <v>3</v>
      </c>
      <c r="U353" t="inlineStr">
        <is>
          <t>2004-02-23</t>
        </is>
      </c>
      <c r="V353" t="inlineStr">
        <is>
          <t>2004-02-23</t>
        </is>
      </c>
      <c r="W353" t="inlineStr">
        <is>
          <t>2004-02-23</t>
        </is>
      </c>
      <c r="X353" t="inlineStr">
        <is>
          <t>2004-02-23</t>
        </is>
      </c>
      <c r="Y353" t="n">
        <v>93</v>
      </c>
      <c r="Z353" t="n">
        <v>60</v>
      </c>
      <c r="AA353" t="n">
        <v>166</v>
      </c>
      <c r="AB353" t="n">
        <v>1</v>
      </c>
      <c r="AC353" t="n">
        <v>1</v>
      </c>
      <c r="AD353" t="n">
        <v>1</v>
      </c>
      <c r="AE353" t="n">
        <v>8</v>
      </c>
      <c r="AF353" t="n">
        <v>1</v>
      </c>
      <c r="AG353" t="n">
        <v>4</v>
      </c>
      <c r="AH353" t="n">
        <v>0</v>
      </c>
      <c r="AI353" t="n">
        <v>1</v>
      </c>
      <c r="AJ353" t="n">
        <v>1</v>
      </c>
      <c r="AK353" t="n">
        <v>5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HYPERLINK("http://catalog.hathitrust.org/Record/006952488","HathiTrust Record")</f>
        <v/>
      </c>
      <c r="AS353">
        <f>HYPERLINK("https://creighton-primo.hosted.exlibrisgroup.com/primo-explore/search?tab=default_tab&amp;search_scope=EVERYTHING&amp;vid=01CRU&amp;lang=en_US&amp;offset=0&amp;query=any,contains,991004221539702656","Catalog Record")</f>
        <v/>
      </c>
      <c r="AT353">
        <f>HYPERLINK("http://www.worldcat.org/oclc/51817407","WorldCat Record")</f>
        <v/>
      </c>
      <c r="AU353" t="inlineStr">
        <is>
          <t>666164:eng</t>
        </is>
      </c>
      <c r="AV353" t="inlineStr">
        <is>
          <t>51817407</t>
        </is>
      </c>
      <c r="AW353" t="inlineStr">
        <is>
          <t>991004221539702656</t>
        </is>
      </c>
      <c r="AX353" t="inlineStr">
        <is>
          <t>991004221539702656</t>
        </is>
      </c>
      <c r="AY353" t="inlineStr">
        <is>
          <t>2258136500002656</t>
        </is>
      </c>
      <c r="AZ353" t="inlineStr">
        <is>
          <t>BOOK</t>
        </is>
      </c>
      <c r="BB353" t="inlineStr">
        <is>
          <t>9780205387014</t>
        </is>
      </c>
      <c r="BC353" t="inlineStr">
        <is>
          <t>32285004639802</t>
        </is>
      </c>
      <c r="BD353" t="inlineStr">
        <is>
          <t>893718650</t>
        </is>
      </c>
    </row>
    <row r="354">
      <c r="A354" t="inlineStr">
        <is>
          <t>No</t>
        </is>
      </c>
      <c r="B354" t="inlineStr">
        <is>
          <t>P90 .G4778 2001</t>
        </is>
      </c>
      <c r="C354" t="inlineStr">
        <is>
          <t>0                      P  0090000G  4778        2001</t>
        </is>
      </c>
      <c r="D354" t="inlineStr">
        <is>
          <t>Media unlimited : how the torrent of images and sounds overwhelms our lives / Todd Gitlin.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Gitlin, Todd.</t>
        </is>
      </c>
      <c r="L354" t="inlineStr">
        <is>
          <t>New York : Metropolitan Books, 2001.</t>
        </is>
      </c>
      <c r="M354" t="inlineStr">
        <is>
          <t>2001</t>
        </is>
      </c>
      <c r="N354" t="inlineStr">
        <is>
          <t>1st ed.</t>
        </is>
      </c>
      <c r="O354" t="inlineStr">
        <is>
          <t>eng</t>
        </is>
      </c>
      <c r="P354" t="inlineStr">
        <is>
          <t>nyu</t>
        </is>
      </c>
      <c r="R354" t="inlineStr">
        <is>
          <t xml:space="preserve">P  </t>
        </is>
      </c>
      <c r="S354" t="n">
        <v>6</v>
      </c>
      <c r="T354" t="n">
        <v>6</v>
      </c>
      <c r="U354" t="inlineStr">
        <is>
          <t>2006-12-05</t>
        </is>
      </c>
      <c r="V354" t="inlineStr">
        <is>
          <t>2006-12-05</t>
        </is>
      </c>
      <c r="W354" t="inlineStr">
        <is>
          <t>2002-03-20</t>
        </is>
      </c>
      <c r="X354" t="inlineStr">
        <is>
          <t>2002-03-20</t>
        </is>
      </c>
      <c r="Y354" t="n">
        <v>925</v>
      </c>
      <c r="Z354" t="n">
        <v>838</v>
      </c>
      <c r="AA354" t="n">
        <v>1051</v>
      </c>
      <c r="AB354" t="n">
        <v>9</v>
      </c>
      <c r="AC354" t="n">
        <v>9</v>
      </c>
      <c r="AD354" t="n">
        <v>28</v>
      </c>
      <c r="AE354" t="n">
        <v>33</v>
      </c>
      <c r="AF354" t="n">
        <v>9</v>
      </c>
      <c r="AG354" t="n">
        <v>13</v>
      </c>
      <c r="AH354" t="n">
        <v>4</v>
      </c>
      <c r="AI354" t="n">
        <v>5</v>
      </c>
      <c r="AJ354" t="n">
        <v>14</v>
      </c>
      <c r="AK354" t="n">
        <v>15</v>
      </c>
      <c r="AL354" t="n">
        <v>6</v>
      </c>
      <c r="AM354" t="n">
        <v>6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HYPERLINK("https://creighton-primo.hosted.exlibrisgroup.com/primo-explore/search?tab=default_tab&amp;search_scope=EVERYTHING&amp;vid=01CRU&amp;lang=en_US&amp;offset=0&amp;query=any,contains,991003745409702656","Catalog Record")</f>
        <v/>
      </c>
      <c r="AT354">
        <f>HYPERLINK("http://www.worldcat.org/oclc/47894375","WorldCat Record")</f>
        <v/>
      </c>
      <c r="AU354" t="inlineStr">
        <is>
          <t>2753379:eng</t>
        </is>
      </c>
      <c r="AV354" t="inlineStr">
        <is>
          <t>47894375</t>
        </is>
      </c>
      <c r="AW354" t="inlineStr">
        <is>
          <t>991003745409702656</t>
        </is>
      </c>
      <c r="AX354" t="inlineStr">
        <is>
          <t>991003745409702656</t>
        </is>
      </c>
      <c r="AY354" t="inlineStr">
        <is>
          <t>2261809050002656</t>
        </is>
      </c>
      <c r="AZ354" t="inlineStr">
        <is>
          <t>BOOK</t>
        </is>
      </c>
      <c r="BB354" t="inlineStr">
        <is>
          <t>9780805048988</t>
        </is>
      </c>
      <c r="BC354" t="inlineStr">
        <is>
          <t>32285004462601</t>
        </is>
      </c>
      <c r="BD354" t="inlineStr">
        <is>
          <t>893336880</t>
        </is>
      </c>
    </row>
    <row r="355">
      <c r="A355" t="inlineStr">
        <is>
          <t>No</t>
        </is>
      </c>
      <c r="B355" t="inlineStr">
        <is>
          <t>P90 .H65 1972</t>
        </is>
      </c>
      <c r="C355" t="inlineStr">
        <is>
          <t>0                      P  0090000H  65          1972</t>
        </is>
      </c>
      <c r="D355" t="inlineStr">
        <is>
          <t>On culture and communication.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Hoggart, Richard, 1918-2014.</t>
        </is>
      </c>
      <c r="L355" t="inlineStr">
        <is>
          <t>New York : Oxford University Press, 1972 [c1971]</t>
        </is>
      </c>
      <c r="M355" t="inlineStr">
        <is>
          <t>1972</t>
        </is>
      </c>
      <c r="O355" t="inlineStr">
        <is>
          <t>eng</t>
        </is>
      </c>
      <c r="P355" t="inlineStr">
        <is>
          <t>nyu</t>
        </is>
      </c>
      <c r="Q355" t="inlineStr">
        <is>
          <t>The B. B. C. Reith lectures, 1971</t>
        </is>
      </c>
      <c r="R355" t="inlineStr">
        <is>
          <t xml:space="preserve">P  </t>
        </is>
      </c>
      <c r="S355" t="n">
        <v>2</v>
      </c>
      <c r="T355" t="n">
        <v>2</v>
      </c>
      <c r="U355" t="inlineStr">
        <is>
          <t>2009-11-06</t>
        </is>
      </c>
      <c r="V355" t="inlineStr">
        <is>
          <t>2009-11-06</t>
        </is>
      </c>
      <c r="W355" t="inlineStr">
        <is>
          <t>1994-11-16</t>
        </is>
      </c>
      <c r="X355" t="inlineStr">
        <is>
          <t>1994-11-16</t>
        </is>
      </c>
      <c r="Y355" t="n">
        <v>438</v>
      </c>
      <c r="Z355" t="n">
        <v>402</v>
      </c>
      <c r="AA355" t="n">
        <v>403</v>
      </c>
      <c r="AB355" t="n">
        <v>7</v>
      </c>
      <c r="AC355" t="n">
        <v>7</v>
      </c>
      <c r="AD355" t="n">
        <v>26</v>
      </c>
      <c r="AE355" t="n">
        <v>26</v>
      </c>
      <c r="AF355" t="n">
        <v>8</v>
      </c>
      <c r="AG355" t="n">
        <v>8</v>
      </c>
      <c r="AH355" t="n">
        <v>7</v>
      </c>
      <c r="AI355" t="n">
        <v>7</v>
      </c>
      <c r="AJ355" t="n">
        <v>11</v>
      </c>
      <c r="AK355" t="n">
        <v>11</v>
      </c>
      <c r="AL355" t="n">
        <v>6</v>
      </c>
      <c r="AM355" t="n">
        <v>6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HYPERLINK("https://creighton-primo.hosted.exlibrisgroup.com/primo-explore/search?tab=default_tab&amp;search_scope=EVERYTHING&amp;vid=01CRU&amp;lang=en_US&amp;offset=0&amp;query=any,contains,991002978909702656","Catalog Record")</f>
        <v/>
      </c>
      <c r="AT355">
        <f>HYPERLINK("http://www.worldcat.org/oclc/553562","WorldCat Record")</f>
        <v/>
      </c>
      <c r="AU355" t="inlineStr">
        <is>
          <t>3901851380:eng</t>
        </is>
      </c>
      <c r="AV355" t="inlineStr">
        <is>
          <t>553562</t>
        </is>
      </c>
      <c r="AW355" t="inlineStr">
        <is>
          <t>991002978909702656</t>
        </is>
      </c>
      <c r="AX355" t="inlineStr">
        <is>
          <t>991002978909702656</t>
        </is>
      </c>
      <c r="AY355" t="inlineStr">
        <is>
          <t>2259022530002656</t>
        </is>
      </c>
      <c r="AZ355" t="inlineStr">
        <is>
          <t>BOOK</t>
        </is>
      </c>
      <c r="BB355" t="inlineStr">
        <is>
          <t>9780195197136</t>
        </is>
      </c>
      <c r="BC355" t="inlineStr">
        <is>
          <t>32285001967057</t>
        </is>
      </c>
      <c r="BD355" t="inlineStr">
        <is>
          <t>893524286</t>
        </is>
      </c>
    </row>
    <row r="356">
      <c r="A356" t="inlineStr">
        <is>
          <t>No</t>
        </is>
      </c>
      <c r="B356" t="inlineStr">
        <is>
          <t>P90 .H69</t>
        </is>
      </c>
      <c r="C356" t="inlineStr">
        <is>
          <t>0                      P  0090000H  69</t>
        </is>
      </c>
      <c r="D356" t="inlineStr">
        <is>
          <t>Communication and persuasion; psychological studies of opinion change, by Carl I. Hovland, Irving L. Janis, and Harold H. Kelley.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Hovland, Carl Iver, 1912-</t>
        </is>
      </c>
      <c r="L356" t="inlineStr">
        <is>
          <t>New Haven, Yale University Press, 1953.</t>
        </is>
      </c>
      <c r="M356" t="inlineStr">
        <is>
          <t>1953</t>
        </is>
      </c>
      <c r="O356" t="inlineStr">
        <is>
          <t>eng</t>
        </is>
      </c>
      <c r="P356" t="inlineStr">
        <is>
          <t>ctu</t>
        </is>
      </c>
      <c r="R356" t="inlineStr">
        <is>
          <t xml:space="preserve">P  </t>
        </is>
      </c>
      <c r="S356" t="n">
        <v>2</v>
      </c>
      <c r="T356" t="n">
        <v>2</v>
      </c>
      <c r="U356" t="inlineStr">
        <is>
          <t>2003-04-11</t>
        </is>
      </c>
      <c r="V356" t="inlineStr">
        <is>
          <t>2003-04-11</t>
        </is>
      </c>
      <c r="W356" t="inlineStr">
        <is>
          <t>1997-08-12</t>
        </is>
      </c>
      <c r="X356" t="inlineStr">
        <is>
          <t>1997-08-12</t>
        </is>
      </c>
      <c r="Y356" t="n">
        <v>1070</v>
      </c>
      <c r="Z356" t="n">
        <v>894</v>
      </c>
      <c r="AA356" t="n">
        <v>1031</v>
      </c>
      <c r="AB356" t="n">
        <v>12</v>
      </c>
      <c r="AC356" t="n">
        <v>12</v>
      </c>
      <c r="AD356" t="n">
        <v>48</v>
      </c>
      <c r="AE356" t="n">
        <v>54</v>
      </c>
      <c r="AF356" t="n">
        <v>19</v>
      </c>
      <c r="AG356" t="n">
        <v>22</v>
      </c>
      <c r="AH356" t="n">
        <v>6</v>
      </c>
      <c r="AI356" t="n">
        <v>7</v>
      </c>
      <c r="AJ356" t="n">
        <v>17</v>
      </c>
      <c r="AK356" t="n">
        <v>19</v>
      </c>
      <c r="AL356" t="n">
        <v>11</v>
      </c>
      <c r="AM356" t="n">
        <v>11</v>
      </c>
      <c r="AN356" t="n">
        <v>3</v>
      </c>
      <c r="AO356" t="n">
        <v>4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HYPERLINK("http://catalog.hathitrust.org/Record/001180763","HathiTrust Record")</f>
        <v/>
      </c>
      <c r="AS356">
        <f>HYPERLINK("https://creighton-primo.hosted.exlibrisgroup.com/primo-explore/search?tab=default_tab&amp;search_scope=EVERYTHING&amp;vid=01CRU&amp;lang=en_US&amp;offset=0&amp;query=any,contains,991001168399702656","Catalog Record")</f>
        <v/>
      </c>
      <c r="AT356">
        <f>HYPERLINK("http://www.worldcat.org/oclc/187639","WorldCat Record")</f>
        <v/>
      </c>
      <c r="AU356" t="inlineStr">
        <is>
          <t>1340248:eng</t>
        </is>
      </c>
      <c r="AV356" t="inlineStr">
        <is>
          <t>187639</t>
        </is>
      </c>
      <c r="AW356" t="inlineStr">
        <is>
          <t>991001168399702656</t>
        </is>
      </c>
      <c r="AX356" t="inlineStr">
        <is>
          <t>991001168399702656</t>
        </is>
      </c>
      <c r="AY356" t="inlineStr">
        <is>
          <t>2265375530002656</t>
        </is>
      </c>
      <c r="AZ356" t="inlineStr">
        <is>
          <t>BOOK</t>
        </is>
      </c>
      <c r="BC356" t="inlineStr">
        <is>
          <t>32285003049797</t>
        </is>
      </c>
      <c r="BD356" t="inlineStr">
        <is>
          <t>893515950</t>
        </is>
      </c>
    </row>
    <row r="357">
      <c r="A357" t="inlineStr">
        <is>
          <t>No</t>
        </is>
      </c>
      <c r="B357" t="inlineStr">
        <is>
          <t>P90 .H87</t>
        </is>
      </c>
      <c r="C357" t="inlineStr">
        <is>
          <t>0                      P  0090000H  87</t>
        </is>
      </c>
      <c r="D357" t="inlineStr">
        <is>
          <t>Interpersonal communication in organizations : a perceptual approach / Richard C. Huseman, James M. Lahiff, John D. Hatfield.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Huseman, Richard C.</t>
        </is>
      </c>
      <c r="L357" t="inlineStr">
        <is>
          <t>Boston : Holbrook Press, c1976.</t>
        </is>
      </c>
      <c r="M357" t="inlineStr">
        <is>
          <t>1976</t>
        </is>
      </c>
      <c r="O357" t="inlineStr">
        <is>
          <t>eng</t>
        </is>
      </c>
      <c r="P357" t="inlineStr">
        <is>
          <t>mau</t>
        </is>
      </c>
      <c r="R357" t="inlineStr">
        <is>
          <t xml:space="preserve">P  </t>
        </is>
      </c>
      <c r="S357" t="n">
        <v>4</v>
      </c>
      <c r="T357" t="n">
        <v>4</v>
      </c>
      <c r="U357" t="inlineStr">
        <is>
          <t>2002-10-30</t>
        </is>
      </c>
      <c r="V357" t="inlineStr">
        <is>
          <t>2002-10-30</t>
        </is>
      </c>
      <c r="W357" t="inlineStr">
        <is>
          <t>1997-08-12</t>
        </is>
      </c>
      <c r="X357" t="inlineStr">
        <is>
          <t>1997-08-12</t>
        </is>
      </c>
      <c r="Y357" t="n">
        <v>306</v>
      </c>
      <c r="Z357" t="n">
        <v>281</v>
      </c>
      <c r="AA357" t="n">
        <v>288</v>
      </c>
      <c r="AB357" t="n">
        <v>3</v>
      </c>
      <c r="AC357" t="n">
        <v>3</v>
      </c>
      <c r="AD357" t="n">
        <v>9</v>
      </c>
      <c r="AE357" t="n">
        <v>9</v>
      </c>
      <c r="AF357" t="n">
        <v>3</v>
      </c>
      <c r="AG357" t="n">
        <v>3</v>
      </c>
      <c r="AH357" t="n">
        <v>1</v>
      </c>
      <c r="AI357" t="n">
        <v>1</v>
      </c>
      <c r="AJ357" t="n">
        <v>5</v>
      </c>
      <c r="AK357" t="n">
        <v>5</v>
      </c>
      <c r="AL357" t="n">
        <v>2</v>
      </c>
      <c r="AM357" t="n">
        <v>2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HYPERLINK("http://catalog.hathitrust.org/Record/000034007","HathiTrust Record")</f>
        <v/>
      </c>
      <c r="AS357">
        <f>HYPERLINK("https://creighton-primo.hosted.exlibrisgroup.com/primo-explore/search?tab=default_tab&amp;search_scope=EVERYTHING&amp;vid=01CRU&amp;lang=en_US&amp;offset=0&amp;query=any,contains,991003829319702656","Catalog Record")</f>
        <v/>
      </c>
      <c r="AT357">
        <f>HYPERLINK("http://www.worldcat.org/oclc/1582843","WorldCat Record")</f>
        <v/>
      </c>
      <c r="AU357" t="inlineStr">
        <is>
          <t>2463512:eng</t>
        </is>
      </c>
      <c r="AV357" t="inlineStr">
        <is>
          <t>1582843</t>
        </is>
      </c>
      <c r="AW357" t="inlineStr">
        <is>
          <t>991003829319702656</t>
        </is>
      </c>
      <c r="AX357" t="inlineStr">
        <is>
          <t>991003829319702656</t>
        </is>
      </c>
      <c r="AY357" t="inlineStr">
        <is>
          <t>2270793970002656</t>
        </is>
      </c>
      <c r="AZ357" t="inlineStr">
        <is>
          <t>BOOK</t>
        </is>
      </c>
      <c r="BB357" t="inlineStr">
        <is>
          <t>9780205048977</t>
        </is>
      </c>
      <c r="BC357" t="inlineStr">
        <is>
          <t>32285003049805</t>
        </is>
      </c>
      <c r="BD357" t="inlineStr">
        <is>
          <t>893252833</t>
        </is>
      </c>
    </row>
    <row r="358">
      <c r="A358" t="inlineStr">
        <is>
          <t>No</t>
        </is>
      </c>
      <c r="B358" t="inlineStr">
        <is>
          <t>P90 .M254 2006</t>
        </is>
      </c>
      <c r="C358" t="inlineStr">
        <is>
          <t>0                      P  0090000M  254         2006</t>
        </is>
      </c>
      <c r="D358" t="inlineStr">
        <is>
          <t>Comparing media from around the world / Robert McKenzie ; with contributions by Ian Weber and Nabil Dajani.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McKenzie, Robert, 1962-</t>
        </is>
      </c>
      <c r="L358" t="inlineStr">
        <is>
          <t>Boston : Pearson/Allyn and Bacon, c2006.</t>
        </is>
      </c>
      <c r="M358" t="inlineStr">
        <is>
          <t>2006</t>
        </is>
      </c>
      <c r="O358" t="inlineStr">
        <is>
          <t>eng</t>
        </is>
      </c>
      <c r="P358" t="inlineStr">
        <is>
          <t>mau</t>
        </is>
      </c>
      <c r="R358" t="inlineStr">
        <is>
          <t xml:space="preserve">P  </t>
        </is>
      </c>
      <c r="S358" t="n">
        <v>1</v>
      </c>
      <c r="T358" t="n">
        <v>1</v>
      </c>
      <c r="U358" t="inlineStr">
        <is>
          <t>2007-01-08</t>
        </is>
      </c>
      <c r="V358" t="inlineStr">
        <is>
          <t>2007-01-08</t>
        </is>
      </c>
      <c r="W358" t="inlineStr">
        <is>
          <t>2007-01-08</t>
        </is>
      </c>
      <c r="X358" t="inlineStr">
        <is>
          <t>2007-01-08</t>
        </is>
      </c>
      <c r="Y358" t="n">
        <v>163</v>
      </c>
      <c r="Z358" t="n">
        <v>95</v>
      </c>
      <c r="AA358" t="n">
        <v>95</v>
      </c>
      <c r="AB358" t="n">
        <v>2</v>
      </c>
      <c r="AC358" t="n">
        <v>2</v>
      </c>
      <c r="AD358" t="n">
        <v>7</v>
      </c>
      <c r="AE358" t="n">
        <v>7</v>
      </c>
      <c r="AF358" t="n">
        <v>3</v>
      </c>
      <c r="AG358" t="n">
        <v>3</v>
      </c>
      <c r="AH358" t="n">
        <v>2</v>
      </c>
      <c r="AI358" t="n">
        <v>2</v>
      </c>
      <c r="AJ358" t="n">
        <v>4</v>
      </c>
      <c r="AK358" t="n">
        <v>4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HYPERLINK("https://creighton-primo.hosted.exlibrisgroup.com/primo-explore/search?tab=default_tab&amp;search_scope=EVERYTHING&amp;vid=01CRU&amp;lang=en_US&amp;offset=0&amp;query=any,contains,991004995489702656","Catalog Record")</f>
        <v/>
      </c>
      <c r="AT358">
        <f>HYPERLINK("http://www.worldcat.org/oclc/61240565","WorldCat Record")</f>
        <v/>
      </c>
      <c r="AU358" t="inlineStr">
        <is>
          <t>5615317071:eng</t>
        </is>
      </c>
      <c r="AV358" t="inlineStr">
        <is>
          <t>61240565</t>
        </is>
      </c>
      <c r="AW358" t="inlineStr">
        <is>
          <t>991004995489702656</t>
        </is>
      </c>
      <c r="AX358" t="inlineStr">
        <is>
          <t>991004995489702656</t>
        </is>
      </c>
      <c r="AY358" t="inlineStr">
        <is>
          <t>2262050130002656</t>
        </is>
      </c>
      <c r="AZ358" t="inlineStr">
        <is>
          <t>BOOK</t>
        </is>
      </c>
      <c r="BB358" t="inlineStr">
        <is>
          <t>9780205402427</t>
        </is>
      </c>
      <c r="BC358" t="inlineStr">
        <is>
          <t>32285005268825</t>
        </is>
      </c>
      <c r="BD358" t="inlineStr">
        <is>
          <t>893513886</t>
        </is>
      </c>
    </row>
    <row r="359">
      <c r="A359" t="inlineStr">
        <is>
          <t>No</t>
        </is>
      </c>
      <c r="B359" t="inlineStr">
        <is>
          <t>P90 .M64</t>
        </is>
      </c>
      <c r="C359" t="inlineStr">
        <is>
          <t>0                      P  0090000M  64</t>
        </is>
      </c>
      <c r="D359" t="inlineStr">
        <is>
          <t>Basic readings in communication theory. [Compiled by] C. David Mortensen.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Mortensen, C. David, compiler.</t>
        </is>
      </c>
      <c r="L359" t="inlineStr">
        <is>
          <t>New York, Harper &amp; Row [1973]</t>
        </is>
      </c>
      <c r="M359" t="inlineStr">
        <is>
          <t>1973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P  </t>
        </is>
      </c>
      <c r="S359" t="n">
        <v>20</v>
      </c>
      <c r="T359" t="n">
        <v>20</v>
      </c>
      <c r="U359" t="inlineStr">
        <is>
          <t>2008-09-02</t>
        </is>
      </c>
      <c r="V359" t="inlineStr">
        <is>
          <t>2008-09-02</t>
        </is>
      </c>
      <c r="W359" t="inlineStr">
        <is>
          <t>1992-03-09</t>
        </is>
      </c>
      <c r="X359" t="inlineStr">
        <is>
          <t>1992-03-09</t>
        </is>
      </c>
      <c r="Y359" t="n">
        <v>319</v>
      </c>
      <c r="Z359" t="n">
        <v>277</v>
      </c>
      <c r="AA359" t="n">
        <v>389</v>
      </c>
      <c r="AB359" t="n">
        <v>8</v>
      </c>
      <c r="AC359" t="n">
        <v>8</v>
      </c>
      <c r="AD359" t="n">
        <v>17</v>
      </c>
      <c r="AE359" t="n">
        <v>24</v>
      </c>
      <c r="AF359" t="n">
        <v>6</v>
      </c>
      <c r="AG359" t="n">
        <v>11</v>
      </c>
      <c r="AH359" t="n">
        <v>3</v>
      </c>
      <c r="AI359" t="n">
        <v>3</v>
      </c>
      <c r="AJ359" t="n">
        <v>5</v>
      </c>
      <c r="AK359" t="n">
        <v>9</v>
      </c>
      <c r="AL359" t="n">
        <v>7</v>
      </c>
      <c r="AM359" t="n">
        <v>7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HYPERLINK("https://creighton-primo.hosted.exlibrisgroup.com/primo-explore/search?tab=default_tab&amp;search_scope=EVERYTHING&amp;vid=01CRU&amp;lang=en_US&amp;offset=0&amp;query=any,contains,991003024999702656","Catalog Record")</f>
        <v/>
      </c>
      <c r="AT359">
        <f>HYPERLINK("http://www.worldcat.org/oclc/589210","WorldCat Record")</f>
        <v/>
      </c>
      <c r="AU359" t="inlineStr">
        <is>
          <t>1765772:eng</t>
        </is>
      </c>
      <c r="AV359" t="inlineStr">
        <is>
          <t>589210</t>
        </is>
      </c>
      <c r="AW359" t="inlineStr">
        <is>
          <t>991003024999702656</t>
        </is>
      </c>
      <c r="AX359" t="inlineStr">
        <is>
          <t>991003024999702656</t>
        </is>
      </c>
      <c r="AY359" t="inlineStr">
        <is>
          <t>2259348290002656</t>
        </is>
      </c>
      <c r="AZ359" t="inlineStr">
        <is>
          <t>BOOK</t>
        </is>
      </c>
      <c r="BB359" t="inlineStr">
        <is>
          <t>9780060446253</t>
        </is>
      </c>
      <c r="BC359" t="inlineStr">
        <is>
          <t>32285000994128</t>
        </is>
      </c>
      <c r="BD359" t="inlineStr">
        <is>
          <t>893874339</t>
        </is>
      </c>
    </row>
    <row r="360">
      <c r="A360" t="inlineStr">
        <is>
          <t>No</t>
        </is>
      </c>
      <c r="B360" t="inlineStr">
        <is>
          <t>P90 .R33 2005</t>
        </is>
      </c>
      <c r="C360" t="inlineStr">
        <is>
          <t>0                      P  0090000R  33          2005</t>
        </is>
      </c>
      <c r="D360" t="inlineStr">
        <is>
          <t>On the philosophy of communication / Gary P. Radford.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Radford, Gary P., 1961-</t>
        </is>
      </c>
      <c r="L360" t="inlineStr">
        <is>
          <t>Australia ; Belmont, CA : Thomson Wadsworth, c2005.</t>
        </is>
      </c>
      <c r="M360" t="inlineStr">
        <is>
          <t>2005</t>
        </is>
      </c>
      <c r="O360" t="inlineStr">
        <is>
          <t>eng</t>
        </is>
      </c>
      <c r="P360" t="inlineStr">
        <is>
          <t xml:space="preserve">at </t>
        </is>
      </c>
      <c r="Q360" t="inlineStr">
        <is>
          <t>Wadsworth philosophical topics</t>
        </is>
      </c>
      <c r="R360" t="inlineStr">
        <is>
          <t xml:space="preserve">P  </t>
        </is>
      </c>
      <c r="S360" t="n">
        <v>2</v>
      </c>
      <c r="T360" t="n">
        <v>2</v>
      </c>
      <c r="U360" t="inlineStr">
        <is>
          <t>2008-09-02</t>
        </is>
      </c>
      <c r="V360" t="inlineStr">
        <is>
          <t>2008-09-02</t>
        </is>
      </c>
      <c r="W360" t="inlineStr">
        <is>
          <t>2004-10-26</t>
        </is>
      </c>
      <c r="X360" t="inlineStr">
        <is>
          <t>2004-10-26</t>
        </is>
      </c>
      <c r="Y360" t="n">
        <v>211</v>
      </c>
      <c r="Z360" t="n">
        <v>158</v>
      </c>
      <c r="AA360" t="n">
        <v>160</v>
      </c>
      <c r="AB360" t="n">
        <v>1</v>
      </c>
      <c r="AC360" t="n">
        <v>1</v>
      </c>
      <c r="AD360" t="n">
        <v>6</v>
      </c>
      <c r="AE360" t="n">
        <v>6</v>
      </c>
      <c r="AF360" t="n">
        <v>1</v>
      </c>
      <c r="AG360" t="n">
        <v>1</v>
      </c>
      <c r="AH360" t="n">
        <v>4</v>
      </c>
      <c r="AI360" t="n">
        <v>4</v>
      </c>
      <c r="AJ360" t="n">
        <v>4</v>
      </c>
      <c r="AK360" t="n">
        <v>4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HYPERLINK("http://catalog.hathitrust.org/Record/004762625","HathiTrust Record")</f>
        <v/>
      </c>
      <c r="AS360">
        <f>HYPERLINK("https://creighton-primo.hosted.exlibrisgroup.com/primo-explore/search?tab=default_tab&amp;search_scope=EVERYTHING&amp;vid=01CRU&amp;lang=en_US&amp;offset=0&amp;query=any,contains,991004390909702656","Catalog Record")</f>
        <v/>
      </c>
      <c r="AT360">
        <f>HYPERLINK("http://www.worldcat.org/oclc/56034965","WorldCat Record")</f>
        <v/>
      </c>
      <c r="AU360" t="inlineStr">
        <is>
          <t>16357289:eng</t>
        </is>
      </c>
      <c r="AV360" t="inlineStr">
        <is>
          <t>56034965</t>
        </is>
      </c>
      <c r="AW360" t="inlineStr">
        <is>
          <t>991004390909702656</t>
        </is>
      </c>
      <c r="AX360" t="inlineStr">
        <is>
          <t>991004390909702656</t>
        </is>
      </c>
      <c r="AY360" t="inlineStr">
        <is>
          <t>2260239500002656</t>
        </is>
      </c>
      <c r="AZ360" t="inlineStr">
        <is>
          <t>BOOK</t>
        </is>
      </c>
      <c r="BB360" t="inlineStr">
        <is>
          <t>9780534595746</t>
        </is>
      </c>
      <c r="BC360" t="inlineStr">
        <is>
          <t>32285005006282</t>
        </is>
      </c>
      <c r="BD360" t="inlineStr">
        <is>
          <t>893259671</t>
        </is>
      </c>
    </row>
    <row r="361">
      <c r="A361" t="inlineStr">
        <is>
          <t>No</t>
        </is>
      </c>
      <c r="B361" t="inlineStr">
        <is>
          <t>P90 .R8</t>
        </is>
      </c>
      <c r="C361" t="inlineStr">
        <is>
          <t>0                      P  0090000R  8</t>
        </is>
      </c>
      <c r="D361" t="inlineStr">
        <is>
          <t>Nonverbal communication; notes on the visual perception of human relations, by Jurgen Ruesch and Weldon Kees.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Ruesch, Jurgen, 1909-1995.</t>
        </is>
      </c>
      <c r="L361" t="inlineStr">
        <is>
          <t>Berkeley, University of California Press, 1956.</t>
        </is>
      </c>
      <c r="M361" t="inlineStr">
        <is>
          <t>1956</t>
        </is>
      </c>
      <c r="O361" t="inlineStr">
        <is>
          <t>eng</t>
        </is>
      </c>
      <c r="P361" t="inlineStr">
        <is>
          <t>cau</t>
        </is>
      </c>
      <c r="R361" t="inlineStr">
        <is>
          <t xml:space="preserve">P  </t>
        </is>
      </c>
      <c r="S361" t="n">
        <v>2</v>
      </c>
      <c r="T361" t="n">
        <v>2</v>
      </c>
      <c r="U361" t="inlineStr">
        <is>
          <t>2007-03-21</t>
        </is>
      </c>
      <c r="V361" t="inlineStr">
        <is>
          <t>2007-03-21</t>
        </is>
      </c>
      <c r="W361" t="inlineStr">
        <is>
          <t>1997-08-12</t>
        </is>
      </c>
      <c r="X361" t="inlineStr">
        <is>
          <t>1997-08-12</t>
        </is>
      </c>
      <c r="Y361" t="n">
        <v>1055</v>
      </c>
      <c r="Z361" t="n">
        <v>910</v>
      </c>
      <c r="AA361" t="n">
        <v>1004</v>
      </c>
      <c r="AB361" t="n">
        <v>12</v>
      </c>
      <c r="AC361" t="n">
        <v>12</v>
      </c>
      <c r="AD361" t="n">
        <v>40</v>
      </c>
      <c r="AE361" t="n">
        <v>42</v>
      </c>
      <c r="AF361" t="n">
        <v>16</v>
      </c>
      <c r="AG361" t="n">
        <v>17</v>
      </c>
      <c r="AH361" t="n">
        <v>6</v>
      </c>
      <c r="AI361" t="n">
        <v>6</v>
      </c>
      <c r="AJ361" t="n">
        <v>18</v>
      </c>
      <c r="AK361" t="n">
        <v>20</v>
      </c>
      <c r="AL361" t="n">
        <v>8</v>
      </c>
      <c r="AM361" t="n">
        <v>8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HYPERLINK("http://catalog.hathitrust.org/Record/001180785","HathiTrust Record")</f>
        <v/>
      </c>
      <c r="AS361">
        <f>HYPERLINK("https://creighton-primo.hosted.exlibrisgroup.com/primo-explore/search?tab=default_tab&amp;search_scope=EVERYTHING&amp;vid=01CRU&amp;lang=en_US&amp;offset=0&amp;query=any,contains,991005254779702656","Catalog Record")</f>
        <v/>
      </c>
      <c r="AT361">
        <f>HYPERLINK("http://www.worldcat.org/oclc/2571316","WorldCat Record")</f>
        <v/>
      </c>
      <c r="AU361" t="inlineStr">
        <is>
          <t>1102425340:eng</t>
        </is>
      </c>
      <c r="AV361" t="inlineStr">
        <is>
          <t>2571316</t>
        </is>
      </c>
      <c r="AW361" t="inlineStr">
        <is>
          <t>991005254779702656</t>
        </is>
      </c>
      <c r="AX361" t="inlineStr">
        <is>
          <t>991005254779702656</t>
        </is>
      </c>
      <c r="AY361" t="inlineStr">
        <is>
          <t>2263283800002656</t>
        </is>
      </c>
      <c r="AZ361" t="inlineStr">
        <is>
          <t>BOOK</t>
        </is>
      </c>
      <c r="BC361" t="inlineStr">
        <is>
          <t>32285003049953</t>
        </is>
      </c>
      <c r="BD361" t="inlineStr">
        <is>
          <t>893350989</t>
        </is>
      </c>
    </row>
    <row r="362">
      <c r="A362" t="inlineStr">
        <is>
          <t>No</t>
        </is>
      </c>
      <c r="B362" t="inlineStr">
        <is>
          <t>P90 .S375</t>
        </is>
      </c>
      <c r="C362" t="inlineStr">
        <is>
          <t>0                      P  0090000S  375</t>
        </is>
      </c>
      <c r="D362" t="inlineStr">
        <is>
          <t>Men, messages, and media; a look at human communication [by] Wilbur Schramm.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Schramm, Wilbur, 1907-1987.</t>
        </is>
      </c>
      <c r="L362" t="inlineStr">
        <is>
          <t>New York, Harper &amp; Row [1973]</t>
        </is>
      </c>
      <c r="M362" t="inlineStr">
        <is>
          <t>1973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P  </t>
        </is>
      </c>
      <c r="S362" t="n">
        <v>1</v>
      </c>
      <c r="T362" t="n">
        <v>1</v>
      </c>
      <c r="U362" t="inlineStr">
        <is>
          <t>2006-04-20</t>
        </is>
      </c>
      <c r="V362" t="inlineStr">
        <is>
          <t>2006-04-20</t>
        </is>
      </c>
      <c r="W362" t="inlineStr">
        <is>
          <t>1997-08-12</t>
        </is>
      </c>
      <c r="X362" t="inlineStr">
        <is>
          <t>1997-08-12</t>
        </is>
      </c>
      <c r="Y362" t="n">
        <v>589</v>
      </c>
      <c r="Z362" t="n">
        <v>476</v>
      </c>
      <c r="AA362" t="n">
        <v>484</v>
      </c>
      <c r="AB362" t="n">
        <v>7</v>
      </c>
      <c r="AC362" t="n">
        <v>7</v>
      </c>
      <c r="AD362" t="n">
        <v>23</v>
      </c>
      <c r="AE362" t="n">
        <v>23</v>
      </c>
      <c r="AF362" t="n">
        <v>7</v>
      </c>
      <c r="AG362" t="n">
        <v>7</v>
      </c>
      <c r="AH362" t="n">
        <v>3</v>
      </c>
      <c r="AI362" t="n">
        <v>3</v>
      </c>
      <c r="AJ362" t="n">
        <v>12</v>
      </c>
      <c r="AK362" t="n">
        <v>12</v>
      </c>
      <c r="AL362" t="n">
        <v>6</v>
      </c>
      <c r="AM362" t="n">
        <v>6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HYPERLINK("http://catalog.hathitrust.org/Record/000008561","HathiTrust Record")</f>
        <v/>
      </c>
      <c r="AS362">
        <f>HYPERLINK("https://creighton-primo.hosted.exlibrisgroup.com/primo-explore/search?tab=default_tab&amp;search_scope=EVERYTHING&amp;vid=01CRU&amp;lang=en_US&amp;offset=0&amp;query=any,contains,991003065269702656","Catalog Record")</f>
        <v/>
      </c>
      <c r="AT362">
        <f>HYPERLINK("http://www.worldcat.org/oclc/621937","WorldCat Record")</f>
        <v/>
      </c>
      <c r="AU362" t="inlineStr">
        <is>
          <t>891560562:eng</t>
        </is>
      </c>
      <c r="AV362" t="inlineStr">
        <is>
          <t>621937</t>
        </is>
      </c>
      <c r="AW362" t="inlineStr">
        <is>
          <t>991003065269702656</t>
        </is>
      </c>
      <c r="AX362" t="inlineStr">
        <is>
          <t>991003065269702656</t>
        </is>
      </c>
      <c r="AY362" t="inlineStr">
        <is>
          <t>2257108850002656</t>
        </is>
      </c>
      <c r="AZ362" t="inlineStr">
        <is>
          <t>BOOK</t>
        </is>
      </c>
      <c r="BB362" t="inlineStr">
        <is>
          <t>9780060457976</t>
        </is>
      </c>
      <c r="BC362" t="inlineStr">
        <is>
          <t>32285003049979</t>
        </is>
      </c>
      <c r="BD362" t="inlineStr">
        <is>
          <t>893352674</t>
        </is>
      </c>
    </row>
    <row r="363">
      <c r="A363" t="inlineStr">
        <is>
          <t>No</t>
        </is>
      </c>
      <c r="B363" t="inlineStr">
        <is>
          <t>P90 .T438 2006</t>
        </is>
      </c>
      <c r="C363" t="inlineStr">
        <is>
          <t>0                      P  0090000T  438         2006</t>
        </is>
      </c>
      <c r="D363" t="inlineStr">
        <is>
          <t>Thinking with James Carey : essays on communications, transportation, history / edited by Jeremy Packer and Craig Robertson.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New York : Peter Lang, c2006.</t>
        </is>
      </c>
      <c r="M363" t="inlineStr">
        <is>
          <t>2006</t>
        </is>
      </c>
      <c r="O363" t="inlineStr">
        <is>
          <t>eng</t>
        </is>
      </c>
      <c r="P363" t="inlineStr">
        <is>
          <t>nyu</t>
        </is>
      </c>
      <c r="Q363" t="inlineStr">
        <is>
          <t>Intersections in communications and culture ; v. 15</t>
        </is>
      </c>
      <c r="R363" t="inlineStr">
        <is>
          <t xml:space="preserve">P  </t>
        </is>
      </c>
      <c r="S363" t="n">
        <v>1</v>
      </c>
      <c r="T363" t="n">
        <v>1</v>
      </c>
      <c r="U363" t="inlineStr">
        <is>
          <t>2007-01-04</t>
        </is>
      </c>
      <c r="V363" t="inlineStr">
        <is>
          <t>2007-01-04</t>
        </is>
      </c>
      <c r="W363" t="inlineStr">
        <is>
          <t>2007-01-04</t>
        </is>
      </c>
      <c r="X363" t="inlineStr">
        <is>
          <t>2007-01-04</t>
        </is>
      </c>
      <c r="Y363" t="n">
        <v>172</v>
      </c>
      <c r="Z363" t="n">
        <v>130</v>
      </c>
      <c r="AA363" t="n">
        <v>130</v>
      </c>
      <c r="AB363" t="n">
        <v>2</v>
      </c>
      <c r="AC363" t="n">
        <v>2</v>
      </c>
      <c r="AD363" t="n">
        <v>6</v>
      </c>
      <c r="AE363" t="n">
        <v>6</v>
      </c>
      <c r="AF363" t="n">
        <v>0</v>
      </c>
      <c r="AG363" t="n">
        <v>0</v>
      </c>
      <c r="AH363" t="n">
        <v>2</v>
      </c>
      <c r="AI363" t="n">
        <v>2</v>
      </c>
      <c r="AJ363" t="n">
        <v>5</v>
      </c>
      <c r="AK363" t="n">
        <v>5</v>
      </c>
      <c r="AL363" t="n">
        <v>1</v>
      </c>
      <c r="AM363" t="n">
        <v>1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HYPERLINK("https://creighton-primo.hosted.exlibrisgroup.com/primo-explore/search?tab=default_tab&amp;search_scope=EVERYTHING&amp;vid=01CRU&amp;lang=en_US&amp;offset=0&amp;query=any,contains,991004995339702656","Catalog Record")</f>
        <v/>
      </c>
      <c r="AT363">
        <f>HYPERLINK("http://www.worldcat.org/oclc/60791551","WorldCat Record")</f>
        <v/>
      </c>
      <c r="AU363" t="inlineStr">
        <is>
          <t>899071134:eng</t>
        </is>
      </c>
      <c r="AV363" t="inlineStr">
        <is>
          <t>60791551</t>
        </is>
      </c>
      <c r="AW363" t="inlineStr">
        <is>
          <t>991004995339702656</t>
        </is>
      </c>
      <c r="AX363" t="inlineStr">
        <is>
          <t>991004995339702656</t>
        </is>
      </c>
      <c r="AY363" t="inlineStr">
        <is>
          <t>2261179600002656</t>
        </is>
      </c>
      <c r="AZ363" t="inlineStr">
        <is>
          <t>BOOK</t>
        </is>
      </c>
      <c r="BB363" t="inlineStr">
        <is>
          <t>9780820474052</t>
        </is>
      </c>
      <c r="BC363" t="inlineStr">
        <is>
          <t>32285005268569</t>
        </is>
      </c>
      <c r="BD363" t="inlineStr">
        <is>
          <t>893895722</t>
        </is>
      </c>
    </row>
    <row r="364">
      <c r="A364" t="inlineStr">
        <is>
          <t>No</t>
        </is>
      </c>
      <c r="B364" t="inlineStr">
        <is>
          <t>P90.E25 A44 1998</t>
        </is>
      </c>
      <c r="C364" t="inlineStr">
        <is>
          <t>0                      P  0090000E  25                 A  44          1998</t>
        </is>
      </c>
      <c r="D364" t="inlineStr">
        <is>
          <t>Megamedia : how giant corporations dominate mass media, distort competition, and endanger democracy / Dean Alger.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Alger, Dean.</t>
        </is>
      </c>
      <c r="L364" t="inlineStr">
        <is>
          <t>Lanham : Rowman &amp; Littlefield, c1998.</t>
        </is>
      </c>
      <c r="M364" t="inlineStr">
        <is>
          <t>1998</t>
        </is>
      </c>
      <c r="O364" t="inlineStr">
        <is>
          <t>eng</t>
        </is>
      </c>
      <c r="P364" t="inlineStr">
        <is>
          <t>mdu</t>
        </is>
      </c>
      <c r="R364" t="inlineStr">
        <is>
          <t xml:space="preserve">P  </t>
        </is>
      </c>
      <c r="S364" t="n">
        <v>2</v>
      </c>
      <c r="T364" t="n">
        <v>2</v>
      </c>
      <c r="U364" t="inlineStr">
        <is>
          <t>2005-11-01</t>
        </is>
      </c>
      <c r="V364" t="inlineStr">
        <is>
          <t>2005-11-01</t>
        </is>
      </c>
      <c r="W364" t="inlineStr">
        <is>
          <t>1999-05-05</t>
        </is>
      </c>
      <c r="X364" t="inlineStr">
        <is>
          <t>1999-05-05</t>
        </is>
      </c>
      <c r="Y364" t="n">
        <v>1125</v>
      </c>
      <c r="Z364" t="n">
        <v>982</v>
      </c>
      <c r="AA364" t="n">
        <v>1239</v>
      </c>
      <c r="AB364" t="n">
        <v>7</v>
      </c>
      <c r="AC364" t="n">
        <v>7</v>
      </c>
      <c r="AD364" t="n">
        <v>46</v>
      </c>
      <c r="AE364" t="n">
        <v>48</v>
      </c>
      <c r="AF364" t="n">
        <v>22</v>
      </c>
      <c r="AG364" t="n">
        <v>24</v>
      </c>
      <c r="AH364" t="n">
        <v>8</v>
      </c>
      <c r="AI364" t="n">
        <v>8</v>
      </c>
      <c r="AJ364" t="n">
        <v>19</v>
      </c>
      <c r="AK364" t="n">
        <v>19</v>
      </c>
      <c r="AL364" t="n">
        <v>6</v>
      </c>
      <c r="AM364" t="n">
        <v>6</v>
      </c>
      <c r="AN364" t="n">
        <v>2</v>
      </c>
      <c r="AO364" t="n">
        <v>2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HYPERLINK("http://catalog.hathitrust.org/Record/004011064","HathiTrust Record")</f>
        <v/>
      </c>
      <c r="AS364">
        <f>HYPERLINK("https://creighton-primo.hosted.exlibrisgroup.com/primo-explore/search?tab=default_tab&amp;search_scope=EVERYTHING&amp;vid=01CRU&amp;lang=en_US&amp;offset=0&amp;query=any,contains,991002932969702656","Catalog Record")</f>
        <v/>
      </c>
      <c r="AT364">
        <f>HYPERLINK("http://www.worldcat.org/oclc/39002841","WorldCat Record")</f>
        <v/>
      </c>
      <c r="AU364" t="inlineStr">
        <is>
          <t>1027975:eng</t>
        </is>
      </c>
      <c r="AV364" t="inlineStr">
        <is>
          <t>39002841</t>
        </is>
      </c>
      <c r="AW364" t="inlineStr">
        <is>
          <t>991002932969702656</t>
        </is>
      </c>
      <c r="AX364" t="inlineStr">
        <is>
          <t>991002932969702656</t>
        </is>
      </c>
      <c r="AY364" t="inlineStr">
        <is>
          <t>2263464840002656</t>
        </is>
      </c>
      <c r="AZ364" t="inlineStr">
        <is>
          <t>BOOK</t>
        </is>
      </c>
      <c r="BB364" t="inlineStr">
        <is>
          <t>9780847683895</t>
        </is>
      </c>
      <c r="BC364" t="inlineStr">
        <is>
          <t>32285003559159</t>
        </is>
      </c>
      <c r="BD364" t="inlineStr">
        <is>
          <t>893329734</t>
        </is>
      </c>
    </row>
    <row r="365">
      <c r="A365" t="inlineStr">
        <is>
          <t>No</t>
        </is>
      </c>
      <c r="B365" t="inlineStr">
        <is>
          <t>P90.M263 C7</t>
        </is>
      </c>
      <c r="C365" t="inlineStr">
        <is>
          <t>0                      P  0090000M  263                C  7</t>
        </is>
      </c>
      <c r="D365" t="inlineStr">
        <is>
          <t>The McLuhan explosion; a casebook on Marshall McLuhan and Understanding media [compiled by] Harry H. Crosby and George R. Bond.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Crosby, Harry H. compiler.</t>
        </is>
      </c>
      <c r="L365" t="inlineStr">
        <is>
          <t>[New York] American Book Co. [1968]</t>
        </is>
      </c>
      <c r="M365" t="inlineStr">
        <is>
          <t>1968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P  </t>
        </is>
      </c>
      <c r="S365" t="n">
        <v>5</v>
      </c>
      <c r="T365" t="n">
        <v>5</v>
      </c>
      <c r="U365" t="inlineStr">
        <is>
          <t>2010-05-18</t>
        </is>
      </c>
      <c r="V365" t="inlineStr">
        <is>
          <t>2010-05-18</t>
        </is>
      </c>
      <c r="W365" t="inlineStr">
        <is>
          <t>1997-08-12</t>
        </is>
      </c>
      <c r="X365" t="inlineStr">
        <is>
          <t>1997-08-12</t>
        </is>
      </c>
      <c r="Y365" t="n">
        <v>391</v>
      </c>
      <c r="Z365" t="n">
        <v>334</v>
      </c>
      <c r="AA365" t="n">
        <v>336</v>
      </c>
      <c r="AB365" t="n">
        <v>3</v>
      </c>
      <c r="AC365" t="n">
        <v>3</v>
      </c>
      <c r="AD365" t="n">
        <v>16</v>
      </c>
      <c r="AE365" t="n">
        <v>16</v>
      </c>
      <c r="AF365" t="n">
        <v>7</v>
      </c>
      <c r="AG365" t="n">
        <v>7</v>
      </c>
      <c r="AH365" t="n">
        <v>1</v>
      </c>
      <c r="AI365" t="n">
        <v>1</v>
      </c>
      <c r="AJ365" t="n">
        <v>9</v>
      </c>
      <c r="AK365" t="n">
        <v>9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HYPERLINK("https://creighton-primo.hosted.exlibrisgroup.com/primo-explore/search?tab=default_tab&amp;search_scope=EVERYTHING&amp;vid=01CRU&amp;lang=en_US&amp;offset=0&amp;query=any,contains,991002764539702656","Catalog Record")</f>
        <v/>
      </c>
      <c r="AT365">
        <f>HYPERLINK("http://www.worldcat.org/oclc/432185","WorldCat Record")</f>
        <v/>
      </c>
      <c r="AU365" t="inlineStr">
        <is>
          <t>1540296:eng</t>
        </is>
      </c>
      <c r="AV365" t="inlineStr">
        <is>
          <t>432185</t>
        </is>
      </c>
      <c r="AW365" t="inlineStr">
        <is>
          <t>991002764539702656</t>
        </is>
      </c>
      <c r="AX365" t="inlineStr">
        <is>
          <t>991002764539702656</t>
        </is>
      </c>
      <c r="AY365" t="inlineStr">
        <is>
          <t>2272405520002656</t>
        </is>
      </c>
      <c r="AZ365" t="inlineStr">
        <is>
          <t>BOOK</t>
        </is>
      </c>
      <c r="BC365" t="inlineStr">
        <is>
          <t>32285003049854</t>
        </is>
      </c>
      <c r="BD365" t="inlineStr">
        <is>
          <t>893341818</t>
        </is>
      </c>
    </row>
    <row r="366">
      <c r="A366" t="inlineStr">
        <is>
          <t>No</t>
        </is>
      </c>
      <c r="B366" t="inlineStr">
        <is>
          <t>P901 .F713 1971</t>
        </is>
      </c>
      <c r="C366" t="inlineStr">
        <is>
          <t>0                      P  0901000F  713         1971</t>
        </is>
      </c>
      <c r="D366" t="inlineStr">
        <is>
          <t>Extinct languages.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Friedrich, Johannes, 1893-1972.</t>
        </is>
      </c>
      <c r="L366" t="inlineStr">
        <is>
          <t>Westport, Conn. : Greenwood Press, [1971, c1957]</t>
        </is>
      </c>
      <c r="M366" t="inlineStr">
        <is>
          <t>1971</t>
        </is>
      </c>
      <c r="O366" t="inlineStr">
        <is>
          <t>eng</t>
        </is>
      </c>
      <c r="P366" t="inlineStr">
        <is>
          <t>ctu</t>
        </is>
      </c>
      <c r="R366" t="inlineStr">
        <is>
          <t xml:space="preserve">P  </t>
        </is>
      </c>
      <c r="S366" t="n">
        <v>7</v>
      </c>
      <c r="T366" t="n">
        <v>7</v>
      </c>
      <c r="U366" t="inlineStr">
        <is>
          <t>2010-11-18</t>
        </is>
      </c>
      <c r="V366" t="inlineStr">
        <is>
          <t>2010-11-18</t>
        </is>
      </c>
      <c r="W366" t="inlineStr">
        <is>
          <t>1990-10-15</t>
        </is>
      </c>
      <c r="X366" t="inlineStr">
        <is>
          <t>1990-10-15</t>
        </is>
      </c>
      <c r="Y366" t="n">
        <v>152</v>
      </c>
      <c r="Z366" t="n">
        <v>133</v>
      </c>
      <c r="AA366" t="n">
        <v>1089</v>
      </c>
      <c r="AB366" t="n">
        <v>2</v>
      </c>
      <c r="AC366" t="n">
        <v>12</v>
      </c>
      <c r="AD366" t="n">
        <v>5</v>
      </c>
      <c r="AE366" t="n">
        <v>33</v>
      </c>
      <c r="AF366" t="n">
        <v>2</v>
      </c>
      <c r="AG366" t="n">
        <v>11</v>
      </c>
      <c r="AH366" t="n">
        <v>0</v>
      </c>
      <c r="AI366" t="n">
        <v>6</v>
      </c>
      <c r="AJ366" t="n">
        <v>3</v>
      </c>
      <c r="AK366" t="n">
        <v>19</v>
      </c>
      <c r="AL366" t="n">
        <v>1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HYPERLINK("http://catalog.hathitrust.org/Record/004431266","HathiTrust Record")</f>
        <v/>
      </c>
      <c r="AS366">
        <f>HYPERLINK("https://creighton-primo.hosted.exlibrisgroup.com/primo-explore/search?tab=default_tab&amp;search_scope=EVERYTHING&amp;vid=01CRU&amp;lang=en_US&amp;offset=0&amp;query=any,contains,991004114189702656","Catalog Record")</f>
        <v/>
      </c>
      <c r="AT366">
        <f>HYPERLINK("http://www.worldcat.org/oclc/2406043","WorldCat Record")</f>
        <v/>
      </c>
      <c r="AU366" t="inlineStr">
        <is>
          <t>1150967770:eng</t>
        </is>
      </c>
      <c r="AV366" t="inlineStr">
        <is>
          <t>2406043</t>
        </is>
      </c>
      <c r="AW366" t="inlineStr">
        <is>
          <t>991004114189702656</t>
        </is>
      </c>
      <c r="AX366" t="inlineStr">
        <is>
          <t>991004114189702656</t>
        </is>
      </c>
      <c r="AY366" t="inlineStr">
        <is>
          <t>2272351910002656</t>
        </is>
      </c>
      <c r="AZ366" t="inlineStr">
        <is>
          <t>BOOK</t>
        </is>
      </c>
      <c r="BB366" t="inlineStr">
        <is>
          <t>9780837157481</t>
        </is>
      </c>
      <c r="BC366" t="inlineStr">
        <is>
          <t>32285000347400</t>
        </is>
      </c>
      <c r="BD366" t="inlineStr">
        <is>
          <t>893712170</t>
        </is>
      </c>
    </row>
    <row r="367">
      <c r="A367" t="inlineStr">
        <is>
          <t>No</t>
        </is>
      </c>
      <c r="B367" t="inlineStr">
        <is>
          <t>P91 .A66 1990</t>
        </is>
      </c>
      <c r="C367" t="inlineStr">
        <is>
          <t>0                      P  0091000A  66          1990</t>
        </is>
      </c>
      <c r="D367" t="inlineStr">
        <is>
          <t>Applied communication theory and research / edited by Dan O'Hair, Gary L. Kreps.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Hillsdale, N.J. : Lawrence Erlbaum Associates, 1990.</t>
        </is>
      </c>
      <c r="M367" t="inlineStr">
        <is>
          <t>1990</t>
        </is>
      </c>
      <c r="O367" t="inlineStr">
        <is>
          <t>eng</t>
        </is>
      </c>
      <c r="P367" t="inlineStr">
        <is>
          <t>nju</t>
        </is>
      </c>
      <c r="Q367" t="inlineStr">
        <is>
          <t>Communication textbook series. Applied communication</t>
        </is>
      </c>
      <c r="R367" t="inlineStr">
        <is>
          <t xml:space="preserve">P  </t>
        </is>
      </c>
      <c r="S367" t="n">
        <v>10</v>
      </c>
      <c r="T367" t="n">
        <v>10</v>
      </c>
      <c r="U367" t="inlineStr">
        <is>
          <t>2008-09-02</t>
        </is>
      </c>
      <c r="V367" t="inlineStr">
        <is>
          <t>2008-09-02</t>
        </is>
      </c>
      <c r="W367" t="inlineStr">
        <is>
          <t>1991-04-30</t>
        </is>
      </c>
      <c r="X367" t="inlineStr">
        <is>
          <t>1991-04-30</t>
        </is>
      </c>
      <c r="Y367" t="n">
        <v>302</v>
      </c>
      <c r="Z367" t="n">
        <v>255</v>
      </c>
      <c r="AA367" t="n">
        <v>278</v>
      </c>
      <c r="AB367" t="n">
        <v>4</v>
      </c>
      <c r="AC367" t="n">
        <v>4</v>
      </c>
      <c r="AD367" t="n">
        <v>16</v>
      </c>
      <c r="AE367" t="n">
        <v>16</v>
      </c>
      <c r="AF367" t="n">
        <v>5</v>
      </c>
      <c r="AG367" t="n">
        <v>5</v>
      </c>
      <c r="AH367" t="n">
        <v>3</v>
      </c>
      <c r="AI367" t="n">
        <v>3</v>
      </c>
      <c r="AJ367" t="n">
        <v>9</v>
      </c>
      <c r="AK367" t="n">
        <v>9</v>
      </c>
      <c r="AL367" t="n">
        <v>3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HYPERLINK("https://creighton-primo.hosted.exlibrisgroup.com/primo-explore/search?tab=default_tab&amp;search_scope=EVERYTHING&amp;vid=01CRU&amp;lang=en_US&amp;offset=0&amp;query=any,contains,991001612139702656","Catalog Record")</f>
        <v/>
      </c>
      <c r="AT367">
        <f>HYPERLINK("http://www.worldcat.org/oclc/20753842","WorldCat Record")</f>
        <v/>
      </c>
      <c r="AU367" t="inlineStr">
        <is>
          <t>356152301:eng</t>
        </is>
      </c>
      <c r="AV367" t="inlineStr">
        <is>
          <t>20753842</t>
        </is>
      </c>
      <c r="AW367" t="inlineStr">
        <is>
          <t>991001612139702656</t>
        </is>
      </c>
      <c r="AX367" t="inlineStr">
        <is>
          <t>991001612139702656</t>
        </is>
      </c>
      <c r="AY367" t="inlineStr">
        <is>
          <t>2262426100002656</t>
        </is>
      </c>
      <c r="AZ367" t="inlineStr">
        <is>
          <t>BOOK</t>
        </is>
      </c>
      <c r="BB367" t="inlineStr">
        <is>
          <t>9780805804003</t>
        </is>
      </c>
      <c r="BC367" t="inlineStr">
        <is>
          <t>32285000570126</t>
        </is>
      </c>
      <c r="BD367" t="inlineStr">
        <is>
          <t>893797669</t>
        </is>
      </c>
    </row>
    <row r="368">
      <c r="A368" t="inlineStr">
        <is>
          <t>No</t>
        </is>
      </c>
      <c r="B368" t="inlineStr">
        <is>
          <t>P91 .B45</t>
        </is>
      </c>
      <c r="C368" t="inlineStr">
        <is>
          <t>0                      P  0091000B  45</t>
        </is>
      </c>
      <c r="D368" t="inlineStr">
        <is>
          <t>Television as an instrument of terror : essays on media, popular culture, and everyday life / Arthur Asa Berger.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Berger, Arthur Asa, 1933-</t>
        </is>
      </c>
      <c r="L368" t="inlineStr">
        <is>
          <t>New Brunswick, N.J. : Transaction Books, c1980.</t>
        </is>
      </c>
      <c r="M368" t="inlineStr">
        <is>
          <t>1980</t>
        </is>
      </c>
      <c r="O368" t="inlineStr">
        <is>
          <t>eng</t>
        </is>
      </c>
      <c r="P368" t="inlineStr">
        <is>
          <t>nju</t>
        </is>
      </c>
      <c r="R368" t="inlineStr">
        <is>
          <t xml:space="preserve">P  </t>
        </is>
      </c>
      <c r="S368" t="n">
        <v>1</v>
      </c>
      <c r="T368" t="n">
        <v>1</v>
      </c>
      <c r="U368" t="inlineStr">
        <is>
          <t>2003-02-09</t>
        </is>
      </c>
      <c r="V368" t="inlineStr">
        <is>
          <t>2003-02-09</t>
        </is>
      </c>
      <c r="W368" t="inlineStr">
        <is>
          <t>1993-03-30</t>
        </is>
      </c>
      <c r="X368" t="inlineStr">
        <is>
          <t>1993-03-30</t>
        </is>
      </c>
      <c r="Y368" t="n">
        <v>423</v>
      </c>
      <c r="Z368" t="n">
        <v>336</v>
      </c>
      <c r="AA368" t="n">
        <v>353</v>
      </c>
      <c r="AB368" t="n">
        <v>3</v>
      </c>
      <c r="AC368" t="n">
        <v>3</v>
      </c>
      <c r="AD368" t="n">
        <v>14</v>
      </c>
      <c r="AE368" t="n">
        <v>14</v>
      </c>
      <c r="AF368" t="n">
        <v>5</v>
      </c>
      <c r="AG368" t="n">
        <v>5</v>
      </c>
      <c r="AH368" t="n">
        <v>3</v>
      </c>
      <c r="AI368" t="n">
        <v>3</v>
      </c>
      <c r="AJ368" t="n">
        <v>8</v>
      </c>
      <c r="AK368" t="n">
        <v>8</v>
      </c>
      <c r="AL368" t="n">
        <v>2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HYPERLINK("https://creighton-primo.hosted.exlibrisgroup.com/primo-explore/search?tab=default_tab&amp;search_scope=EVERYTHING&amp;vid=01CRU&amp;lang=en_US&amp;offset=0&amp;query=any,contains,991004562699702656","Catalog Record")</f>
        <v/>
      </c>
      <c r="AT368">
        <f>HYPERLINK("http://www.worldcat.org/oclc/4003697","WorldCat Record")</f>
        <v/>
      </c>
      <c r="AU368" t="inlineStr">
        <is>
          <t>583303:eng</t>
        </is>
      </c>
      <c r="AV368" t="inlineStr">
        <is>
          <t>4003697</t>
        </is>
      </c>
      <c r="AW368" t="inlineStr">
        <is>
          <t>991004562699702656</t>
        </is>
      </c>
      <c r="AX368" t="inlineStr">
        <is>
          <t>991004562699702656</t>
        </is>
      </c>
      <c r="AY368" t="inlineStr">
        <is>
          <t>2267734730002656</t>
        </is>
      </c>
      <c r="AZ368" t="inlineStr">
        <is>
          <t>BOOK</t>
        </is>
      </c>
      <c r="BB368" t="inlineStr">
        <is>
          <t>9780878557080</t>
        </is>
      </c>
      <c r="BC368" t="inlineStr">
        <is>
          <t>32285001611846</t>
        </is>
      </c>
      <c r="BD368" t="inlineStr">
        <is>
          <t>893788862</t>
        </is>
      </c>
    </row>
    <row r="369">
      <c r="A369" t="inlineStr">
        <is>
          <t>No</t>
        </is>
      </c>
      <c r="B369" t="inlineStr">
        <is>
          <t>P91 .C28 2000</t>
        </is>
      </c>
      <c r="C369" t="inlineStr">
        <is>
          <t>0                      P  0091000C  28          2000</t>
        </is>
      </c>
      <c r="D369" t="inlineStr">
        <is>
          <t>Voyeur nation : media, privacy, and peering in modern culture / Clay Calvert.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Calvert, Clay (Law professor)</t>
        </is>
      </c>
      <c r="L369" t="inlineStr">
        <is>
          <t>Boulder, Colo. : Westview Press, 2000.</t>
        </is>
      </c>
      <c r="M369" t="inlineStr">
        <is>
          <t>2000</t>
        </is>
      </c>
      <c r="O369" t="inlineStr">
        <is>
          <t>eng</t>
        </is>
      </c>
      <c r="P369" t="inlineStr">
        <is>
          <t>cou</t>
        </is>
      </c>
      <c r="Q369" t="inlineStr">
        <is>
          <t>Critical studies in communication and in cultural industries</t>
        </is>
      </c>
      <c r="R369" t="inlineStr">
        <is>
          <t xml:space="preserve">P  </t>
        </is>
      </c>
      <c r="S369" t="n">
        <v>4</v>
      </c>
      <c r="T369" t="n">
        <v>4</v>
      </c>
      <c r="U369" t="inlineStr">
        <is>
          <t>2010-09-13</t>
        </is>
      </c>
      <c r="V369" t="inlineStr">
        <is>
          <t>2010-09-13</t>
        </is>
      </c>
      <c r="W369" t="inlineStr">
        <is>
          <t>2000-12-05</t>
        </is>
      </c>
      <c r="X369" t="inlineStr">
        <is>
          <t>2000-12-05</t>
        </is>
      </c>
      <c r="Y369" t="n">
        <v>830</v>
      </c>
      <c r="Z369" t="n">
        <v>747</v>
      </c>
      <c r="AA369" t="n">
        <v>788</v>
      </c>
      <c r="AB369" t="n">
        <v>6</v>
      </c>
      <c r="AC369" t="n">
        <v>6</v>
      </c>
      <c r="AD369" t="n">
        <v>32</v>
      </c>
      <c r="AE369" t="n">
        <v>33</v>
      </c>
      <c r="AF369" t="n">
        <v>11</v>
      </c>
      <c r="AG369" t="n">
        <v>11</v>
      </c>
      <c r="AH369" t="n">
        <v>6</v>
      </c>
      <c r="AI369" t="n">
        <v>6</v>
      </c>
      <c r="AJ369" t="n">
        <v>12</v>
      </c>
      <c r="AK369" t="n">
        <v>13</v>
      </c>
      <c r="AL369" t="n">
        <v>5</v>
      </c>
      <c r="AM369" t="n">
        <v>5</v>
      </c>
      <c r="AN369" t="n">
        <v>5</v>
      </c>
      <c r="AO369" t="n">
        <v>5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HYPERLINK("http://catalog.hathitrust.org/Record/004128557","HathiTrust Record")</f>
        <v/>
      </c>
      <c r="AS369">
        <f>HYPERLINK("https://creighton-primo.hosted.exlibrisgroup.com/primo-explore/search?tab=default_tab&amp;search_scope=EVERYTHING&amp;vid=01CRU&amp;lang=en_US&amp;offset=0&amp;query=any,contains,991003347829702656","Catalog Record")</f>
        <v/>
      </c>
      <c r="AT369">
        <f>HYPERLINK("http://www.worldcat.org/oclc/44426998","WorldCat Record")</f>
        <v/>
      </c>
      <c r="AU369" t="inlineStr">
        <is>
          <t>51318:eng</t>
        </is>
      </c>
      <c r="AV369" t="inlineStr">
        <is>
          <t>44426998</t>
        </is>
      </c>
      <c r="AW369" t="inlineStr">
        <is>
          <t>991003347829702656</t>
        </is>
      </c>
      <c r="AX369" t="inlineStr">
        <is>
          <t>991003347829702656</t>
        </is>
      </c>
      <c r="AY369" t="inlineStr">
        <is>
          <t>2257222990002656</t>
        </is>
      </c>
      <c r="AZ369" t="inlineStr">
        <is>
          <t>BOOK</t>
        </is>
      </c>
      <c r="BB369" t="inlineStr">
        <is>
          <t>9780813366272</t>
        </is>
      </c>
      <c r="BC369" t="inlineStr">
        <is>
          <t>32285004275219</t>
        </is>
      </c>
      <c r="BD369" t="inlineStr">
        <is>
          <t>893592441</t>
        </is>
      </c>
    </row>
    <row r="370">
      <c r="A370" t="inlineStr">
        <is>
          <t>No</t>
        </is>
      </c>
      <c r="B370" t="inlineStr">
        <is>
          <t>P91 .F467 1997</t>
        </is>
      </c>
      <c r="C370" t="inlineStr">
        <is>
          <t>0                      P  0091000F  467         1997</t>
        </is>
      </c>
      <c r="D370" t="inlineStr">
        <is>
          <t>Mediamorphosis : understanding new media / Roger Fidler.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Fidler, Roger F.</t>
        </is>
      </c>
      <c r="L370" t="inlineStr">
        <is>
          <t>Thousand Oaks, Calif. : Pine Forge Press, c1997.</t>
        </is>
      </c>
      <c r="M370" t="inlineStr">
        <is>
          <t>1997</t>
        </is>
      </c>
      <c r="O370" t="inlineStr">
        <is>
          <t>eng</t>
        </is>
      </c>
      <c r="P370" t="inlineStr">
        <is>
          <t>cau</t>
        </is>
      </c>
      <c r="Q370" t="inlineStr">
        <is>
          <t>Journalism and communication for a new century</t>
        </is>
      </c>
      <c r="R370" t="inlineStr">
        <is>
          <t xml:space="preserve">P  </t>
        </is>
      </c>
      <c r="S370" t="n">
        <v>3</v>
      </c>
      <c r="T370" t="n">
        <v>3</v>
      </c>
      <c r="U370" t="inlineStr">
        <is>
          <t>2003-05-03</t>
        </is>
      </c>
      <c r="V370" t="inlineStr">
        <is>
          <t>2003-05-03</t>
        </is>
      </c>
      <c r="W370" t="inlineStr">
        <is>
          <t>1998-05-18</t>
        </is>
      </c>
      <c r="X370" t="inlineStr">
        <is>
          <t>1998-05-18</t>
        </is>
      </c>
      <c r="Y370" t="n">
        <v>384</v>
      </c>
      <c r="Z370" t="n">
        <v>259</v>
      </c>
      <c r="AA370" t="n">
        <v>588</v>
      </c>
      <c r="AB370" t="n">
        <v>2</v>
      </c>
      <c r="AC370" t="n">
        <v>3</v>
      </c>
      <c r="AD370" t="n">
        <v>15</v>
      </c>
      <c r="AE370" t="n">
        <v>21</v>
      </c>
      <c r="AF370" t="n">
        <v>5</v>
      </c>
      <c r="AG370" t="n">
        <v>8</v>
      </c>
      <c r="AH370" t="n">
        <v>5</v>
      </c>
      <c r="AI370" t="n">
        <v>7</v>
      </c>
      <c r="AJ370" t="n">
        <v>9</v>
      </c>
      <c r="AK370" t="n">
        <v>11</v>
      </c>
      <c r="AL370" t="n">
        <v>1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HYPERLINK("https://creighton-primo.hosted.exlibrisgroup.com/primo-explore/search?tab=default_tab&amp;search_scope=EVERYTHING&amp;vid=01CRU&amp;lang=en_US&amp;offset=0&amp;query=any,contains,991002754439702656","Catalog Record")</f>
        <v/>
      </c>
      <c r="AT370">
        <f>HYPERLINK("http://www.worldcat.org/oclc/36133295","WorldCat Record")</f>
        <v/>
      </c>
      <c r="AU370" t="inlineStr">
        <is>
          <t>36182661:eng</t>
        </is>
      </c>
      <c r="AV370" t="inlineStr">
        <is>
          <t>36133295</t>
        </is>
      </c>
      <c r="AW370" t="inlineStr">
        <is>
          <t>991002754439702656</t>
        </is>
      </c>
      <c r="AX370" t="inlineStr">
        <is>
          <t>991002754439702656</t>
        </is>
      </c>
      <c r="AY370" t="inlineStr">
        <is>
          <t>2261941870002656</t>
        </is>
      </c>
      <c r="AZ370" t="inlineStr">
        <is>
          <t>BOOK</t>
        </is>
      </c>
      <c r="BB370" t="inlineStr">
        <is>
          <t>9780803990869</t>
        </is>
      </c>
      <c r="BC370" t="inlineStr">
        <is>
          <t>32285003409306</t>
        </is>
      </c>
      <c r="BD370" t="inlineStr">
        <is>
          <t>893721616</t>
        </is>
      </c>
    </row>
    <row r="371">
      <c r="A371" t="inlineStr">
        <is>
          <t>No</t>
        </is>
      </c>
      <c r="B371" t="inlineStr">
        <is>
          <t>P91 .F5 1976</t>
        </is>
      </c>
      <c r="C371" t="inlineStr">
        <is>
          <t>0                      P  0091000F  5           1976</t>
        </is>
      </c>
      <c r="D371" t="inlineStr">
        <is>
          <t>International and intercultural communication / edited, with introductory notes and suggested readings by Heinz-Dietrich Fischer and John Calhoun Merrill.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Fischer, Heinz Dietrich, 1937- compiler.</t>
        </is>
      </c>
      <c r="L371" t="inlineStr">
        <is>
          <t>New York : Hastings House, 1976.</t>
        </is>
      </c>
      <c r="M371" t="inlineStr">
        <is>
          <t>1976</t>
        </is>
      </c>
      <c r="N371" t="inlineStr">
        <is>
          <t>2d ed., rev. and enl.</t>
        </is>
      </c>
      <c r="O371" t="inlineStr">
        <is>
          <t>eng</t>
        </is>
      </c>
      <c r="P371" t="inlineStr">
        <is>
          <t>nyu</t>
        </is>
      </c>
      <c r="Q371" t="inlineStr">
        <is>
          <t>Communication arts books</t>
        </is>
      </c>
      <c r="R371" t="inlineStr">
        <is>
          <t xml:space="preserve">P  </t>
        </is>
      </c>
      <c r="S371" t="n">
        <v>6</v>
      </c>
      <c r="T371" t="n">
        <v>6</v>
      </c>
      <c r="U371" t="inlineStr">
        <is>
          <t>2001-11-13</t>
        </is>
      </c>
      <c r="V371" t="inlineStr">
        <is>
          <t>2001-11-13</t>
        </is>
      </c>
      <c r="W371" t="inlineStr">
        <is>
          <t>1992-11-30</t>
        </is>
      </c>
      <c r="X371" t="inlineStr">
        <is>
          <t>1992-11-30</t>
        </is>
      </c>
      <c r="Y371" t="n">
        <v>556</v>
      </c>
      <c r="Z371" t="n">
        <v>465</v>
      </c>
      <c r="AA371" t="n">
        <v>474</v>
      </c>
      <c r="AB371" t="n">
        <v>5</v>
      </c>
      <c r="AC371" t="n">
        <v>5</v>
      </c>
      <c r="AD371" t="n">
        <v>24</v>
      </c>
      <c r="AE371" t="n">
        <v>24</v>
      </c>
      <c r="AF371" t="n">
        <v>9</v>
      </c>
      <c r="AG371" t="n">
        <v>9</v>
      </c>
      <c r="AH371" t="n">
        <v>5</v>
      </c>
      <c r="AI371" t="n">
        <v>5</v>
      </c>
      <c r="AJ371" t="n">
        <v>10</v>
      </c>
      <c r="AK371" t="n">
        <v>10</v>
      </c>
      <c r="AL371" t="n">
        <v>4</v>
      </c>
      <c r="AM371" t="n">
        <v>4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HYPERLINK("http://catalog.hathitrust.org/Record/000714140","HathiTrust Record")</f>
        <v/>
      </c>
      <c r="AS371">
        <f>HYPERLINK("https://creighton-primo.hosted.exlibrisgroup.com/primo-explore/search?tab=default_tab&amp;search_scope=EVERYTHING&amp;vid=01CRU&amp;lang=en_US&amp;offset=0&amp;query=any,contains,991004060339702656","Catalog Record")</f>
        <v/>
      </c>
      <c r="AT371">
        <f>HYPERLINK("http://www.worldcat.org/oclc/2238314","WorldCat Record")</f>
        <v/>
      </c>
      <c r="AU371" t="inlineStr">
        <is>
          <t>456604:eng</t>
        </is>
      </c>
      <c r="AV371" t="inlineStr">
        <is>
          <t>2238314</t>
        </is>
      </c>
      <c r="AW371" t="inlineStr">
        <is>
          <t>991004060339702656</t>
        </is>
      </c>
      <c r="AX371" t="inlineStr">
        <is>
          <t>991004060339702656</t>
        </is>
      </c>
      <c r="AY371" t="inlineStr">
        <is>
          <t>2257516070002656</t>
        </is>
      </c>
      <c r="AZ371" t="inlineStr">
        <is>
          <t>BOOK</t>
        </is>
      </c>
      <c r="BB371" t="inlineStr">
        <is>
          <t>9780803834033</t>
        </is>
      </c>
      <c r="BC371" t="inlineStr">
        <is>
          <t>32285001410082</t>
        </is>
      </c>
      <c r="BD371" t="inlineStr">
        <is>
          <t>893605583</t>
        </is>
      </c>
    </row>
    <row r="372">
      <c r="A372" t="inlineStr">
        <is>
          <t>No</t>
        </is>
      </c>
      <c r="B372" t="inlineStr">
        <is>
          <t>P91 .F82 1996</t>
        </is>
      </c>
      <c r="C372" t="inlineStr">
        <is>
          <t>0                      P  0091000F  82          1996</t>
        </is>
      </c>
      <c r="D372" t="inlineStr">
        <is>
          <t>Media-mediated relationships : straight and gay, mainstream and alternative perspectives / Linda K. Fuller.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Fuller, Linda K.</t>
        </is>
      </c>
      <c r="L372" t="inlineStr">
        <is>
          <t>New York : Haworth Press, c1996.</t>
        </is>
      </c>
      <c r="M372" t="inlineStr">
        <is>
          <t>1996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P  </t>
        </is>
      </c>
      <c r="S372" t="n">
        <v>1</v>
      </c>
      <c r="T372" t="n">
        <v>1</v>
      </c>
      <c r="U372" t="inlineStr">
        <is>
          <t>2001-04-22</t>
        </is>
      </c>
      <c r="V372" t="inlineStr">
        <is>
          <t>2001-04-22</t>
        </is>
      </c>
      <c r="W372" t="inlineStr">
        <is>
          <t>1997-05-06</t>
        </is>
      </c>
      <c r="X372" t="inlineStr">
        <is>
          <t>1997-05-06</t>
        </is>
      </c>
      <c r="Y372" t="n">
        <v>240</v>
      </c>
      <c r="Z372" t="n">
        <v>198</v>
      </c>
      <c r="AA372" t="n">
        <v>204</v>
      </c>
      <c r="AB372" t="n">
        <v>4</v>
      </c>
      <c r="AC372" t="n">
        <v>4</v>
      </c>
      <c r="AD372" t="n">
        <v>12</v>
      </c>
      <c r="AE372" t="n">
        <v>12</v>
      </c>
      <c r="AF372" t="n">
        <v>1</v>
      </c>
      <c r="AG372" t="n">
        <v>1</v>
      </c>
      <c r="AH372" t="n">
        <v>3</v>
      </c>
      <c r="AI372" t="n">
        <v>3</v>
      </c>
      <c r="AJ372" t="n">
        <v>7</v>
      </c>
      <c r="AK372" t="n">
        <v>7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HYPERLINK("http://catalog.hathitrust.org/Record/003043160","HathiTrust Record")</f>
        <v/>
      </c>
      <c r="AS372">
        <f>HYPERLINK("https://creighton-primo.hosted.exlibrisgroup.com/primo-explore/search?tab=default_tab&amp;search_scope=EVERYTHING&amp;vid=01CRU&amp;lang=en_US&amp;offset=0&amp;query=any,contains,991002494329702656","Catalog Record")</f>
        <v/>
      </c>
      <c r="AT372">
        <f>HYPERLINK("http://www.worldcat.org/oclc/32465081","WorldCat Record")</f>
        <v/>
      </c>
      <c r="AU372" t="inlineStr">
        <is>
          <t>335246063:eng</t>
        </is>
      </c>
      <c r="AV372" t="inlineStr">
        <is>
          <t>32465081</t>
        </is>
      </c>
      <c r="AW372" t="inlineStr">
        <is>
          <t>991002494329702656</t>
        </is>
      </c>
      <c r="AX372" t="inlineStr">
        <is>
          <t>991002494329702656</t>
        </is>
      </c>
      <c r="AY372" t="inlineStr">
        <is>
          <t>2268651590002656</t>
        </is>
      </c>
      <c r="AZ372" t="inlineStr">
        <is>
          <t>BOOK</t>
        </is>
      </c>
      <c r="BB372" t="inlineStr">
        <is>
          <t>9781560238546</t>
        </is>
      </c>
      <c r="BC372" t="inlineStr">
        <is>
          <t>32285002544772</t>
        </is>
      </c>
      <c r="BD372" t="inlineStr">
        <is>
          <t>893251305</t>
        </is>
      </c>
    </row>
    <row r="373">
      <c r="A373" t="inlineStr">
        <is>
          <t>No</t>
        </is>
      </c>
      <c r="B373" t="inlineStr">
        <is>
          <t>P91 .H37</t>
        </is>
      </c>
      <c r="C373" t="inlineStr">
        <is>
          <t>0                      P  0091000H  37</t>
        </is>
      </c>
      <c r="D373" t="inlineStr">
        <is>
          <t>Morality and the mass media.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Haselden, Kyle.</t>
        </is>
      </c>
      <c r="L373" t="inlineStr">
        <is>
          <t>Nashville, Broadman Press [1968]</t>
        </is>
      </c>
      <c r="M373" t="inlineStr">
        <is>
          <t>1968</t>
        </is>
      </c>
      <c r="O373" t="inlineStr">
        <is>
          <t>eng</t>
        </is>
      </c>
      <c r="P373" t="inlineStr">
        <is>
          <t>tnu</t>
        </is>
      </c>
      <c r="R373" t="inlineStr">
        <is>
          <t xml:space="preserve">P  </t>
        </is>
      </c>
      <c r="S373" t="n">
        <v>1</v>
      </c>
      <c r="T373" t="n">
        <v>1</v>
      </c>
      <c r="U373" t="inlineStr">
        <is>
          <t>2001-11-28</t>
        </is>
      </c>
      <c r="V373" t="inlineStr">
        <is>
          <t>2001-11-28</t>
        </is>
      </c>
      <c r="W373" t="inlineStr">
        <is>
          <t>1997-08-12</t>
        </is>
      </c>
      <c r="X373" t="inlineStr">
        <is>
          <t>1997-08-12</t>
        </is>
      </c>
      <c r="Y373" t="n">
        <v>481</v>
      </c>
      <c r="Z373" t="n">
        <v>414</v>
      </c>
      <c r="AA373" t="n">
        <v>415</v>
      </c>
      <c r="AB373" t="n">
        <v>4</v>
      </c>
      <c r="AC373" t="n">
        <v>4</v>
      </c>
      <c r="AD373" t="n">
        <v>21</v>
      </c>
      <c r="AE373" t="n">
        <v>21</v>
      </c>
      <c r="AF373" t="n">
        <v>9</v>
      </c>
      <c r="AG373" t="n">
        <v>9</v>
      </c>
      <c r="AH373" t="n">
        <v>2</v>
      </c>
      <c r="AI373" t="n">
        <v>2</v>
      </c>
      <c r="AJ373" t="n">
        <v>9</v>
      </c>
      <c r="AK373" t="n">
        <v>9</v>
      </c>
      <c r="AL373" t="n">
        <v>3</v>
      </c>
      <c r="AM373" t="n">
        <v>3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HYPERLINK("http://catalog.hathitrust.org/Record/000006094","HathiTrust Record")</f>
        <v/>
      </c>
      <c r="AS373">
        <f>HYPERLINK("https://creighton-primo.hosted.exlibrisgroup.com/primo-explore/search?tab=default_tab&amp;search_scope=EVERYTHING&amp;vid=01CRU&amp;lang=en_US&amp;offset=0&amp;query=any,contains,991002785789702656","Catalog Record")</f>
        <v/>
      </c>
      <c r="AT373">
        <f>HYPERLINK("http://www.worldcat.org/oclc/441598","WorldCat Record")</f>
        <v/>
      </c>
      <c r="AU373" t="inlineStr">
        <is>
          <t>1569268:eng</t>
        </is>
      </c>
      <c r="AV373" t="inlineStr">
        <is>
          <t>441598</t>
        </is>
      </c>
      <c r="AW373" t="inlineStr">
        <is>
          <t>991002785789702656</t>
        </is>
      </c>
      <c r="AX373" t="inlineStr">
        <is>
          <t>991002785789702656</t>
        </is>
      </c>
      <c r="AY373" t="inlineStr">
        <is>
          <t>2255768060002656</t>
        </is>
      </c>
      <c r="AZ373" t="inlineStr">
        <is>
          <t>BOOK</t>
        </is>
      </c>
      <c r="BC373" t="inlineStr">
        <is>
          <t>32285003095113</t>
        </is>
      </c>
      <c r="BD373" t="inlineStr">
        <is>
          <t>893893001</t>
        </is>
      </c>
    </row>
    <row r="374">
      <c r="A374" t="inlineStr">
        <is>
          <t>No</t>
        </is>
      </c>
      <c r="B374" t="inlineStr">
        <is>
          <t>P91 .M27 1969</t>
        </is>
      </c>
      <c r="C374" t="inlineStr">
        <is>
          <t>0                      P  0091000M  27          1969</t>
        </is>
      </c>
      <c r="D374" t="inlineStr">
        <is>
          <t>Counter blast / [by] Marshall McLuhan. Designed by Harley Parker.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McLuhan, Marshall, 1911-1980.</t>
        </is>
      </c>
      <c r="L374" t="inlineStr">
        <is>
          <t>New York : Harcourt, Brace &amp; World, [1969]</t>
        </is>
      </c>
      <c r="M374" t="inlineStr">
        <is>
          <t>1969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P  </t>
        </is>
      </c>
      <c r="S374" t="n">
        <v>5</v>
      </c>
      <c r="T374" t="n">
        <v>5</v>
      </c>
      <c r="U374" t="inlineStr">
        <is>
          <t>2010-05-18</t>
        </is>
      </c>
      <c r="V374" t="inlineStr">
        <is>
          <t>2010-05-18</t>
        </is>
      </c>
      <c r="W374" t="inlineStr">
        <is>
          <t>1993-03-30</t>
        </is>
      </c>
      <c r="X374" t="inlineStr">
        <is>
          <t>1993-03-30</t>
        </is>
      </c>
      <c r="Y374" t="n">
        <v>784</v>
      </c>
      <c r="Z374" t="n">
        <v>676</v>
      </c>
      <c r="AA374" t="n">
        <v>702</v>
      </c>
      <c r="AB374" t="n">
        <v>7</v>
      </c>
      <c r="AC374" t="n">
        <v>7</v>
      </c>
      <c r="AD374" t="n">
        <v>24</v>
      </c>
      <c r="AE374" t="n">
        <v>25</v>
      </c>
      <c r="AF374" t="n">
        <v>9</v>
      </c>
      <c r="AG374" t="n">
        <v>9</v>
      </c>
      <c r="AH374" t="n">
        <v>4</v>
      </c>
      <c r="AI374" t="n">
        <v>5</v>
      </c>
      <c r="AJ374" t="n">
        <v>11</v>
      </c>
      <c r="AK374" t="n">
        <v>11</v>
      </c>
      <c r="AL374" t="n">
        <v>6</v>
      </c>
      <c r="AM374" t="n">
        <v>6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HYPERLINK("http://catalog.hathitrust.org/Record/007119966","HathiTrust Record")</f>
        <v/>
      </c>
      <c r="AS374">
        <f>HYPERLINK("https://creighton-primo.hosted.exlibrisgroup.com/primo-explore/search?tab=default_tab&amp;search_scope=EVERYTHING&amp;vid=01CRU&amp;lang=en_US&amp;offset=0&amp;query=any,contains,991000071389702656","Catalog Record")</f>
        <v/>
      </c>
      <c r="AT374">
        <f>HYPERLINK("http://www.worldcat.org/oclc/28339","WorldCat Record")</f>
        <v/>
      </c>
      <c r="AU374" t="inlineStr">
        <is>
          <t>52566677:eng</t>
        </is>
      </c>
      <c r="AV374" t="inlineStr">
        <is>
          <t>28339</t>
        </is>
      </c>
      <c r="AW374" t="inlineStr">
        <is>
          <t>991000071389702656</t>
        </is>
      </c>
      <c r="AX374" t="inlineStr">
        <is>
          <t>991000071389702656</t>
        </is>
      </c>
      <c r="AY374" t="inlineStr">
        <is>
          <t>2264836520002656</t>
        </is>
      </c>
      <c r="AZ374" t="inlineStr">
        <is>
          <t>BOOK</t>
        </is>
      </c>
      <c r="BC374" t="inlineStr">
        <is>
          <t>32285001611887</t>
        </is>
      </c>
      <c r="BD374" t="inlineStr">
        <is>
          <t>893796378</t>
        </is>
      </c>
    </row>
    <row r="375">
      <c r="A375" t="inlineStr">
        <is>
          <t>No</t>
        </is>
      </c>
      <c r="B375" t="inlineStr">
        <is>
          <t>P91 .M276 1970</t>
        </is>
      </c>
      <c r="C375" t="inlineStr">
        <is>
          <t>0                      P  0091000M  276         1970</t>
        </is>
      </c>
      <c r="D375" t="inlineStr">
        <is>
          <t>From cliche to archetype / [by] Marshall McLuhan with Wilfred Watson.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McLuhan, Marshall, 1911-1980.</t>
        </is>
      </c>
      <c r="L375" t="inlineStr">
        <is>
          <t>New York : Viking Press, [1970]</t>
        </is>
      </c>
      <c r="M375" t="inlineStr">
        <is>
          <t>1970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P  </t>
        </is>
      </c>
      <c r="S375" t="n">
        <v>3</v>
      </c>
      <c r="T375" t="n">
        <v>3</v>
      </c>
      <c r="U375" t="inlineStr">
        <is>
          <t>2010-03-22</t>
        </is>
      </c>
      <c r="V375" t="inlineStr">
        <is>
          <t>2010-03-22</t>
        </is>
      </c>
      <c r="W375" t="inlineStr">
        <is>
          <t>1992-11-30</t>
        </is>
      </c>
      <c r="X375" t="inlineStr">
        <is>
          <t>1992-11-30</t>
        </is>
      </c>
      <c r="Y375" t="n">
        <v>914</v>
      </c>
      <c r="Z375" t="n">
        <v>771</v>
      </c>
      <c r="AA375" t="n">
        <v>818</v>
      </c>
      <c r="AB375" t="n">
        <v>4</v>
      </c>
      <c r="AC375" t="n">
        <v>4</v>
      </c>
      <c r="AD375" t="n">
        <v>28</v>
      </c>
      <c r="AE375" t="n">
        <v>30</v>
      </c>
      <c r="AF375" t="n">
        <v>8</v>
      </c>
      <c r="AG375" t="n">
        <v>10</v>
      </c>
      <c r="AH375" t="n">
        <v>6</v>
      </c>
      <c r="AI375" t="n">
        <v>6</v>
      </c>
      <c r="AJ375" t="n">
        <v>18</v>
      </c>
      <c r="AK375" t="n">
        <v>19</v>
      </c>
      <c r="AL375" t="n">
        <v>3</v>
      </c>
      <c r="AM375" t="n">
        <v>3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HYPERLINK("http://catalog.hathitrust.org/Record/001180814","HathiTrust Record")</f>
        <v/>
      </c>
      <c r="AS375">
        <f>HYPERLINK("https://creighton-primo.hosted.exlibrisgroup.com/primo-explore/search?tab=default_tab&amp;search_scope=EVERYTHING&amp;vid=01CRU&amp;lang=en_US&amp;offset=0&amp;query=any,contains,991000615479702656","Catalog Record")</f>
        <v/>
      </c>
      <c r="AT375">
        <f>HYPERLINK("http://www.worldcat.org/oclc/101588","WorldCat Record")</f>
        <v/>
      </c>
      <c r="AU375" t="inlineStr">
        <is>
          <t>52364946:eng</t>
        </is>
      </c>
      <c r="AV375" t="inlineStr">
        <is>
          <t>101588</t>
        </is>
      </c>
      <c r="AW375" t="inlineStr">
        <is>
          <t>991000615479702656</t>
        </is>
      </c>
      <c r="AX375" t="inlineStr">
        <is>
          <t>991000615479702656</t>
        </is>
      </c>
      <c r="AY375" t="inlineStr">
        <is>
          <t>2261301950002656</t>
        </is>
      </c>
      <c r="AZ375" t="inlineStr">
        <is>
          <t>BOOK</t>
        </is>
      </c>
      <c r="BB375" t="inlineStr">
        <is>
          <t>9780670330935</t>
        </is>
      </c>
      <c r="BC375" t="inlineStr">
        <is>
          <t>32285001410074</t>
        </is>
      </c>
      <c r="BD375" t="inlineStr">
        <is>
          <t>893321191</t>
        </is>
      </c>
    </row>
    <row r="376">
      <c r="A376" t="inlineStr">
        <is>
          <t>No</t>
        </is>
      </c>
      <c r="B376" t="inlineStr">
        <is>
          <t>P91 .M372 2007</t>
        </is>
      </c>
      <c r="C376" t="inlineStr">
        <is>
          <t>0                      P  0091000M  372         2007</t>
        </is>
      </c>
      <c r="D376" t="inlineStr">
        <is>
          <t>Communication revolution : critical junctures and the future of media / Robert W. McChesney.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McChesney, Robert Waterman, 1952-</t>
        </is>
      </c>
      <c r="L376" t="inlineStr">
        <is>
          <t>New York : New Press : Distributed by W. W. Norton &amp; Co., 2007.</t>
        </is>
      </c>
      <c r="M376" t="inlineStr">
        <is>
          <t>2007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P  </t>
        </is>
      </c>
      <c r="S376" t="n">
        <v>1</v>
      </c>
      <c r="T376" t="n">
        <v>1</v>
      </c>
      <c r="U376" t="inlineStr">
        <is>
          <t>2008-07-14</t>
        </is>
      </c>
      <c r="V376" t="inlineStr">
        <is>
          <t>2008-07-14</t>
        </is>
      </c>
      <c r="W376" t="inlineStr">
        <is>
          <t>2008-07-14</t>
        </is>
      </c>
      <c r="X376" t="inlineStr">
        <is>
          <t>2008-07-14</t>
        </is>
      </c>
      <c r="Y376" t="n">
        <v>536</v>
      </c>
      <c r="Z376" t="n">
        <v>436</v>
      </c>
      <c r="AA376" t="n">
        <v>446</v>
      </c>
      <c r="AB376" t="n">
        <v>3</v>
      </c>
      <c r="AC376" t="n">
        <v>3</v>
      </c>
      <c r="AD376" t="n">
        <v>13</v>
      </c>
      <c r="AE376" t="n">
        <v>13</v>
      </c>
      <c r="AF376" t="n">
        <v>4</v>
      </c>
      <c r="AG376" t="n">
        <v>4</v>
      </c>
      <c r="AH376" t="n">
        <v>3</v>
      </c>
      <c r="AI376" t="n">
        <v>3</v>
      </c>
      <c r="AJ376" t="n">
        <v>7</v>
      </c>
      <c r="AK376" t="n">
        <v>7</v>
      </c>
      <c r="AL376" t="n">
        <v>2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HYPERLINK("http://catalog.hathitrust.org/Record/005594683","HathiTrust Record")</f>
        <v/>
      </c>
      <c r="AS376">
        <f>HYPERLINK("https://creighton-primo.hosted.exlibrisgroup.com/primo-explore/search?tab=default_tab&amp;search_scope=EVERYTHING&amp;vid=01CRU&amp;lang=en_US&amp;offset=0&amp;query=any,contains,991005244709702656","Catalog Record")</f>
        <v/>
      </c>
      <c r="AT376">
        <f>HYPERLINK("http://www.worldcat.org/oclc/124031823","WorldCat Record")</f>
        <v/>
      </c>
      <c r="AU376" t="inlineStr">
        <is>
          <t>198243556:eng</t>
        </is>
      </c>
      <c r="AV376" t="inlineStr">
        <is>
          <t>124031823</t>
        </is>
      </c>
      <c r="AW376" t="inlineStr">
        <is>
          <t>991005244709702656</t>
        </is>
      </c>
      <c r="AX376" t="inlineStr">
        <is>
          <t>991005244709702656</t>
        </is>
      </c>
      <c r="AY376" t="inlineStr">
        <is>
          <t>2261966200002656</t>
        </is>
      </c>
      <c r="AZ376" t="inlineStr">
        <is>
          <t>BOOK</t>
        </is>
      </c>
      <c r="BB376" t="inlineStr">
        <is>
          <t>9781595582072</t>
        </is>
      </c>
      <c r="BC376" t="inlineStr">
        <is>
          <t>32285005447650</t>
        </is>
      </c>
      <c r="BD376" t="inlineStr">
        <is>
          <t>893242427</t>
        </is>
      </c>
    </row>
    <row r="377">
      <c r="A377" t="inlineStr">
        <is>
          <t>No</t>
        </is>
      </c>
      <c r="B377" t="inlineStr">
        <is>
          <t>P91 .M43 2002</t>
        </is>
      </c>
      <c r="C377" t="inlineStr">
        <is>
          <t>0                      P  0091000M  43          2002</t>
        </is>
      </c>
      <c r="D377" t="inlineStr">
        <is>
          <t>Media history : theories, methods, analysis / edited by Niels Brügger &amp; Søren Kolstrup.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L377" t="inlineStr">
        <is>
          <t>Aarhus : Oxford : Aarhus University Press, 2002.</t>
        </is>
      </c>
      <c r="M377" t="inlineStr">
        <is>
          <t>2002</t>
        </is>
      </c>
      <c r="O377" t="inlineStr">
        <is>
          <t>eng</t>
        </is>
      </c>
      <c r="P377" t="inlineStr">
        <is>
          <t>enk</t>
        </is>
      </c>
      <c r="R377" t="inlineStr">
        <is>
          <t xml:space="preserve">P  </t>
        </is>
      </c>
      <c r="S377" t="n">
        <v>2</v>
      </c>
      <c r="T377" t="n">
        <v>2</v>
      </c>
      <c r="U377" t="inlineStr">
        <is>
          <t>2003-11-05</t>
        </is>
      </c>
      <c r="V377" t="inlineStr">
        <is>
          <t>2003-11-05</t>
        </is>
      </c>
      <c r="W377" t="inlineStr">
        <is>
          <t>2003-10-02</t>
        </is>
      </c>
      <c r="X377" t="inlineStr">
        <is>
          <t>2003-10-02</t>
        </is>
      </c>
      <c r="Y377" t="n">
        <v>140</v>
      </c>
      <c r="Z377" t="n">
        <v>93</v>
      </c>
      <c r="AA377" t="n">
        <v>94</v>
      </c>
      <c r="AB377" t="n">
        <v>3</v>
      </c>
      <c r="AC377" t="n">
        <v>3</v>
      </c>
      <c r="AD377" t="n">
        <v>5</v>
      </c>
      <c r="AE377" t="n">
        <v>5</v>
      </c>
      <c r="AF377" t="n">
        <v>0</v>
      </c>
      <c r="AG377" t="n">
        <v>0</v>
      </c>
      <c r="AH377" t="n">
        <v>2</v>
      </c>
      <c r="AI377" t="n">
        <v>2</v>
      </c>
      <c r="AJ377" t="n">
        <v>3</v>
      </c>
      <c r="AK377" t="n">
        <v>3</v>
      </c>
      <c r="AL377" t="n">
        <v>2</v>
      </c>
      <c r="AM377" t="n">
        <v>2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HYPERLINK("http://catalog.hathitrust.org/Record/004167373","HathiTrust Record")</f>
        <v/>
      </c>
      <c r="AS377">
        <f>HYPERLINK("https://creighton-primo.hosted.exlibrisgroup.com/primo-explore/search?tab=default_tab&amp;search_scope=EVERYTHING&amp;vid=01CRU&amp;lang=en_US&amp;offset=0&amp;query=any,contains,991004150189702656","Catalog Record")</f>
        <v/>
      </c>
      <c r="AT377">
        <f>HYPERLINK("http://www.worldcat.org/oclc/48837332","WorldCat Record")</f>
        <v/>
      </c>
      <c r="AU377" t="inlineStr">
        <is>
          <t>837956050:eng</t>
        </is>
      </c>
      <c r="AV377" t="inlineStr">
        <is>
          <t>48837332</t>
        </is>
      </c>
      <c r="AW377" t="inlineStr">
        <is>
          <t>991004150189702656</t>
        </is>
      </c>
      <c r="AX377" t="inlineStr">
        <is>
          <t>991004150189702656</t>
        </is>
      </c>
      <c r="AY377" t="inlineStr">
        <is>
          <t>2262869560002656</t>
        </is>
      </c>
      <c r="AZ377" t="inlineStr">
        <is>
          <t>BOOK</t>
        </is>
      </c>
      <c r="BB377" t="inlineStr">
        <is>
          <t>9788772888392</t>
        </is>
      </c>
      <c r="BC377" t="inlineStr">
        <is>
          <t>32285004794292</t>
        </is>
      </c>
      <c r="BD377" t="inlineStr">
        <is>
          <t>893699903</t>
        </is>
      </c>
    </row>
    <row r="378">
      <c r="A378" t="inlineStr">
        <is>
          <t>No</t>
        </is>
      </c>
      <c r="B378" t="inlineStr">
        <is>
          <t>P91 .S45 1980</t>
        </is>
      </c>
      <c r="C378" t="inlineStr">
        <is>
          <t>0                      P  0091000S  45          1980</t>
        </is>
      </c>
      <c r="D378" t="inlineStr">
        <is>
          <t>Communication rules : theory and research / Susan B. Shimanoff ; foreword by Dell Hymes.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Shimanoff, Susan B.</t>
        </is>
      </c>
      <c r="L378" t="inlineStr">
        <is>
          <t>Beverly Hills, Calif. : Sage Publications, c1980.</t>
        </is>
      </c>
      <c r="M378" t="inlineStr">
        <is>
          <t>1980</t>
        </is>
      </c>
      <c r="O378" t="inlineStr">
        <is>
          <t>eng</t>
        </is>
      </c>
      <c r="P378" t="inlineStr">
        <is>
          <t>cau</t>
        </is>
      </c>
      <c r="Q378" t="inlineStr">
        <is>
          <t>Sage library of social research ; v. 97</t>
        </is>
      </c>
      <c r="R378" t="inlineStr">
        <is>
          <t xml:space="preserve">P  </t>
        </is>
      </c>
      <c r="S378" t="n">
        <v>5</v>
      </c>
      <c r="T378" t="n">
        <v>5</v>
      </c>
      <c r="U378" t="inlineStr">
        <is>
          <t>2000-03-24</t>
        </is>
      </c>
      <c r="V378" t="inlineStr">
        <is>
          <t>2000-03-24</t>
        </is>
      </c>
      <c r="W378" t="inlineStr">
        <is>
          <t>1993-03-30</t>
        </is>
      </c>
      <c r="X378" t="inlineStr">
        <is>
          <t>1993-03-30</t>
        </is>
      </c>
      <c r="Y378" t="n">
        <v>525</v>
      </c>
      <c r="Z378" t="n">
        <v>411</v>
      </c>
      <c r="AA378" t="n">
        <v>418</v>
      </c>
      <c r="AB378" t="n">
        <v>5</v>
      </c>
      <c r="AC378" t="n">
        <v>5</v>
      </c>
      <c r="AD378" t="n">
        <v>26</v>
      </c>
      <c r="AE378" t="n">
        <v>26</v>
      </c>
      <c r="AF378" t="n">
        <v>13</v>
      </c>
      <c r="AG378" t="n">
        <v>13</v>
      </c>
      <c r="AH378" t="n">
        <v>4</v>
      </c>
      <c r="AI378" t="n">
        <v>4</v>
      </c>
      <c r="AJ378" t="n">
        <v>12</v>
      </c>
      <c r="AK378" t="n">
        <v>12</v>
      </c>
      <c r="AL378" t="n">
        <v>4</v>
      </c>
      <c r="AM378" t="n">
        <v>4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HYPERLINK("http://catalog.hathitrust.org/Record/000029521","HathiTrust Record")</f>
        <v/>
      </c>
      <c r="AS378">
        <f>HYPERLINK("https://creighton-primo.hosted.exlibrisgroup.com/primo-explore/search?tab=default_tab&amp;search_scope=EVERYTHING&amp;vid=01CRU&amp;lang=en_US&amp;offset=0&amp;query=any,contains,991004870179702656","Catalog Record")</f>
        <v/>
      </c>
      <c r="AT378">
        <f>HYPERLINK("http://www.worldcat.org/oclc/5751127","WorldCat Record")</f>
        <v/>
      </c>
      <c r="AU378" t="inlineStr">
        <is>
          <t>889678572:eng</t>
        </is>
      </c>
      <c r="AV378" t="inlineStr">
        <is>
          <t>5751127</t>
        </is>
      </c>
      <c r="AW378" t="inlineStr">
        <is>
          <t>991004870179702656</t>
        </is>
      </c>
      <c r="AX378" t="inlineStr">
        <is>
          <t>991004870179702656</t>
        </is>
      </c>
      <c r="AY378" t="inlineStr">
        <is>
          <t>2270234660002656</t>
        </is>
      </c>
      <c r="AZ378" t="inlineStr">
        <is>
          <t>BOOK</t>
        </is>
      </c>
      <c r="BB378" t="inlineStr">
        <is>
          <t>9780803913929</t>
        </is>
      </c>
      <c r="BC378" t="inlineStr">
        <is>
          <t>32285001611903</t>
        </is>
      </c>
      <c r="BD378" t="inlineStr">
        <is>
          <t>893594187</t>
        </is>
      </c>
    </row>
    <row r="379">
      <c r="A379" t="inlineStr">
        <is>
          <t>No</t>
        </is>
      </c>
      <c r="B379" t="inlineStr">
        <is>
          <t>P91 .S46 1991</t>
        </is>
      </c>
      <c r="C379" t="inlineStr">
        <is>
          <t>0                      P  0091000S  46          1991</t>
        </is>
      </c>
      <c r="D379" t="inlineStr">
        <is>
          <t>Mediating the message : theories of influences on mass media content / Pamela J. Shoemaker, Stephen D. Reese.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Shoemaker, Pamela J.</t>
        </is>
      </c>
      <c r="L379" t="inlineStr">
        <is>
          <t>New York : Longman, 1991.</t>
        </is>
      </c>
      <c r="M379" t="inlineStr">
        <is>
          <t>1991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P  </t>
        </is>
      </c>
      <c r="S379" t="n">
        <v>12</v>
      </c>
      <c r="T379" t="n">
        <v>12</v>
      </c>
      <c r="U379" t="inlineStr">
        <is>
          <t>2008-10-16</t>
        </is>
      </c>
      <c r="V379" t="inlineStr">
        <is>
          <t>2008-10-16</t>
        </is>
      </c>
      <c r="W379" t="inlineStr">
        <is>
          <t>1991-05-31</t>
        </is>
      </c>
      <c r="X379" t="inlineStr">
        <is>
          <t>1991-05-31</t>
        </is>
      </c>
      <c r="Y379" t="n">
        <v>321</v>
      </c>
      <c r="Z379" t="n">
        <v>245</v>
      </c>
      <c r="AA379" t="n">
        <v>368</v>
      </c>
      <c r="AB379" t="n">
        <v>5</v>
      </c>
      <c r="AC379" t="n">
        <v>6</v>
      </c>
      <c r="AD379" t="n">
        <v>14</v>
      </c>
      <c r="AE379" t="n">
        <v>25</v>
      </c>
      <c r="AF379" t="n">
        <v>4</v>
      </c>
      <c r="AG379" t="n">
        <v>10</v>
      </c>
      <c r="AH379" t="n">
        <v>2</v>
      </c>
      <c r="AI379" t="n">
        <v>5</v>
      </c>
      <c r="AJ379" t="n">
        <v>6</v>
      </c>
      <c r="AK379" t="n">
        <v>12</v>
      </c>
      <c r="AL379" t="n">
        <v>4</v>
      </c>
      <c r="AM379" t="n">
        <v>5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HYPERLINK("http://catalog.hathitrust.org/Record/002430268","HathiTrust Record")</f>
        <v/>
      </c>
      <c r="AS379">
        <f>HYPERLINK("https://creighton-primo.hosted.exlibrisgroup.com/primo-explore/search?tab=default_tab&amp;search_scope=EVERYTHING&amp;vid=01CRU&amp;lang=en_US&amp;offset=0&amp;query=any,contains,991001714079702656","Catalog Record")</f>
        <v/>
      </c>
      <c r="AT379">
        <f>HYPERLINK("http://www.worldcat.org/oclc/21669904","WorldCat Record")</f>
        <v/>
      </c>
      <c r="AU379" t="inlineStr">
        <is>
          <t>23151579:eng</t>
        </is>
      </c>
      <c r="AV379" t="inlineStr">
        <is>
          <t>21669904</t>
        </is>
      </c>
      <c r="AW379" t="inlineStr">
        <is>
          <t>991001714079702656</t>
        </is>
      </c>
      <c r="AX379" t="inlineStr">
        <is>
          <t>991001714079702656</t>
        </is>
      </c>
      <c r="AY379" t="inlineStr">
        <is>
          <t>2267742400002656</t>
        </is>
      </c>
      <c r="AZ379" t="inlineStr">
        <is>
          <t>BOOK</t>
        </is>
      </c>
      <c r="BB379" t="inlineStr">
        <is>
          <t>9780801303074</t>
        </is>
      </c>
      <c r="BC379" t="inlineStr">
        <is>
          <t>32285000590496</t>
        </is>
      </c>
      <c r="BD379" t="inlineStr">
        <is>
          <t>893238282</t>
        </is>
      </c>
    </row>
    <row r="380">
      <c r="A380" t="inlineStr">
        <is>
          <t>No</t>
        </is>
      </c>
      <c r="B380" t="inlineStr">
        <is>
          <t>P91 .S54 2002</t>
        </is>
      </c>
      <c r="C380" t="inlineStr">
        <is>
          <t>0                      P  0091000S  54          2002</t>
        </is>
      </c>
      <c r="D380" t="inlineStr">
        <is>
          <t>The real thing : doing philosophy with media / Christina Slade.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Slade, Christina.</t>
        </is>
      </c>
      <c r="L380" t="inlineStr">
        <is>
          <t>New York : Peter Lang, c2002.</t>
        </is>
      </c>
      <c r="M380" t="inlineStr">
        <is>
          <t>2002</t>
        </is>
      </c>
      <c r="O380" t="inlineStr">
        <is>
          <t>eng</t>
        </is>
      </c>
      <c r="P380" t="inlineStr">
        <is>
          <t>nyu</t>
        </is>
      </c>
      <c r="Q380" t="inlineStr">
        <is>
          <t>Popular culture &amp; everyday life ; vol. 4</t>
        </is>
      </c>
      <c r="R380" t="inlineStr">
        <is>
          <t xml:space="preserve">P  </t>
        </is>
      </c>
      <c r="S380" t="n">
        <v>1</v>
      </c>
      <c r="T380" t="n">
        <v>1</v>
      </c>
      <c r="U380" t="inlineStr">
        <is>
          <t>2003-11-04</t>
        </is>
      </c>
      <c r="V380" t="inlineStr">
        <is>
          <t>2003-11-04</t>
        </is>
      </c>
      <c r="W380" t="inlineStr">
        <is>
          <t>2003-09-25</t>
        </is>
      </c>
      <c r="X380" t="inlineStr">
        <is>
          <t>2003-09-25</t>
        </is>
      </c>
      <c r="Y380" t="n">
        <v>206</v>
      </c>
      <c r="Z380" t="n">
        <v>151</v>
      </c>
      <c r="AA380" t="n">
        <v>151</v>
      </c>
      <c r="AB380" t="n">
        <v>2</v>
      </c>
      <c r="AC380" t="n">
        <v>2</v>
      </c>
      <c r="AD380" t="n">
        <v>11</v>
      </c>
      <c r="AE380" t="n">
        <v>11</v>
      </c>
      <c r="AF380" t="n">
        <v>3</v>
      </c>
      <c r="AG380" t="n">
        <v>3</v>
      </c>
      <c r="AH380" t="n">
        <v>5</v>
      </c>
      <c r="AI380" t="n">
        <v>5</v>
      </c>
      <c r="AJ380" t="n">
        <v>6</v>
      </c>
      <c r="AK380" t="n">
        <v>6</v>
      </c>
      <c r="AL380" t="n">
        <v>1</v>
      </c>
      <c r="AM380" t="n">
        <v>1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HYPERLINK("https://creighton-primo.hosted.exlibrisgroup.com/primo-explore/search?tab=default_tab&amp;search_scope=EVERYTHING&amp;vid=01CRU&amp;lang=en_US&amp;offset=0&amp;query=any,contains,991004136309702656","Catalog Record")</f>
        <v/>
      </c>
      <c r="AT380">
        <f>HYPERLINK("http://www.worldcat.org/oclc/45804988","WorldCat Record")</f>
        <v/>
      </c>
      <c r="AU380" t="inlineStr">
        <is>
          <t>256647278:eng</t>
        </is>
      </c>
      <c r="AV380" t="inlineStr">
        <is>
          <t>45804988</t>
        </is>
      </c>
      <c r="AW380" t="inlineStr">
        <is>
          <t>991004136309702656</t>
        </is>
      </c>
      <c r="AX380" t="inlineStr">
        <is>
          <t>991004136309702656</t>
        </is>
      </c>
      <c r="AY380" t="inlineStr">
        <is>
          <t>2257943750002656</t>
        </is>
      </c>
      <c r="AZ380" t="inlineStr">
        <is>
          <t>BOOK</t>
        </is>
      </c>
      <c r="BB380" t="inlineStr">
        <is>
          <t>9780820455556</t>
        </is>
      </c>
      <c r="BC380" t="inlineStr">
        <is>
          <t>32285004792437</t>
        </is>
      </c>
      <c r="BD380" t="inlineStr">
        <is>
          <t>893888330</t>
        </is>
      </c>
    </row>
    <row r="381">
      <c r="A381" t="inlineStr">
        <is>
          <t>No</t>
        </is>
      </c>
      <c r="B381" t="inlineStr">
        <is>
          <t>P91.25 .M3675 2003</t>
        </is>
      </c>
      <c r="C381" t="inlineStr">
        <is>
          <t>0                      P  0091250M  3675        2003</t>
        </is>
      </c>
      <c r="D381" t="inlineStr">
        <is>
          <t>Understanding me : lectures and interviews / Marshall McLuhan ; edited by Stephanie McLuhan and David Staines ; with a foreword by Tom Wolfe.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McLuhan, Marshall, 1911-1980.</t>
        </is>
      </c>
      <c r="L381" t="inlineStr">
        <is>
          <t>[Cambridge, Mass. : MIT Press], c2003</t>
        </is>
      </c>
      <c r="M381" t="inlineStr">
        <is>
          <t>2003</t>
        </is>
      </c>
      <c r="O381" t="inlineStr">
        <is>
          <t>eng</t>
        </is>
      </c>
      <c r="P381" t="inlineStr">
        <is>
          <t>mau</t>
        </is>
      </c>
      <c r="R381" t="inlineStr">
        <is>
          <t xml:space="preserve">P  </t>
        </is>
      </c>
      <c r="S381" t="n">
        <v>2</v>
      </c>
      <c r="T381" t="n">
        <v>2</v>
      </c>
      <c r="U381" t="inlineStr">
        <is>
          <t>2009-07-13</t>
        </is>
      </c>
      <c r="V381" t="inlineStr">
        <is>
          <t>2009-07-13</t>
        </is>
      </c>
      <c r="W381" t="inlineStr">
        <is>
          <t>2004-06-07</t>
        </is>
      </c>
      <c r="X381" t="inlineStr">
        <is>
          <t>2004-06-07</t>
        </is>
      </c>
      <c r="Y381" t="n">
        <v>358</v>
      </c>
      <c r="Z381" t="n">
        <v>287</v>
      </c>
      <c r="AA381" t="n">
        <v>318</v>
      </c>
      <c r="AB381" t="n">
        <v>3</v>
      </c>
      <c r="AC381" t="n">
        <v>3</v>
      </c>
      <c r="AD381" t="n">
        <v>16</v>
      </c>
      <c r="AE381" t="n">
        <v>17</v>
      </c>
      <c r="AF381" t="n">
        <v>4</v>
      </c>
      <c r="AG381" t="n">
        <v>4</v>
      </c>
      <c r="AH381" t="n">
        <v>6</v>
      </c>
      <c r="AI381" t="n">
        <v>6</v>
      </c>
      <c r="AJ381" t="n">
        <v>7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HYPERLINK("https://creighton-primo.hosted.exlibrisgroup.com/primo-explore/search?tab=default_tab&amp;search_scope=EVERYTHING&amp;vid=01CRU&amp;lang=en_US&amp;offset=0&amp;query=any,contains,991004290159702656","Catalog Record")</f>
        <v/>
      </c>
      <c r="AT381">
        <f>HYPERLINK("http://www.worldcat.org/oclc/54539869","WorldCat Record")</f>
        <v/>
      </c>
      <c r="AU381" t="inlineStr">
        <is>
          <t>794750129:eng</t>
        </is>
      </c>
      <c r="AV381" t="inlineStr">
        <is>
          <t>54539869</t>
        </is>
      </c>
      <c r="AW381" t="inlineStr">
        <is>
          <t>991004290159702656</t>
        </is>
      </c>
      <c r="AX381" t="inlineStr">
        <is>
          <t>991004290159702656</t>
        </is>
      </c>
      <c r="AY381" t="inlineStr">
        <is>
          <t>2271763400002656</t>
        </is>
      </c>
      <c r="AZ381" t="inlineStr">
        <is>
          <t>BOOK</t>
        </is>
      </c>
      <c r="BB381" t="inlineStr">
        <is>
          <t>9780262134422</t>
        </is>
      </c>
      <c r="BC381" t="inlineStr">
        <is>
          <t>32285004907662</t>
        </is>
      </c>
      <c r="BD381" t="inlineStr">
        <is>
          <t>893519464</t>
        </is>
      </c>
    </row>
    <row r="382">
      <c r="A382" t="inlineStr">
        <is>
          <t>No</t>
        </is>
      </c>
      <c r="B382" t="inlineStr">
        <is>
          <t>P91.25 .Q48 1990</t>
        </is>
      </c>
      <c r="C382" t="inlineStr">
        <is>
          <t>0                      P  0091250Q  48          1990</t>
        </is>
      </c>
      <c r="D382" t="inlineStr">
        <is>
          <t>Questioning the media : a critical introducion / [edited by] John Downing, Ali Mohammadi, Annabelle Sreberny-Mohammadi.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Newbury Park, Calif. : Sage Publications, c1990.</t>
        </is>
      </c>
      <c r="M382" t="inlineStr">
        <is>
          <t>1990</t>
        </is>
      </c>
      <c r="O382" t="inlineStr">
        <is>
          <t>eng</t>
        </is>
      </c>
      <c r="P382" t="inlineStr">
        <is>
          <t>cau</t>
        </is>
      </c>
      <c r="R382" t="inlineStr">
        <is>
          <t xml:space="preserve">P  </t>
        </is>
      </c>
      <c r="S382" t="n">
        <v>3</v>
      </c>
      <c r="T382" t="n">
        <v>3</v>
      </c>
      <c r="U382" t="inlineStr">
        <is>
          <t>2001-11-28</t>
        </is>
      </c>
      <c r="V382" t="inlineStr">
        <is>
          <t>2001-11-28</t>
        </is>
      </c>
      <c r="W382" t="inlineStr">
        <is>
          <t>1991-11-18</t>
        </is>
      </c>
      <c r="X382" t="inlineStr">
        <is>
          <t>1991-11-18</t>
        </is>
      </c>
      <c r="Y382" t="n">
        <v>508</v>
      </c>
      <c r="Z382" t="n">
        <v>359</v>
      </c>
      <c r="AA382" t="n">
        <v>590</v>
      </c>
      <c r="AB382" t="n">
        <v>4</v>
      </c>
      <c r="AC382" t="n">
        <v>6</v>
      </c>
      <c r="AD382" t="n">
        <v>21</v>
      </c>
      <c r="AE382" t="n">
        <v>38</v>
      </c>
      <c r="AF382" t="n">
        <v>11</v>
      </c>
      <c r="AG382" t="n">
        <v>20</v>
      </c>
      <c r="AH382" t="n">
        <v>4</v>
      </c>
      <c r="AI382" t="n">
        <v>8</v>
      </c>
      <c r="AJ382" t="n">
        <v>9</v>
      </c>
      <c r="AK382" t="n">
        <v>17</v>
      </c>
      <c r="AL382" t="n">
        <v>3</v>
      </c>
      <c r="AM382" t="n">
        <v>5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HYPERLINK("https://creighton-primo.hosted.exlibrisgroup.com/primo-explore/search?tab=default_tab&amp;search_scope=EVERYTHING&amp;vid=01CRU&amp;lang=en_US&amp;offset=0&amp;query=any,contains,991001664039702656","Catalog Record")</f>
        <v/>
      </c>
      <c r="AT382">
        <f>HYPERLINK("http://www.worldcat.org/oclc/21196945","WorldCat Record")</f>
        <v/>
      </c>
      <c r="AU382" t="inlineStr">
        <is>
          <t>796281456:eng</t>
        </is>
      </c>
      <c r="AV382" t="inlineStr">
        <is>
          <t>21196945</t>
        </is>
      </c>
      <c r="AW382" t="inlineStr">
        <is>
          <t>991001664039702656</t>
        </is>
      </c>
      <c r="AX382" t="inlineStr">
        <is>
          <t>991001664039702656</t>
        </is>
      </c>
      <c r="AY382" t="inlineStr">
        <is>
          <t>2272252820002656</t>
        </is>
      </c>
      <c r="AZ382" t="inlineStr">
        <is>
          <t>BOOK</t>
        </is>
      </c>
      <c r="BB382" t="inlineStr">
        <is>
          <t>9780803936430</t>
        </is>
      </c>
      <c r="BC382" t="inlineStr">
        <is>
          <t>32285000817212</t>
        </is>
      </c>
      <c r="BD382" t="inlineStr">
        <is>
          <t>893426743</t>
        </is>
      </c>
    </row>
    <row r="383">
      <c r="A383" t="inlineStr">
        <is>
          <t>No</t>
        </is>
      </c>
      <c r="B383" t="inlineStr">
        <is>
          <t>P91.3 .H36 1997</t>
        </is>
      </c>
      <c r="C383" t="inlineStr">
        <is>
          <t>0                      P  0091300H  36          1997</t>
        </is>
      </c>
      <c r="D383" t="inlineStr">
        <is>
          <t>Handbook of research on teaching literacy through the communicative and visual arts / edited by James Flood, Shirley Brice Heath, and Diane Lapp.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L383" t="inlineStr">
        <is>
          <t>New York : Macmillan Library Reference USA ; London : Prentice Hall International, c1997.</t>
        </is>
      </c>
      <c r="M383" t="inlineStr">
        <is>
          <t>1997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P  </t>
        </is>
      </c>
      <c r="S383" t="n">
        <v>4</v>
      </c>
      <c r="T383" t="n">
        <v>4</v>
      </c>
      <c r="U383" t="inlineStr">
        <is>
          <t>2010-04-06</t>
        </is>
      </c>
      <c r="V383" t="inlineStr">
        <is>
          <t>2010-04-06</t>
        </is>
      </c>
      <c r="W383" t="inlineStr">
        <is>
          <t>1997-10-20</t>
        </is>
      </c>
      <c r="X383" t="inlineStr">
        <is>
          <t>1997-10-20</t>
        </is>
      </c>
      <c r="Y383" t="n">
        <v>592</v>
      </c>
      <c r="Z383" t="n">
        <v>510</v>
      </c>
      <c r="AA383" t="n">
        <v>581</v>
      </c>
      <c r="AB383" t="n">
        <v>3</v>
      </c>
      <c r="AC383" t="n">
        <v>3</v>
      </c>
      <c r="AD383" t="n">
        <v>24</v>
      </c>
      <c r="AE383" t="n">
        <v>26</v>
      </c>
      <c r="AF383" t="n">
        <v>9</v>
      </c>
      <c r="AG383" t="n">
        <v>11</v>
      </c>
      <c r="AH383" t="n">
        <v>7</v>
      </c>
      <c r="AI383" t="n">
        <v>7</v>
      </c>
      <c r="AJ383" t="n">
        <v>13</v>
      </c>
      <c r="AK383" t="n">
        <v>14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HYPERLINK("https://creighton-primo.hosted.exlibrisgroup.com/primo-explore/search?tab=default_tab&amp;search_scope=EVERYTHING&amp;vid=01CRU&amp;lang=en_US&amp;offset=0&amp;query=any,contains,991002686799702656","Catalog Record")</f>
        <v/>
      </c>
      <c r="AT383">
        <f>HYPERLINK("http://www.worldcat.org/oclc/35103238","WorldCat Record")</f>
        <v/>
      </c>
      <c r="AU383" t="inlineStr">
        <is>
          <t>766841327:eng</t>
        </is>
      </c>
      <c r="AV383" t="inlineStr">
        <is>
          <t>35103238</t>
        </is>
      </c>
      <c r="AW383" t="inlineStr">
        <is>
          <t>991002686799702656</t>
        </is>
      </c>
      <c r="AX383" t="inlineStr">
        <is>
          <t>991002686799702656</t>
        </is>
      </c>
      <c r="AY383" t="inlineStr">
        <is>
          <t>2266834420002656</t>
        </is>
      </c>
      <c r="AZ383" t="inlineStr">
        <is>
          <t>BOOK</t>
        </is>
      </c>
      <c r="BB383" t="inlineStr">
        <is>
          <t>9780028971827</t>
        </is>
      </c>
      <c r="BC383" t="inlineStr">
        <is>
          <t>32285003256657</t>
        </is>
      </c>
      <c r="BD383" t="inlineStr">
        <is>
          <t>893421672</t>
        </is>
      </c>
    </row>
    <row r="384">
      <c r="A384" t="inlineStr">
        <is>
          <t>No</t>
        </is>
      </c>
      <c r="B384" t="inlineStr">
        <is>
          <t>P91.3 .P75 1996</t>
        </is>
      </c>
      <c r="C384" t="inlineStr">
        <is>
          <t>0                      P  0091300P  75          1996</t>
        </is>
      </c>
      <c r="D384" t="inlineStr">
        <is>
          <t>Doing media research : an introduction / Susanna Hornig Priest ; illustrations by Scott McCullar.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Priest, Susanna Hornig.</t>
        </is>
      </c>
      <c r="L384" t="inlineStr">
        <is>
          <t>Thousand Oaks, Calif. : Sage Publications, c1996.</t>
        </is>
      </c>
      <c r="M384" t="inlineStr">
        <is>
          <t>1996</t>
        </is>
      </c>
      <c r="O384" t="inlineStr">
        <is>
          <t>eng</t>
        </is>
      </c>
      <c r="P384" t="inlineStr">
        <is>
          <t>cau</t>
        </is>
      </c>
      <c r="R384" t="inlineStr">
        <is>
          <t xml:space="preserve">P  </t>
        </is>
      </c>
      <c r="S384" t="n">
        <v>3</v>
      </c>
      <c r="T384" t="n">
        <v>3</v>
      </c>
      <c r="U384" t="inlineStr">
        <is>
          <t>2001-01-05</t>
        </is>
      </c>
      <c r="V384" t="inlineStr">
        <is>
          <t>2001-01-05</t>
        </is>
      </c>
      <c r="W384" t="inlineStr">
        <is>
          <t>1996-10-17</t>
        </is>
      </c>
      <c r="X384" t="inlineStr">
        <is>
          <t>1996-10-17</t>
        </is>
      </c>
      <c r="Y384" t="n">
        <v>398</v>
      </c>
      <c r="Z384" t="n">
        <v>243</v>
      </c>
      <c r="AA384" t="n">
        <v>299</v>
      </c>
      <c r="AB384" t="n">
        <v>3</v>
      </c>
      <c r="AC384" t="n">
        <v>3</v>
      </c>
      <c r="AD384" t="n">
        <v>15</v>
      </c>
      <c r="AE384" t="n">
        <v>18</v>
      </c>
      <c r="AF384" t="n">
        <v>6</v>
      </c>
      <c r="AG384" t="n">
        <v>8</v>
      </c>
      <c r="AH384" t="n">
        <v>4</v>
      </c>
      <c r="AI384" t="n">
        <v>5</v>
      </c>
      <c r="AJ384" t="n">
        <v>10</v>
      </c>
      <c r="AK384" t="n">
        <v>11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HYPERLINK("http://catalog.hathitrust.org/Record/003048983","HathiTrust Record")</f>
        <v/>
      </c>
      <c r="AS384">
        <f>HYPERLINK("https://creighton-primo.hosted.exlibrisgroup.com/primo-explore/search?tab=default_tab&amp;search_scope=EVERYTHING&amp;vid=01CRU&amp;lang=en_US&amp;offset=0&amp;query=any,contains,991002535719702656","Catalog Record")</f>
        <v/>
      </c>
      <c r="AT384">
        <f>HYPERLINK("http://www.worldcat.org/oclc/32968675","WorldCat Record")</f>
        <v/>
      </c>
      <c r="AU384" t="inlineStr">
        <is>
          <t>812494698:eng</t>
        </is>
      </c>
      <c r="AV384" t="inlineStr">
        <is>
          <t>32968675</t>
        </is>
      </c>
      <c r="AW384" t="inlineStr">
        <is>
          <t>991002535719702656</t>
        </is>
      </c>
      <c r="AX384" t="inlineStr">
        <is>
          <t>991002535719702656</t>
        </is>
      </c>
      <c r="AY384" t="inlineStr">
        <is>
          <t>2262660470002656</t>
        </is>
      </c>
      <c r="AZ384" t="inlineStr">
        <is>
          <t>BOOK</t>
        </is>
      </c>
      <c r="BB384" t="inlineStr">
        <is>
          <t>9780803972926</t>
        </is>
      </c>
      <c r="BC384" t="inlineStr">
        <is>
          <t>32285002366572</t>
        </is>
      </c>
      <c r="BD384" t="inlineStr">
        <is>
          <t>893880084</t>
        </is>
      </c>
    </row>
    <row r="385">
      <c r="A385" t="inlineStr">
        <is>
          <t>No</t>
        </is>
      </c>
      <c r="B385" t="inlineStr">
        <is>
          <t>P91.3 .S746 2003</t>
        </is>
      </c>
      <c r="C385" t="inlineStr">
        <is>
          <t>0                      P  0091300S  746         2003</t>
        </is>
      </c>
      <c r="D385" t="inlineStr">
        <is>
          <t>How to do media &amp; cultural studies / Jane Stokes.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Stokes, Jane C.</t>
        </is>
      </c>
      <c r="L385" t="inlineStr">
        <is>
          <t>London : SAGE, 2003.</t>
        </is>
      </c>
      <c r="M385" t="inlineStr">
        <is>
          <t>2003</t>
        </is>
      </c>
      <c r="O385" t="inlineStr">
        <is>
          <t>eng</t>
        </is>
      </c>
      <c r="P385" t="inlineStr">
        <is>
          <t>enk</t>
        </is>
      </c>
      <c r="R385" t="inlineStr">
        <is>
          <t xml:space="preserve">P  </t>
        </is>
      </c>
      <c r="S385" t="n">
        <v>3</v>
      </c>
      <c r="T385" t="n">
        <v>3</v>
      </c>
      <c r="U385" t="inlineStr">
        <is>
          <t>2005-04-21</t>
        </is>
      </c>
      <c r="V385" t="inlineStr">
        <is>
          <t>2005-04-21</t>
        </is>
      </c>
      <c r="W385" t="inlineStr">
        <is>
          <t>2005-04-21</t>
        </is>
      </c>
      <c r="X385" t="inlineStr">
        <is>
          <t>2005-04-21</t>
        </is>
      </c>
      <c r="Y385" t="n">
        <v>369</v>
      </c>
      <c r="Z385" t="n">
        <v>197</v>
      </c>
      <c r="AA385" t="n">
        <v>610</v>
      </c>
      <c r="AB385" t="n">
        <v>3</v>
      </c>
      <c r="AC385" t="n">
        <v>6</v>
      </c>
      <c r="AD385" t="n">
        <v>9</v>
      </c>
      <c r="AE385" t="n">
        <v>19</v>
      </c>
      <c r="AF385" t="n">
        <v>4</v>
      </c>
      <c r="AG385" t="n">
        <v>7</v>
      </c>
      <c r="AH385" t="n">
        <v>3</v>
      </c>
      <c r="AI385" t="n">
        <v>5</v>
      </c>
      <c r="AJ385" t="n">
        <v>3</v>
      </c>
      <c r="AK385" t="n">
        <v>6</v>
      </c>
      <c r="AL385" t="n">
        <v>2</v>
      </c>
      <c r="AM385" t="n">
        <v>5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HYPERLINK("http://catalog.hathitrust.org/Record/004297864","HathiTrust Record")</f>
        <v/>
      </c>
      <c r="AS385">
        <f>HYPERLINK("https://creighton-primo.hosted.exlibrisgroup.com/primo-explore/search?tab=default_tab&amp;search_scope=EVERYTHING&amp;vid=01CRU&amp;lang=en_US&amp;offset=0&amp;query=any,contains,991004520299702656","Catalog Record")</f>
        <v/>
      </c>
      <c r="AT385">
        <f>HYPERLINK("http://www.worldcat.org/oclc/50614534","WorldCat Record")</f>
        <v/>
      </c>
      <c r="AU385" t="inlineStr">
        <is>
          <t>947149:eng</t>
        </is>
      </c>
      <c r="AV385" t="inlineStr">
        <is>
          <t>50614534</t>
        </is>
      </c>
      <c r="AW385" t="inlineStr">
        <is>
          <t>991004520299702656</t>
        </is>
      </c>
      <c r="AX385" t="inlineStr">
        <is>
          <t>991004520299702656</t>
        </is>
      </c>
      <c r="AY385" t="inlineStr">
        <is>
          <t>2266761940002656</t>
        </is>
      </c>
      <c r="AZ385" t="inlineStr">
        <is>
          <t>BOOK</t>
        </is>
      </c>
      <c r="BB385" t="inlineStr">
        <is>
          <t>9780761973287</t>
        </is>
      </c>
      <c r="BC385" t="inlineStr">
        <is>
          <t>32285005032114</t>
        </is>
      </c>
      <c r="BD385" t="inlineStr">
        <is>
          <t>893599937</t>
        </is>
      </c>
    </row>
    <row r="386">
      <c r="A386" t="inlineStr">
        <is>
          <t>No</t>
        </is>
      </c>
      <c r="B386" t="inlineStr">
        <is>
          <t>P92.2 .C6</t>
        </is>
      </c>
      <c r="C386" t="inlineStr">
        <is>
          <t>0                      P  0092200C  6</t>
        </is>
      </c>
      <c r="D386" t="inlineStr">
        <is>
          <t>Communication and change, the last ten years--and the next / edited by Wilbur Schramm, Daniel Lerner.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Honolulu : University Press of Hawaii, c1976.</t>
        </is>
      </c>
      <c r="M386" t="inlineStr">
        <is>
          <t>1976</t>
        </is>
      </c>
      <c r="O386" t="inlineStr">
        <is>
          <t>eng</t>
        </is>
      </c>
      <c r="P386" t="inlineStr">
        <is>
          <t>hiu</t>
        </is>
      </c>
      <c r="R386" t="inlineStr">
        <is>
          <t xml:space="preserve">P  </t>
        </is>
      </c>
      <c r="S386" t="n">
        <v>1</v>
      </c>
      <c r="T386" t="n">
        <v>1</v>
      </c>
      <c r="U386" t="inlineStr">
        <is>
          <t>2010-03-30</t>
        </is>
      </c>
      <c r="V386" t="inlineStr">
        <is>
          <t>2010-03-30</t>
        </is>
      </c>
      <c r="W386" t="inlineStr">
        <is>
          <t>1997-08-18</t>
        </is>
      </c>
      <c r="X386" t="inlineStr">
        <is>
          <t>1997-08-18</t>
        </is>
      </c>
      <c r="Y386" t="n">
        <v>435</v>
      </c>
      <c r="Z386" t="n">
        <v>334</v>
      </c>
      <c r="AA386" t="n">
        <v>349</v>
      </c>
      <c r="AB386" t="n">
        <v>3</v>
      </c>
      <c r="AC386" t="n">
        <v>3</v>
      </c>
      <c r="AD386" t="n">
        <v>18</v>
      </c>
      <c r="AE386" t="n">
        <v>19</v>
      </c>
      <c r="AF386" t="n">
        <v>5</v>
      </c>
      <c r="AG386" t="n">
        <v>5</v>
      </c>
      <c r="AH386" t="n">
        <v>5</v>
      </c>
      <c r="AI386" t="n">
        <v>5</v>
      </c>
      <c r="AJ386" t="n">
        <v>11</v>
      </c>
      <c r="AK386" t="n">
        <v>12</v>
      </c>
      <c r="AL386" t="n">
        <v>2</v>
      </c>
      <c r="AM386" t="n">
        <v>2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HYPERLINK("http://catalog.hathitrust.org/Record/000742959","HathiTrust Record")</f>
        <v/>
      </c>
      <c r="AS386">
        <f>HYPERLINK("https://creighton-primo.hosted.exlibrisgroup.com/primo-explore/search?tab=default_tab&amp;search_scope=EVERYTHING&amp;vid=01CRU&amp;lang=en_US&amp;offset=0&amp;query=any,contains,991004112529702656","Catalog Record")</f>
        <v/>
      </c>
      <c r="AT386">
        <f>HYPERLINK("http://www.worldcat.org/oclc/2401613","WorldCat Record")</f>
        <v/>
      </c>
      <c r="AU386" t="inlineStr">
        <is>
          <t>365827636:eng</t>
        </is>
      </c>
      <c r="AV386" t="inlineStr">
        <is>
          <t>2401613</t>
        </is>
      </c>
      <c r="AW386" t="inlineStr">
        <is>
          <t>991004112529702656</t>
        </is>
      </c>
      <c r="AX386" t="inlineStr">
        <is>
          <t>991004112529702656</t>
        </is>
      </c>
      <c r="AY386" t="inlineStr">
        <is>
          <t>2266428640002656</t>
        </is>
      </c>
      <c r="AZ386" t="inlineStr">
        <is>
          <t>BOOK</t>
        </is>
      </c>
      <c r="BB386" t="inlineStr">
        <is>
          <t>9780824804466</t>
        </is>
      </c>
      <c r="BC386" t="inlineStr">
        <is>
          <t>32285003095634</t>
        </is>
      </c>
      <c r="BD386" t="inlineStr">
        <is>
          <t>893500128</t>
        </is>
      </c>
    </row>
    <row r="387">
      <c r="A387" t="inlineStr">
        <is>
          <t>No</t>
        </is>
      </c>
      <c r="B387" t="inlineStr">
        <is>
          <t>P92.2 .R4 1993</t>
        </is>
      </c>
      <c r="C387" t="inlineStr">
        <is>
          <t>0                      P  0092200R  4           1993</t>
        </is>
      </c>
      <c r="D387" t="inlineStr">
        <is>
          <t>Communications and the 'Third World' / Geoffrey Reeves.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Reeves, Geoffrey W., 1945-</t>
        </is>
      </c>
      <c r="L387" t="inlineStr">
        <is>
          <t>London ; New York : Routledge, 1993.</t>
        </is>
      </c>
      <c r="M387" t="inlineStr">
        <is>
          <t>1993</t>
        </is>
      </c>
      <c r="O387" t="inlineStr">
        <is>
          <t>eng</t>
        </is>
      </c>
      <c r="P387" t="inlineStr">
        <is>
          <t>enk</t>
        </is>
      </c>
      <c r="Q387" t="inlineStr">
        <is>
          <t>Studies in culture and communication</t>
        </is>
      </c>
      <c r="R387" t="inlineStr">
        <is>
          <t xml:space="preserve">P  </t>
        </is>
      </c>
      <c r="S387" t="n">
        <v>3</v>
      </c>
      <c r="T387" t="n">
        <v>3</v>
      </c>
      <c r="U387" t="inlineStr">
        <is>
          <t>2010-03-30</t>
        </is>
      </c>
      <c r="V387" t="inlineStr">
        <is>
          <t>2010-03-30</t>
        </is>
      </c>
      <c r="W387" t="inlineStr">
        <is>
          <t>1994-01-14</t>
        </is>
      </c>
      <c r="X387" t="inlineStr">
        <is>
          <t>1994-01-14</t>
        </is>
      </c>
      <c r="Y387" t="n">
        <v>397</v>
      </c>
      <c r="Z387" t="n">
        <v>232</v>
      </c>
      <c r="AA387" t="n">
        <v>239</v>
      </c>
      <c r="AB387" t="n">
        <v>3</v>
      </c>
      <c r="AC387" t="n">
        <v>3</v>
      </c>
      <c r="AD387" t="n">
        <v>14</v>
      </c>
      <c r="AE387" t="n">
        <v>14</v>
      </c>
      <c r="AF387" t="n">
        <v>3</v>
      </c>
      <c r="AG387" t="n">
        <v>3</v>
      </c>
      <c r="AH387" t="n">
        <v>5</v>
      </c>
      <c r="AI387" t="n">
        <v>5</v>
      </c>
      <c r="AJ387" t="n">
        <v>7</v>
      </c>
      <c r="AK387" t="n">
        <v>7</v>
      </c>
      <c r="AL387" t="n">
        <v>2</v>
      </c>
      <c r="AM387" t="n">
        <v>2</v>
      </c>
      <c r="AN387" t="n">
        <v>0</v>
      </c>
      <c r="AO387" t="n">
        <v>0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HYPERLINK("http://catalog.hathitrust.org/Record/101944872","HathiTrust Record")</f>
        <v/>
      </c>
      <c r="AS387">
        <f>HYPERLINK("https://creighton-primo.hosted.exlibrisgroup.com/primo-explore/search?tab=default_tab&amp;search_scope=EVERYTHING&amp;vid=01CRU&amp;lang=en_US&amp;offset=0&amp;query=any,contains,991002015189702656","Catalog Record")</f>
        <v/>
      </c>
      <c r="AT387">
        <f>HYPERLINK("http://www.worldcat.org/oclc/25631158","WorldCat Record")</f>
        <v/>
      </c>
      <c r="AU387" t="inlineStr">
        <is>
          <t>138720739:eng</t>
        </is>
      </c>
      <c r="AV387" t="inlineStr">
        <is>
          <t>25631158</t>
        </is>
      </c>
      <c r="AW387" t="inlineStr">
        <is>
          <t>991002015189702656</t>
        </is>
      </c>
      <c r="AX387" t="inlineStr">
        <is>
          <t>991002015189702656</t>
        </is>
      </c>
      <c r="AY387" t="inlineStr">
        <is>
          <t>2268769050002656</t>
        </is>
      </c>
      <c r="AZ387" t="inlineStr">
        <is>
          <t>BOOK</t>
        </is>
      </c>
      <c r="BB387" t="inlineStr">
        <is>
          <t>9780415047616</t>
        </is>
      </c>
      <c r="BC387" t="inlineStr">
        <is>
          <t>32285001831691</t>
        </is>
      </c>
      <c r="BD387" t="inlineStr">
        <is>
          <t>893250711</t>
        </is>
      </c>
    </row>
    <row r="388">
      <c r="A388" t="inlineStr">
        <is>
          <t>No</t>
        </is>
      </c>
      <c r="B388" t="inlineStr">
        <is>
          <t>P92.5.M87 C48 2001</t>
        </is>
      </c>
      <c r="C388" t="inlineStr">
        <is>
          <t>0                      P  0092500M  87                 C  48          2001</t>
        </is>
      </c>
      <c r="D388" t="inlineStr">
        <is>
          <t>Rupert Murdoch : the untold story of the world's greatest media wizard / Neil Chenoweth.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Chenoweth, Neil.</t>
        </is>
      </c>
      <c r="L388" t="inlineStr">
        <is>
          <t>New York : Crown Business, c2001.</t>
        </is>
      </c>
      <c r="M388" t="inlineStr">
        <is>
          <t>2001</t>
        </is>
      </c>
      <c r="N388" t="inlineStr">
        <is>
          <t>1st American ed.</t>
        </is>
      </c>
      <c r="O388" t="inlineStr">
        <is>
          <t>eng</t>
        </is>
      </c>
      <c r="P388" t="inlineStr">
        <is>
          <t>nyu</t>
        </is>
      </c>
      <c r="R388" t="inlineStr">
        <is>
          <t xml:space="preserve">P  </t>
        </is>
      </c>
      <c r="S388" t="n">
        <v>2</v>
      </c>
      <c r="T388" t="n">
        <v>2</v>
      </c>
      <c r="U388" t="inlineStr">
        <is>
          <t>2003-10-06</t>
        </is>
      </c>
      <c r="V388" t="inlineStr">
        <is>
          <t>2003-10-06</t>
        </is>
      </c>
      <c r="W388" t="inlineStr">
        <is>
          <t>2003-10-06</t>
        </is>
      </c>
      <c r="X388" t="inlineStr">
        <is>
          <t>2003-10-06</t>
        </is>
      </c>
      <c r="Y388" t="n">
        <v>419</v>
      </c>
      <c r="Z388" t="n">
        <v>389</v>
      </c>
      <c r="AA388" t="n">
        <v>470</v>
      </c>
      <c r="AB388" t="n">
        <v>3</v>
      </c>
      <c r="AC388" t="n">
        <v>3</v>
      </c>
      <c r="AD388" t="n">
        <v>13</v>
      </c>
      <c r="AE388" t="n">
        <v>13</v>
      </c>
      <c r="AF388" t="n">
        <v>5</v>
      </c>
      <c r="AG388" t="n">
        <v>5</v>
      </c>
      <c r="AH388" t="n">
        <v>3</v>
      </c>
      <c r="AI388" t="n">
        <v>3</v>
      </c>
      <c r="AJ388" t="n">
        <v>7</v>
      </c>
      <c r="AK388" t="n">
        <v>7</v>
      </c>
      <c r="AL388" t="n">
        <v>2</v>
      </c>
      <c r="AM388" t="n">
        <v>2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HYPERLINK("http://catalog.hathitrust.org/Record/004305231","HathiTrust Record")</f>
        <v/>
      </c>
      <c r="AS388">
        <f>HYPERLINK("https://creighton-primo.hosted.exlibrisgroup.com/primo-explore/search?tab=default_tab&amp;search_scope=EVERYTHING&amp;vid=01CRU&amp;lang=en_US&amp;offset=0&amp;query=any,contains,991004133289702656","Catalog Record")</f>
        <v/>
      </c>
      <c r="AT388">
        <f>HYPERLINK("http://www.worldcat.org/oclc/49312518","WorldCat Record")</f>
        <v/>
      </c>
      <c r="AU388" t="inlineStr">
        <is>
          <t>1031491:eng</t>
        </is>
      </c>
      <c r="AV388" t="inlineStr">
        <is>
          <t>49312518</t>
        </is>
      </c>
      <c r="AW388" t="inlineStr">
        <is>
          <t>991004133289702656</t>
        </is>
      </c>
      <c r="AX388" t="inlineStr">
        <is>
          <t>991004133289702656</t>
        </is>
      </c>
      <c r="AY388" t="inlineStr">
        <is>
          <t>2267675820002656</t>
        </is>
      </c>
      <c r="AZ388" t="inlineStr">
        <is>
          <t>BOOK</t>
        </is>
      </c>
      <c r="BB388" t="inlineStr">
        <is>
          <t>9780609610381</t>
        </is>
      </c>
      <c r="BC388" t="inlineStr">
        <is>
          <t>32285004786710</t>
        </is>
      </c>
      <c r="BD388" t="inlineStr">
        <is>
          <t>893875724</t>
        </is>
      </c>
    </row>
    <row r="389">
      <c r="A389" t="inlineStr">
        <is>
          <t>No</t>
        </is>
      </c>
      <c r="B389" t="inlineStr">
        <is>
          <t>P92.G75 L48 1996</t>
        </is>
      </c>
      <c r="C389" t="inlineStr">
        <is>
          <t>0                      P  0092000G  75                 L  48          1996</t>
        </is>
      </c>
      <c r="D389" t="inlineStr">
        <is>
          <t>News and society in the Greek polis / Sian Lewis.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Lewis, Sian.</t>
        </is>
      </c>
      <c r="L389" t="inlineStr">
        <is>
          <t>Chapel Hill : University of North Carolina Press, 1996.</t>
        </is>
      </c>
      <c r="M389" t="inlineStr">
        <is>
          <t>1996</t>
        </is>
      </c>
      <c r="O389" t="inlineStr">
        <is>
          <t>eng</t>
        </is>
      </c>
      <c r="P389" t="inlineStr">
        <is>
          <t>ncu</t>
        </is>
      </c>
      <c r="Q389" t="inlineStr">
        <is>
          <t>Studies in the history of Greece and Rome</t>
        </is>
      </c>
      <c r="R389" t="inlineStr">
        <is>
          <t xml:space="preserve">P  </t>
        </is>
      </c>
      <c r="S389" t="n">
        <v>2</v>
      </c>
      <c r="T389" t="n">
        <v>2</v>
      </c>
      <c r="U389" t="inlineStr">
        <is>
          <t>2004-06-04</t>
        </is>
      </c>
      <c r="V389" t="inlineStr">
        <is>
          <t>2004-06-04</t>
        </is>
      </c>
      <c r="W389" t="inlineStr">
        <is>
          <t>1998-04-08</t>
        </is>
      </c>
      <c r="X389" t="inlineStr">
        <is>
          <t>1998-04-08</t>
        </is>
      </c>
      <c r="Y389" t="n">
        <v>279</v>
      </c>
      <c r="Z389" t="n">
        <v>228</v>
      </c>
      <c r="AA389" t="n">
        <v>261</v>
      </c>
      <c r="AB389" t="n">
        <v>2</v>
      </c>
      <c r="AC389" t="n">
        <v>2</v>
      </c>
      <c r="AD389" t="n">
        <v>13</v>
      </c>
      <c r="AE389" t="n">
        <v>15</v>
      </c>
      <c r="AF389" t="n">
        <v>5</v>
      </c>
      <c r="AG389" t="n">
        <v>5</v>
      </c>
      <c r="AH389" t="n">
        <v>2</v>
      </c>
      <c r="AI389" t="n">
        <v>4</v>
      </c>
      <c r="AJ389" t="n">
        <v>9</v>
      </c>
      <c r="AK389" t="n">
        <v>10</v>
      </c>
      <c r="AL389" t="n">
        <v>1</v>
      </c>
      <c r="AM389" t="n">
        <v>1</v>
      </c>
      <c r="AN389" t="n">
        <v>1</v>
      </c>
      <c r="AO389" t="n">
        <v>1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HYPERLINK("https://creighton-primo.hosted.exlibrisgroup.com/primo-explore/search?tab=default_tab&amp;search_scope=EVERYTHING&amp;vid=01CRU&amp;lang=en_US&amp;offset=0&amp;query=any,contains,991002626309702656","Catalog Record")</f>
        <v/>
      </c>
      <c r="AT389">
        <f>HYPERLINK("http://www.worldcat.org/oclc/34413045","WorldCat Record")</f>
        <v/>
      </c>
      <c r="AU389" t="inlineStr">
        <is>
          <t>39438597:eng</t>
        </is>
      </c>
      <c r="AV389" t="inlineStr">
        <is>
          <t>34413045</t>
        </is>
      </c>
      <c r="AW389" t="inlineStr">
        <is>
          <t>991002626309702656</t>
        </is>
      </c>
      <c r="AX389" t="inlineStr">
        <is>
          <t>991002626309702656</t>
        </is>
      </c>
      <c r="AY389" t="inlineStr">
        <is>
          <t>2259934320002656</t>
        </is>
      </c>
      <c r="AZ389" t="inlineStr">
        <is>
          <t>BOOK</t>
        </is>
      </c>
      <c r="BB389" t="inlineStr">
        <is>
          <t>9780807823095</t>
        </is>
      </c>
      <c r="BC389" t="inlineStr">
        <is>
          <t>32285003383808</t>
        </is>
      </c>
      <c r="BD389" t="inlineStr">
        <is>
          <t>893323158</t>
        </is>
      </c>
    </row>
    <row r="390">
      <c r="A390" t="inlineStr">
        <is>
          <t>No</t>
        </is>
      </c>
      <c r="B390" t="inlineStr">
        <is>
          <t>P92.I7 O4</t>
        </is>
      </c>
      <c r="C390" t="inlineStr">
        <is>
          <t>0                      P  0092000I  7                  O  4</t>
        </is>
      </c>
      <c r="D390" t="inlineStr">
        <is>
          <t>Communication and culture in ancient India and China [by] Robert T. Oliver.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Oliver, Robert T. (Robert Tarbell), 1909-2000.</t>
        </is>
      </c>
      <c r="L390" t="inlineStr">
        <is>
          <t>Syracuse, N.Y.] Syracuse University Press [1971]</t>
        </is>
      </c>
      <c r="M390" t="inlineStr">
        <is>
          <t>1971</t>
        </is>
      </c>
      <c r="N390" t="inlineStr">
        <is>
          <t>[1st ed.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P  </t>
        </is>
      </c>
      <c r="S390" t="n">
        <v>1</v>
      </c>
      <c r="T390" t="n">
        <v>1</v>
      </c>
      <c r="U390" t="inlineStr">
        <is>
          <t>2009-04-13</t>
        </is>
      </c>
      <c r="V390" t="inlineStr">
        <is>
          <t>2009-04-13</t>
        </is>
      </c>
      <c r="W390" t="inlineStr">
        <is>
          <t>1997-08-15</t>
        </is>
      </c>
      <c r="X390" t="inlineStr">
        <is>
          <t>1997-08-15</t>
        </is>
      </c>
      <c r="Y390" t="n">
        <v>518</v>
      </c>
      <c r="Z390" t="n">
        <v>423</v>
      </c>
      <c r="AA390" t="n">
        <v>489</v>
      </c>
      <c r="AB390" t="n">
        <v>6</v>
      </c>
      <c r="AC390" t="n">
        <v>6</v>
      </c>
      <c r="AD390" t="n">
        <v>20</v>
      </c>
      <c r="AE390" t="n">
        <v>22</v>
      </c>
      <c r="AF390" t="n">
        <v>5</v>
      </c>
      <c r="AG390" t="n">
        <v>6</v>
      </c>
      <c r="AH390" t="n">
        <v>3</v>
      </c>
      <c r="AI390" t="n">
        <v>4</v>
      </c>
      <c r="AJ390" t="n">
        <v>8</v>
      </c>
      <c r="AK390" t="n">
        <v>9</v>
      </c>
      <c r="AL390" t="n">
        <v>5</v>
      </c>
      <c r="AM390" t="n">
        <v>5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HYPERLINK("http://catalog.hathitrust.org/Record/001180837","HathiTrust Record")</f>
        <v/>
      </c>
      <c r="AS390">
        <f>HYPERLINK("https://creighton-primo.hosted.exlibrisgroup.com/primo-explore/search?tab=default_tab&amp;search_scope=EVERYTHING&amp;vid=01CRU&amp;lang=en_US&amp;offset=0&amp;query=any,contains,991003383859702656","Catalog Record")</f>
        <v/>
      </c>
      <c r="AT390">
        <f>HYPERLINK("http://www.worldcat.org/oclc/921401","WorldCat Record")</f>
        <v/>
      </c>
      <c r="AU390" t="inlineStr">
        <is>
          <t>1865981:eng</t>
        </is>
      </c>
      <c r="AV390" t="inlineStr">
        <is>
          <t>921401</t>
        </is>
      </c>
      <c r="AW390" t="inlineStr">
        <is>
          <t>991003383859702656</t>
        </is>
      </c>
      <c r="AX390" t="inlineStr">
        <is>
          <t>991003383859702656</t>
        </is>
      </c>
      <c r="AY390" t="inlineStr">
        <is>
          <t>2269918520002656</t>
        </is>
      </c>
      <c r="AZ390" t="inlineStr">
        <is>
          <t>BOOK</t>
        </is>
      </c>
      <c r="BB390" t="inlineStr">
        <is>
          <t>9780815600824</t>
        </is>
      </c>
      <c r="BC390" t="inlineStr">
        <is>
          <t>32285003095337</t>
        </is>
      </c>
      <c r="BD390" t="inlineStr">
        <is>
          <t>893868372</t>
        </is>
      </c>
    </row>
    <row r="391">
      <c r="A391" t="inlineStr">
        <is>
          <t>No</t>
        </is>
      </c>
      <c r="B391" t="inlineStr">
        <is>
          <t>P92.U5 B33 1990</t>
        </is>
      </c>
      <c r="C391" t="inlineStr">
        <is>
          <t>0                      P  0092000U  5                  B  33          1990</t>
        </is>
      </c>
      <c r="D391" t="inlineStr">
        <is>
          <t>The media monopoly / Ben H. Bagdikian.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Bagdikian, Ben H.</t>
        </is>
      </c>
      <c r="L391" t="inlineStr">
        <is>
          <t>Boston : Beacon Press, 1990.</t>
        </is>
      </c>
      <c r="M391" t="inlineStr">
        <is>
          <t>1990</t>
        </is>
      </c>
      <c r="N391" t="inlineStr">
        <is>
          <t>3rd ed.</t>
        </is>
      </c>
      <c r="O391" t="inlineStr">
        <is>
          <t>eng</t>
        </is>
      </c>
      <c r="P391" t="inlineStr">
        <is>
          <t>mau</t>
        </is>
      </c>
      <c r="R391" t="inlineStr">
        <is>
          <t xml:space="preserve">P  </t>
        </is>
      </c>
      <c r="S391" t="n">
        <v>16</v>
      </c>
      <c r="T391" t="n">
        <v>16</v>
      </c>
      <c r="U391" t="inlineStr">
        <is>
          <t>2002-11-19</t>
        </is>
      </c>
      <c r="V391" t="inlineStr">
        <is>
          <t>2002-11-19</t>
        </is>
      </c>
      <c r="W391" t="inlineStr">
        <is>
          <t>1990-05-03</t>
        </is>
      </c>
      <c r="X391" t="inlineStr">
        <is>
          <t>1990-05-03</t>
        </is>
      </c>
      <c r="Y391" t="n">
        <v>296</v>
      </c>
      <c r="Z391" t="n">
        <v>252</v>
      </c>
      <c r="AA391" t="n">
        <v>2078</v>
      </c>
      <c r="AB391" t="n">
        <v>2</v>
      </c>
      <c r="AC391" t="n">
        <v>13</v>
      </c>
      <c r="AD391" t="n">
        <v>10</v>
      </c>
      <c r="AE391" t="n">
        <v>56</v>
      </c>
      <c r="AF391" t="n">
        <v>2</v>
      </c>
      <c r="AG391" t="n">
        <v>22</v>
      </c>
      <c r="AH391" t="n">
        <v>1</v>
      </c>
      <c r="AI391" t="n">
        <v>11</v>
      </c>
      <c r="AJ391" t="n">
        <v>5</v>
      </c>
      <c r="AK391" t="n">
        <v>20</v>
      </c>
      <c r="AL391" t="n">
        <v>1</v>
      </c>
      <c r="AM391" t="n">
        <v>9</v>
      </c>
      <c r="AN391" t="n">
        <v>2</v>
      </c>
      <c r="AO391" t="n">
        <v>6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HYPERLINK("http://catalog.hathitrust.org/Record/001950332","HathiTrust Record")</f>
        <v/>
      </c>
      <c r="AS391">
        <f>HYPERLINK("https://creighton-primo.hosted.exlibrisgroup.com/primo-explore/search?tab=default_tab&amp;search_scope=EVERYTHING&amp;vid=01CRU&amp;lang=en_US&amp;offset=0&amp;query=any,contains,991001558019702656","Catalog Record")</f>
        <v/>
      </c>
      <c r="AT391">
        <f>HYPERLINK("http://www.worldcat.org/oclc/20294912","WorldCat Record")</f>
        <v/>
      </c>
      <c r="AU391" t="inlineStr">
        <is>
          <t>463447:eng</t>
        </is>
      </c>
      <c r="AV391" t="inlineStr">
        <is>
          <t>20294912</t>
        </is>
      </c>
      <c r="AW391" t="inlineStr">
        <is>
          <t>991001558019702656</t>
        </is>
      </c>
      <c r="AX391" t="inlineStr">
        <is>
          <t>991001558019702656</t>
        </is>
      </c>
      <c r="AY391" t="inlineStr">
        <is>
          <t>2260196320002656</t>
        </is>
      </c>
      <c r="AZ391" t="inlineStr">
        <is>
          <t>BOOK</t>
        </is>
      </c>
      <c r="BB391" t="inlineStr">
        <is>
          <t>9780807061596</t>
        </is>
      </c>
      <c r="BC391" t="inlineStr">
        <is>
          <t>32285000117738</t>
        </is>
      </c>
      <c r="BD391" t="inlineStr">
        <is>
          <t>893872600</t>
        </is>
      </c>
    </row>
    <row r="392">
      <c r="A392" t="inlineStr">
        <is>
          <t>No</t>
        </is>
      </c>
      <c r="B392" t="inlineStr">
        <is>
          <t>P92.U5 B345 2006</t>
        </is>
      </c>
      <c r="C392" t="inlineStr">
        <is>
          <t>0                      P  0092000U  5                  B  345         2006</t>
        </is>
      </c>
      <c r="D392" t="inlineStr">
        <is>
          <t>The republic of mass culture : journalism, filmmaking, and broadcasting in America since 1941 / James L. Baughman.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Baughman, James L., 1952-2016.</t>
        </is>
      </c>
      <c r="L392" t="inlineStr">
        <is>
          <t>Baltimore : Johns Hopkins University Press, c2006.</t>
        </is>
      </c>
      <c r="M392" t="inlineStr">
        <is>
          <t>2006</t>
        </is>
      </c>
      <c r="N392" t="inlineStr">
        <is>
          <t>3rd ed.</t>
        </is>
      </c>
      <c r="O392" t="inlineStr">
        <is>
          <t>eng</t>
        </is>
      </c>
      <c r="P392" t="inlineStr">
        <is>
          <t>mdu</t>
        </is>
      </c>
      <c r="Q392" t="inlineStr">
        <is>
          <t>The American moment</t>
        </is>
      </c>
      <c r="R392" t="inlineStr">
        <is>
          <t xml:space="preserve">P  </t>
        </is>
      </c>
      <c r="S392" t="n">
        <v>2</v>
      </c>
      <c r="T392" t="n">
        <v>2</v>
      </c>
      <c r="U392" t="inlineStr">
        <is>
          <t>2010-10-14</t>
        </is>
      </c>
      <c r="V392" t="inlineStr">
        <is>
          <t>2010-10-14</t>
        </is>
      </c>
      <c r="W392" t="inlineStr">
        <is>
          <t>2006-04-26</t>
        </is>
      </c>
      <c r="X392" t="inlineStr">
        <is>
          <t>2006-04-26</t>
        </is>
      </c>
      <c r="Y392" t="n">
        <v>418</v>
      </c>
      <c r="Z392" t="n">
        <v>333</v>
      </c>
      <c r="AA392" t="n">
        <v>961</v>
      </c>
      <c r="AB392" t="n">
        <v>3</v>
      </c>
      <c r="AC392" t="n">
        <v>6</v>
      </c>
      <c r="AD392" t="n">
        <v>20</v>
      </c>
      <c r="AE392" t="n">
        <v>47</v>
      </c>
      <c r="AF392" t="n">
        <v>8</v>
      </c>
      <c r="AG392" t="n">
        <v>22</v>
      </c>
      <c r="AH392" t="n">
        <v>7</v>
      </c>
      <c r="AI392" t="n">
        <v>9</v>
      </c>
      <c r="AJ392" t="n">
        <v>9</v>
      </c>
      <c r="AK392" t="n">
        <v>20</v>
      </c>
      <c r="AL392" t="n">
        <v>2</v>
      </c>
      <c r="AM392" t="n">
        <v>5</v>
      </c>
      <c r="AN392" t="n">
        <v>0</v>
      </c>
      <c r="AO392" t="n">
        <v>1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HYPERLINK("http://catalog.hathitrust.org/Record/005118400","HathiTrust Record")</f>
        <v/>
      </c>
      <c r="AS392">
        <f>HYPERLINK("https://creighton-primo.hosted.exlibrisgroup.com/primo-explore/search?tab=default_tab&amp;search_scope=EVERYTHING&amp;vid=01CRU&amp;lang=en_US&amp;offset=0&amp;query=any,contains,991004799299702656","Catalog Record")</f>
        <v/>
      </c>
      <c r="AT392">
        <f>HYPERLINK("http://www.worldcat.org/oclc/60742116","WorldCat Record")</f>
        <v/>
      </c>
      <c r="AU392" t="inlineStr">
        <is>
          <t>796443956:eng</t>
        </is>
      </c>
      <c r="AV392" t="inlineStr">
        <is>
          <t>60742116</t>
        </is>
      </c>
      <c r="AW392" t="inlineStr">
        <is>
          <t>991004799299702656</t>
        </is>
      </c>
      <c r="AX392" t="inlineStr">
        <is>
          <t>991004799299702656</t>
        </is>
      </c>
      <c r="AY392" t="inlineStr">
        <is>
          <t>2272312560002656</t>
        </is>
      </c>
      <c r="AZ392" t="inlineStr">
        <is>
          <t>BOOK</t>
        </is>
      </c>
      <c r="BB392" t="inlineStr">
        <is>
          <t>9780801883156</t>
        </is>
      </c>
      <c r="BC392" t="inlineStr">
        <is>
          <t>32285005182885</t>
        </is>
      </c>
      <c r="BD392" t="inlineStr">
        <is>
          <t>893776460</t>
        </is>
      </c>
    </row>
    <row r="393">
      <c r="A393" t="inlineStr">
        <is>
          <t>No</t>
        </is>
      </c>
      <c r="B393" t="inlineStr">
        <is>
          <t>P92.U5 C5</t>
        </is>
      </c>
      <c r="C393" t="inlineStr">
        <is>
          <t>0                      P  0092000U  5                  C  5</t>
        </is>
      </c>
      <c r="D393" t="inlineStr">
        <is>
          <t>Don't blame the people : how the news media use bias, distortion and censorship to manipulate public opinion.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Cirino, Robert.</t>
        </is>
      </c>
      <c r="L393" t="inlineStr">
        <is>
          <t>Los Angeles : Diversity Press, [1971]</t>
        </is>
      </c>
      <c r="M393" t="inlineStr">
        <is>
          <t>1971</t>
        </is>
      </c>
      <c r="O393" t="inlineStr">
        <is>
          <t>eng</t>
        </is>
      </c>
      <c r="P393" t="inlineStr">
        <is>
          <t>cau</t>
        </is>
      </c>
      <c r="R393" t="inlineStr">
        <is>
          <t xml:space="preserve">P  </t>
        </is>
      </c>
      <c r="S393" t="n">
        <v>11</v>
      </c>
      <c r="T393" t="n">
        <v>11</v>
      </c>
      <c r="U393" t="inlineStr">
        <is>
          <t>2001-11-20</t>
        </is>
      </c>
      <c r="V393" t="inlineStr">
        <is>
          <t>2001-11-20</t>
        </is>
      </c>
      <c r="W393" t="inlineStr">
        <is>
          <t>1992-12-15</t>
        </is>
      </c>
      <c r="X393" t="inlineStr">
        <is>
          <t>1992-12-15</t>
        </is>
      </c>
      <c r="Y393" t="n">
        <v>258</v>
      </c>
      <c r="Z393" t="n">
        <v>210</v>
      </c>
      <c r="AA393" t="n">
        <v>222</v>
      </c>
      <c r="AB393" t="n">
        <v>3</v>
      </c>
      <c r="AC393" t="n">
        <v>3</v>
      </c>
      <c r="AD393" t="n">
        <v>11</v>
      </c>
      <c r="AE393" t="n">
        <v>11</v>
      </c>
      <c r="AF393" t="n">
        <v>3</v>
      </c>
      <c r="AG393" t="n">
        <v>3</v>
      </c>
      <c r="AH393" t="n">
        <v>4</v>
      </c>
      <c r="AI393" t="n">
        <v>4</v>
      </c>
      <c r="AJ393" t="n">
        <v>6</v>
      </c>
      <c r="AK393" t="n">
        <v>6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HYPERLINK("http://catalog.hathitrust.org/Record/001180844","HathiTrust Record")</f>
        <v/>
      </c>
      <c r="AS393">
        <f>HYPERLINK("https://creighton-primo.hosted.exlibrisgroup.com/primo-explore/search?tab=default_tab&amp;search_scope=EVERYTHING&amp;vid=01CRU&amp;lang=en_US&amp;offset=0&amp;query=any,contains,991000794289702656","Catalog Record")</f>
        <v/>
      </c>
      <c r="AT393">
        <f>HYPERLINK("http://www.worldcat.org/oclc/136477","WorldCat Record")</f>
        <v/>
      </c>
      <c r="AU393" t="inlineStr">
        <is>
          <t>8847668932:eng</t>
        </is>
      </c>
      <c r="AV393" t="inlineStr">
        <is>
          <t>136477</t>
        </is>
      </c>
      <c r="AW393" t="inlineStr">
        <is>
          <t>991000794289702656</t>
        </is>
      </c>
      <c r="AX393" t="inlineStr">
        <is>
          <t>991000794289702656</t>
        </is>
      </c>
      <c r="AY393" t="inlineStr">
        <is>
          <t>2263900600002656</t>
        </is>
      </c>
      <c r="AZ393" t="inlineStr">
        <is>
          <t>BOOK</t>
        </is>
      </c>
      <c r="BC393" t="inlineStr">
        <is>
          <t>32285001441475</t>
        </is>
      </c>
      <c r="BD393" t="inlineStr">
        <is>
          <t>893522018</t>
        </is>
      </c>
    </row>
    <row r="394">
      <c r="A394" t="inlineStr">
        <is>
          <t>No</t>
        </is>
      </c>
      <c r="B394" t="inlineStr">
        <is>
          <t>P92.U5 D42 1994</t>
        </is>
      </c>
      <c r="C394" t="inlineStr">
        <is>
          <t>0                      P  0092000U  5                  D  42          1994</t>
        </is>
      </c>
      <c r="D394" t="inlineStr">
        <is>
          <t>Understanding mass communication : a liberal arts perspective / Melvin L. DeFleur, Everette E. Dennis.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DeFleur, Melvin L. (Melvin Lawrence), 1923-2017.</t>
        </is>
      </c>
      <c r="L394" t="inlineStr">
        <is>
          <t>Boston : Houghton Mifflin, c1994.</t>
        </is>
      </c>
      <c r="M394" t="inlineStr">
        <is>
          <t>1994</t>
        </is>
      </c>
      <c r="N394" t="inlineStr">
        <is>
          <t>5th ed.</t>
        </is>
      </c>
      <c r="O394" t="inlineStr">
        <is>
          <t>eng</t>
        </is>
      </c>
      <c r="P394" t="inlineStr">
        <is>
          <t>mau</t>
        </is>
      </c>
      <c r="R394" t="inlineStr">
        <is>
          <t xml:space="preserve">P  </t>
        </is>
      </c>
      <c r="S394" t="n">
        <v>5</v>
      </c>
      <c r="T394" t="n">
        <v>5</v>
      </c>
      <c r="U394" t="inlineStr">
        <is>
          <t>2003-03-24</t>
        </is>
      </c>
      <c r="V394" t="inlineStr">
        <is>
          <t>2003-03-24</t>
        </is>
      </c>
      <c r="W394" t="inlineStr">
        <is>
          <t>1995-01-10</t>
        </is>
      </c>
      <c r="X394" t="inlineStr">
        <is>
          <t>1995-01-10</t>
        </is>
      </c>
      <c r="Y394" t="n">
        <v>99</v>
      </c>
      <c r="Z394" t="n">
        <v>61</v>
      </c>
      <c r="AA394" t="n">
        <v>473</v>
      </c>
      <c r="AB394" t="n">
        <v>2</v>
      </c>
      <c r="AC394" t="n">
        <v>3</v>
      </c>
      <c r="AD394" t="n">
        <v>3</v>
      </c>
      <c r="AE394" t="n">
        <v>18</v>
      </c>
      <c r="AF394" t="n">
        <v>1</v>
      </c>
      <c r="AG394" t="n">
        <v>7</v>
      </c>
      <c r="AH394" t="n">
        <v>1</v>
      </c>
      <c r="AI394" t="n">
        <v>4</v>
      </c>
      <c r="AJ394" t="n">
        <v>2</v>
      </c>
      <c r="AK394" t="n">
        <v>10</v>
      </c>
      <c r="AL394" t="n">
        <v>1</v>
      </c>
      <c r="AM394" t="n">
        <v>2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HYPERLINK("http://catalog.hathitrust.org/Record/012255692","HathiTrust Record")</f>
        <v/>
      </c>
      <c r="AS394">
        <f>HYPERLINK("https://creighton-primo.hosted.exlibrisgroup.com/primo-explore/search?tab=default_tab&amp;search_scope=EVERYTHING&amp;vid=01CRU&amp;lang=en_US&amp;offset=0&amp;query=any,contains,991002297889702656","Catalog Record")</f>
        <v/>
      </c>
      <c r="AT394">
        <f>HYPERLINK("http://www.worldcat.org/oclc/29811592","WorldCat Record")</f>
        <v/>
      </c>
      <c r="AU394" t="inlineStr">
        <is>
          <t>4046076445:eng</t>
        </is>
      </c>
      <c r="AV394" t="inlineStr">
        <is>
          <t>29811592</t>
        </is>
      </c>
      <c r="AW394" t="inlineStr">
        <is>
          <t>991002297889702656</t>
        </is>
      </c>
      <c r="AX394" t="inlineStr">
        <is>
          <t>991002297889702656</t>
        </is>
      </c>
      <c r="AY394" t="inlineStr">
        <is>
          <t>2263683400002656</t>
        </is>
      </c>
      <c r="AZ394" t="inlineStr">
        <is>
          <t>BOOK</t>
        </is>
      </c>
      <c r="BB394" t="inlineStr">
        <is>
          <t>9780395674048</t>
        </is>
      </c>
      <c r="BC394" t="inlineStr">
        <is>
          <t>32285001992048</t>
        </is>
      </c>
      <c r="BD394" t="inlineStr">
        <is>
          <t>893504251</t>
        </is>
      </c>
    </row>
    <row r="395">
      <c r="A395" t="inlineStr">
        <is>
          <t>No</t>
        </is>
      </c>
      <c r="B395" t="inlineStr">
        <is>
          <t>P92.U5 F45 2005</t>
        </is>
      </c>
      <c r="C395" t="inlineStr">
        <is>
          <t>0                      P  0092000U  5                  F  45          2005</t>
        </is>
      </c>
      <c r="D395" t="inlineStr">
        <is>
          <t>American media history / Anthony R. Fellow with John Tebbel.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Fellow, Anthony R.</t>
        </is>
      </c>
      <c r="L395" t="inlineStr">
        <is>
          <t>Southbank, Victoria, Australia ; [Belmont, CA] : Thomson/Wadsworth, c2005.</t>
        </is>
      </c>
      <c r="M395" t="inlineStr">
        <is>
          <t>2005</t>
        </is>
      </c>
      <c r="O395" t="inlineStr">
        <is>
          <t>eng</t>
        </is>
      </c>
      <c r="P395" t="inlineStr">
        <is>
          <t xml:space="preserve">at </t>
        </is>
      </c>
      <c r="R395" t="inlineStr">
        <is>
          <t xml:space="preserve">P  </t>
        </is>
      </c>
      <c r="S395" t="n">
        <v>2</v>
      </c>
      <c r="T395" t="n">
        <v>2</v>
      </c>
      <c r="U395" t="inlineStr">
        <is>
          <t>2009-07-10</t>
        </is>
      </c>
      <c r="V395" t="inlineStr">
        <is>
          <t>2009-07-10</t>
        </is>
      </c>
      <c r="W395" t="inlineStr">
        <is>
          <t>2007-01-10</t>
        </is>
      </c>
      <c r="X395" t="inlineStr">
        <is>
          <t>2007-01-10</t>
        </is>
      </c>
      <c r="Y395" t="n">
        <v>52</v>
      </c>
      <c r="Z395" t="n">
        <v>37</v>
      </c>
      <c r="AA395" t="n">
        <v>104</v>
      </c>
      <c r="AB395" t="n">
        <v>1</v>
      </c>
      <c r="AC395" t="n">
        <v>1</v>
      </c>
      <c r="AD395" t="n">
        <v>2</v>
      </c>
      <c r="AE395" t="n">
        <v>4</v>
      </c>
      <c r="AF395" t="n">
        <v>1</v>
      </c>
      <c r="AG395" t="n">
        <v>2</v>
      </c>
      <c r="AH395" t="n">
        <v>0</v>
      </c>
      <c r="AI395" t="n">
        <v>2</v>
      </c>
      <c r="AJ395" t="n">
        <v>2</v>
      </c>
      <c r="AK395" t="n">
        <v>3</v>
      </c>
      <c r="AL395" t="n">
        <v>0</v>
      </c>
      <c r="AM395" t="n">
        <v>0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HYPERLINK("https://creighton-primo.hosted.exlibrisgroup.com/primo-explore/search?tab=default_tab&amp;search_scope=EVERYTHING&amp;vid=01CRU&amp;lang=en_US&amp;offset=0&amp;query=any,contains,991005010139702656","Catalog Record")</f>
        <v/>
      </c>
      <c r="AT395">
        <f>HYPERLINK("http://www.worldcat.org/oclc/58790041","WorldCat Record")</f>
        <v/>
      </c>
      <c r="AU395" t="inlineStr">
        <is>
          <t>16555152:eng</t>
        </is>
      </c>
      <c r="AV395" t="inlineStr">
        <is>
          <t>58790041</t>
        </is>
      </c>
      <c r="AW395" t="inlineStr">
        <is>
          <t>991005010139702656</t>
        </is>
      </c>
      <c r="AX395" t="inlineStr">
        <is>
          <t>991005010139702656</t>
        </is>
      </c>
      <c r="AY395" t="inlineStr">
        <is>
          <t>2260897310002656</t>
        </is>
      </c>
      <c r="AZ395" t="inlineStr">
        <is>
          <t>BOOK</t>
        </is>
      </c>
      <c r="BB395" t="inlineStr">
        <is>
          <t>9780534644017</t>
        </is>
      </c>
      <c r="BC395" t="inlineStr">
        <is>
          <t>32285005270243</t>
        </is>
      </c>
      <c r="BD395" t="inlineStr">
        <is>
          <t>893600485</t>
        </is>
      </c>
    </row>
    <row r="396">
      <c r="A396" t="inlineStr">
        <is>
          <t>No</t>
        </is>
      </c>
      <c r="B396" t="inlineStr">
        <is>
          <t>P92.U5 F58 1994</t>
        </is>
      </c>
      <c r="C396" t="inlineStr">
        <is>
          <t>0                      P  0092000U  5                  F  58          1994</t>
        </is>
      </c>
      <c r="D396" t="inlineStr">
        <is>
          <t>Voices of a nation : a history of mass media in the United States / Jean Folkerts, Dwight L. Teeter, Jr.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Folkerts, Jean.</t>
        </is>
      </c>
      <c r="L396" t="inlineStr">
        <is>
          <t>New York : Macmillan College ; Toronto : Maxwell Macmillan Canada ; New York : Maxwell Macmillan International, c1994.</t>
        </is>
      </c>
      <c r="M396" t="inlineStr">
        <is>
          <t>1994</t>
        </is>
      </c>
      <c r="N396" t="inlineStr">
        <is>
          <t>2nd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P  </t>
        </is>
      </c>
      <c r="S396" t="n">
        <v>3</v>
      </c>
      <c r="T396" t="n">
        <v>3</v>
      </c>
      <c r="U396" t="inlineStr">
        <is>
          <t>2004-04-27</t>
        </is>
      </c>
      <c r="V396" t="inlineStr">
        <is>
          <t>2004-04-27</t>
        </is>
      </c>
      <c r="W396" t="inlineStr">
        <is>
          <t>1995-01-17</t>
        </is>
      </c>
      <c r="X396" t="inlineStr">
        <is>
          <t>1995-01-17</t>
        </is>
      </c>
      <c r="Y396" t="n">
        <v>131</v>
      </c>
      <c r="Z396" t="n">
        <v>114</v>
      </c>
      <c r="AA396" t="n">
        <v>391</v>
      </c>
      <c r="AB396" t="n">
        <v>2</v>
      </c>
      <c r="AC396" t="n">
        <v>3</v>
      </c>
      <c r="AD396" t="n">
        <v>4</v>
      </c>
      <c r="AE396" t="n">
        <v>20</v>
      </c>
      <c r="AF396" t="n">
        <v>0</v>
      </c>
      <c r="AG396" t="n">
        <v>9</v>
      </c>
      <c r="AH396" t="n">
        <v>1</v>
      </c>
      <c r="AI396" t="n">
        <v>2</v>
      </c>
      <c r="AJ396" t="n">
        <v>3</v>
      </c>
      <c r="AK396" t="n">
        <v>13</v>
      </c>
      <c r="AL396" t="n">
        <v>1</v>
      </c>
      <c r="AM396" t="n">
        <v>2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HYPERLINK("http://catalog.hathitrust.org/Record/007111775","HathiTrust Record")</f>
        <v/>
      </c>
      <c r="AS396">
        <f>HYPERLINK("https://creighton-primo.hosted.exlibrisgroup.com/primo-explore/search?tab=default_tab&amp;search_scope=EVERYTHING&amp;vid=01CRU&amp;lang=en_US&amp;offset=0&amp;query=any,contains,991002152019702656","Catalog Record")</f>
        <v/>
      </c>
      <c r="AT396">
        <f>HYPERLINK("http://www.worldcat.org/oclc/27727339","WorldCat Record")</f>
        <v/>
      </c>
      <c r="AU396" t="inlineStr">
        <is>
          <t>638716:eng</t>
        </is>
      </c>
      <c r="AV396" t="inlineStr">
        <is>
          <t>27727339</t>
        </is>
      </c>
      <c r="AW396" t="inlineStr">
        <is>
          <t>991002152019702656</t>
        </is>
      </c>
      <c r="AX396" t="inlineStr">
        <is>
          <t>991002152019702656</t>
        </is>
      </c>
      <c r="AY396" t="inlineStr">
        <is>
          <t>2264328350002656</t>
        </is>
      </c>
      <c r="AZ396" t="inlineStr">
        <is>
          <t>BOOK</t>
        </is>
      </c>
      <c r="BB396" t="inlineStr">
        <is>
          <t>9780023386510</t>
        </is>
      </c>
      <c r="BC396" t="inlineStr">
        <is>
          <t>32285001992758</t>
        </is>
      </c>
      <c r="BD396" t="inlineStr">
        <is>
          <t>893697412</t>
        </is>
      </c>
    </row>
    <row r="397">
      <c r="A397" t="inlineStr">
        <is>
          <t>No</t>
        </is>
      </c>
      <c r="B397" t="inlineStr">
        <is>
          <t>P92.U5 H36 1994</t>
        </is>
      </c>
      <c r="C397" t="inlineStr">
        <is>
          <t>0                      P  0092000U  5                  H  36          1994</t>
        </is>
      </c>
      <c r="D397" t="inlineStr">
        <is>
          <t>Handbook on mass media in the United States : the industry and its audiences / edited by Erwin K. Thomas and Brown H. Carpenter.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Westport, Conn. : Greenwood Press, 1994.</t>
        </is>
      </c>
      <c r="M397" t="inlineStr">
        <is>
          <t>1994</t>
        </is>
      </c>
      <c r="O397" t="inlineStr">
        <is>
          <t>eng</t>
        </is>
      </c>
      <c r="P397" t="inlineStr">
        <is>
          <t>ctu</t>
        </is>
      </c>
      <c r="R397" t="inlineStr">
        <is>
          <t xml:space="preserve">P  </t>
        </is>
      </c>
      <c r="S397" t="n">
        <v>11</v>
      </c>
      <c r="T397" t="n">
        <v>11</v>
      </c>
      <c r="U397" t="inlineStr">
        <is>
          <t>2003-12-07</t>
        </is>
      </c>
      <c r="V397" t="inlineStr">
        <is>
          <t>2003-12-07</t>
        </is>
      </c>
      <c r="W397" t="inlineStr">
        <is>
          <t>1995-10-23</t>
        </is>
      </c>
      <c r="X397" t="inlineStr">
        <is>
          <t>1995-10-23</t>
        </is>
      </c>
      <c r="Y397" t="n">
        <v>389</v>
      </c>
      <c r="Z397" t="n">
        <v>325</v>
      </c>
      <c r="AA397" t="n">
        <v>332</v>
      </c>
      <c r="AB397" t="n">
        <v>3</v>
      </c>
      <c r="AC397" t="n">
        <v>3</v>
      </c>
      <c r="AD397" t="n">
        <v>14</v>
      </c>
      <c r="AE397" t="n">
        <v>14</v>
      </c>
      <c r="AF397" t="n">
        <v>4</v>
      </c>
      <c r="AG397" t="n">
        <v>4</v>
      </c>
      <c r="AH397" t="n">
        <v>4</v>
      </c>
      <c r="AI397" t="n">
        <v>4</v>
      </c>
      <c r="AJ397" t="n">
        <v>9</v>
      </c>
      <c r="AK397" t="n">
        <v>9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HYPERLINK("http://catalog.hathitrust.org/Record/002906624","HathiTrust Record")</f>
        <v/>
      </c>
      <c r="AS397">
        <f>HYPERLINK("https://creighton-primo.hosted.exlibrisgroup.com/primo-explore/search?tab=default_tab&amp;search_scope=EVERYTHING&amp;vid=01CRU&amp;lang=en_US&amp;offset=0&amp;query=any,contains,991002261149702656","Catalog Record")</f>
        <v/>
      </c>
      <c r="AT397">
        <f>HYPERLINK("http://www.worldcat.org/oclc/29319923","WorldCat Record")</f>
        <v/>
      </c>
      <c r="AU397" t="inlineStr">
        <is>
          <t>836952127:eng</t>
        </is>
      </c>
      <c r="AV397" t="inlineStr">
        <is>
          <t>29319923</t>
        </is>
      </c>
      <c r="AW397" t="inlineStr">
        <is>
          <t>991002261149702656</t>
        </is>
      </c>
      <c r="AX397" t="inlineStr">
        <is>
          <t>991002261149702656</t>
        </is>
      </c>
      <c r="AY397" t="inlineStr">
        <is>
          <t>2262517570002656</t>
        </is>
      </c>
      <c r="AZ397" t="inlineStr">
        <is>
          <t>BOOK</t>
        </is>
      </c>
      <c r="BB397" t="inlineStr">
        <is>
          <t>9780313278112</t>
        </is>
      </c>
      <c r="BC397" t="inlineStr">
        <is>
          <t>32285002068871</t>
        </is>
      </c>
      <c r="BD397" t="inlineStr">
        <is>
          <t>893892336</t>
        </is>
      </c>
    </row>
    <row r="398">
      <c r="A398" t="inlineStr">
        <is>
          <t>No</t>
        </is>
      </c>
      <c r="B398" t="inlineStr">
        <is>
          <t>P92.U5 H6</t>
        </is>
      </c>
      <c r="C398" t="inlineStr">
        <is>
          <t>0                      P  0092000U  5                  H  6</t>
        </is>
      </c>
      <c r="D398" t="inlineStr">
        <is>
          <t>The mass media book. Edited by Rod Holmgren [and] William Norton.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Holmgren, Rod, compiler.</t>
        </is>
      </c>
      <c r="L398" t="inlineStr">
        <is>
          <t>Englewood Cliffs, N.J., Prentice-Hall [1972]</t>
        </is>
      </c>
      <c r="M398" t="inlineStr">
        <is>
          <t>1972</t>
        </is>
      </c>
      <c r="O398" t="inlineStr">
        <is>
          <t>eng</t>
        </is>
      </c>
      <c r="P398" t="inlineStr">
        <is>
          <t>nju</t>
        </is>
      </c>
      <c r="R398" t="inlineStr">
        <is>
          <t xml:space="preserve">P  </t>
        </is>
      </c>
      <c r="S398" t="n">
        <v>4</v>
      </c>
      <c r="T398" t="n">
        <v>4</v>
      </c>
      <c r="U398" t="inlineStr">
        <is>
          <t>2004-12-07</t>
        </is>
      </c>
      <c r="V398" t="inlineStr">
        <is>
          <t>2004-12-07</t>
        </is>
      </c>
      <c r="W398" t="inlineStr">
        <is>
          <t>1997-08-18</t>
        </is>
      </c>
      <c r="X398" t="inlineStr">
        <is>
          <t>1997-08-18</t>
        </is>
      </c>
      <c r="Y398" t="n">
        <v>348</v>
      </c>
      <c r="Z398" t="n">
        <v>301</v>
      </c>
      <c r="AA398" t="n">
        <v>308</v>
      </c>
      <c r="AB398" t="n">
        <v>5</v>
      </c>
      <c r="AC398" t="n">
        <v>5</v>
      </c>
      <c r="AD398" t="n">
        <v>13</v>
      </c>
      <c r="AE398" t="n">
        <v>13</v>
      </c>
      <c r="AF398" t="n">
        <v>4</v>
      </c>
      <c r="AG398" t="n">
        <v>4</v>
      </c>
      <c r="AH398" t="n">
        <v>2</v>
      </c>
      <c r="AI398" t="n">
        <v>2</v>
      </c>
      <c r="AJ398" t="n">
        <v>6</v>
      </c>
      <c r="AK398" t="n">
        <v>6</v>
      </c>
      <c r="AL398" t="n">
        <v>3</v>
      </c>
      <c r="AM398" t="n">
        <v>3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HYPERLINK("http://catalog.hathitrust.org/Record/001180848","HathiTrust Record")</f>
        <v/>
      </c>
      <c r="AS398">
        <f>HYPERLINK("https://creighton-primo.hosted.exlibrisgroup.com/primo-explore/search?tab=default_tab&amp;search_scope=EVERYTHING&amp;vid=01CRU&amp;lang=en_US&amp;offset=0&amp;query=any,contains,991002426599702656","Catalog Record")</f>
        <v/>
      </c>
      <c r="AT398">
        <f>HYPERLINK("http://www.worldcat.org/oclc/345058","WorldCat Record")</f>
        <v/>
      </c>
      <c r="AU398" t="inlineStr">
        <is>
          <t>350306496:eng</t>
        </is>
      </c>
      <c r="AV398" t="inlineStr">
        <is>
          <t>345058</t>
        </is>
      </c>
      <c r="AW398" t="inlineStr">
        <is>
          <t>991002426599702656</t>
        </is>
      </c>
      <c r="AX398" t="inlineStr">
        <is>
          <t>991002426599702656</t>
        </is>
      </c>
      <c r="AY398" t="inlineStr">
        <is>
          <t>2269850830002656</t>
        </is>
      </c>
      <c r="AZ398" t="inlineStr">
        <is>
          <t>BOOK</t>
        </is>
      </c>
      <c r="BB398" t="inlineStr">
        <is>
          <t>9780135597811</t>
        </is>
      </c>
      <c r="BC398" t="inlineStr">
        <is>
          <t>32285003095477</t>
        </is>
      </c>
      <c r="BD398" t="inlineStr">
        <is>
          <t>893616102</t>
        </is>
      </c>
    </row>
    <row r="399">
      <c r="A399" t="inlineStr">
        <is>
          <t>No</t>
        </is>
      </c>
      <c r="B399" t="inlineStr">
        <is>
          <t>P92.U5 I46 1999</t>
        </is>
      </c>
      <c r="C399" t="inlineStr">
        <is>
          <t>0                      P  0092000U  5                  I  46          1999</t>
        </is>
      </c>
      <c r="D399" t="inlineStr">
        <is>
          <t>Impact of mass media : current issues / edited by Ray Eldon Hiebert.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Longman, c1999.</t>
        </is>
      </c>
      <c r="M399" t="inlineStr">
        <is>
          <t>1999</t>
        </is>
      </c>
      <c r="N399" t="inlineStr">
        <is>
          <t>4th ed.</t>
        </is>
      </c>
      <c r="O399" t="inlineStr">
        <is>
          <t>eng</t>
        </is>
      </c>
      <c r="P399" t="inlineStr">
        <is>
          <t>nyu</t>
        </is>
      </c>
      <c r="R399" t="inlineStr">
        <is>
          <t xml:space="preserve">P  </t>
        </is>
      </c>
      <c r="S399" t="n">
        <v>12</v>
      </c>
      <c r="T399" t="n">
        <v>12</v>
      </c>
      <c r="U399" t="inlineStr">
        <is>
          <t>2004-12-07</t>
        </is>
      </c>
      <c r="V399" t="inlineStr">
        <is>
          <t>2004-12-07</t>
        </is>
      </c>
      <c r="W399" t="inlineStr">
        <is>
          <t>1999-08-12</t>
        </is>
      </c>
      <c r="X399" t="inlineStr">
        <is>
          <t>1999-08-12</t>
        </is>
      </c>
      <c r="Y399" t="n">
        <v>243</v>
      </c>
      <c r="Z399" t="n">
        <v>187</v>
      </c>
      <c r="AA399" t="n">
        <v>573</v>
      </c>
      <c r="AB399" t="n">
        <v>4</v>
      </c>
      <c r="AC399" t="n">
        <v>6</v>
      </c>
      <c r="AD399" t="n">
        <v>10</v>
      </c>
      <c r="AE399" t="n">
        <v>30</v>
      </c>
      <c r="AF399" t="n">
        <v>2</v>
      </c>
      <c r="AG399" t="n">
        <v>16</v>
      </c>
      <c r="AH399" t="n">
        <v>3</v>
      </c>
      <c r="AI399" t="n">
        <v>4</v>
      </c>
      <c r="AJ399" t="n">
        <v>6</v>
      </c>
      <c r="AK399" t="n">
        <v>14</v>
      </c>
      <c r="AL399" t="n">
        <v>3</v>
      </c>
      <c r="AM399" t="n">
        <v>5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HYPERLINK("https://creighton-primo.hosted.exlibrisgroup.com/primo-explore/search?tab=default_tab&amp;search_scope=EVERYTHING&amp;vid=01CRU&amp;lang=en_US&amp;offset=0&amp;query=any,contains,991002949059702656","Catalog Record")</f>
        <v/>
      </c>
      <c r="AT399">
        <f>HYPERLINK("http://www.worldcat.org/oclc/39291425","WorldCat Record")</f>
        <v/>
      </c>
      <c r="AU399" t="inlineStr">
        <is>
          <t>796289836:eng</t>
        </is>
      </c>
      <c r="AV399" t="inlineStr">
        <is>
          <t>39291425</t>
        </is>
      </c>
      <c r="AW399" t="inlineStr">
        <is>
          <t>991002949059702656</t>
        </is>
      </c>
      <c r="AX399" t="inlineStr">
        <is>
          <t>991002949059702656</t>
        </is>
      </c>
      <c r="AY399" t="inlineStr">
        <is>
          <t>2260294120002656</t>
        </is>
      </c>
      <c r="AZ399" t="inlineStr">
        <is>
          <t>BOOK</t>
        </is>
      </c>
      <c r="BB399" t="inlineStr">
        <is>
          <t>9780801331985</t>
        </is>
      </c>
      <c r="BC399" t="inlineStr">
        <is>
          <t>32285003581757</t>
        </is>
      </c>
      <c r="BD399" t="inlineStr">
        <is>
          <t>893610506</t>
        </is>
      </c>
    </row>
    <row r="400">
      <c r="A400" t="inlineStr">
        <is>
          <t>No</t>
        </is>
      </c>
      <c r="B400" t="inlineStr">
        <is>
          <t>P92.U5 M425 1999</t>
        </is>
      </c>
      <c r="C400" t="inlineStr">
        <is>
          <t>0                      P  0092000U  5                  M  425         1999</t>
        </is>
      </c>
      <c r="D400" t="inlineStr">
        <is>
          <t>The media in America : a history / editors, Wm. David Sloan, James D. Startt.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Northport, AL : Vision Press, c1999.</t>
        </is>
      </c>
      <c r="M400" t="inlineStr">
        <is>
          <t>1999</t>
        </is>
      </c>
      <c r="N400" t="inlineStr">
        <is>
          <t>4th ed.</t>
        </is>
      </c>
      <c r="O400" t="inlineStr">
        <is>
          <t>eng</t>
        </is>
      </c>
      <c r="P400" t="inlineStr">
        <is>
          <t>alu</t>
        </is>
      </c>
      <c r="R400" t="inlineStr">
        <is>
          <t xml:space="preserve">P  </t>
        </is>
      </c>
      <c r="S400" t="n">
        <v>4</v>
      </c>
      <c r="T400" t="n">
        <v>4</v>
      </c>
      <c r="U400" t="inlineStr">
        <is>
          <t>2007-02-01</t>
        </is>
      </c>
      <c r="V400" t="inlineStr">
        <is>
          <t>2007-02-01</t>
        </is>
      </c>
      <c r="W400" t="inlineStr">
        <is>
          <t>2001-09-12</t>
        </is>
      </c>
      <c r="X400" t="inlineStr">
        <is>
          <t>2001-09-12</t>
        </is>
      </c>
      <c r="Y400" t="n">
        <v>39</v>
      </c>
      <c r="Z400" t="n">
        <v>39</v>
      </c>
      <c r="AA400" t="n">
        <v>257</v>
      </c>
      <c r="AB400" t="n">
        <v>1</v>
      </c>
      <c r="AC400" t="n">
        <v>1</v>
      </c>
      <c r="AD400" t="n">
        <v>1</v>
      </c>
      <c r="AE400" t="n">
        <v>10</v>
      </c>
      <c r="AF400" t="n">
        <v>1</v>
      </c>
      <c r="AG400" t="n">
        <v>5</v>
      </c>
      <c r="AH400" t="n">
        <v>0</v>
      </c>
      <c r="AI400" t="n">
        <v>3</v>
      </c>
      <c r="AJ400" t="n">
        <v>0</v>
      </c>
      <c r="AK400" t="n">
        <v>4</v>
      </c>
      <c r="AL400" t="n">
        <v>0</v>
      </c>
      <c r="AM400" t="n">
        <v>0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HYPERLINK("https://creighton-primo.hosted.exlibrisgroup.com/primo-explore/search?tab=default_tab&amp;search_scope=EVERYTHING&amp;vid=01CRU&amp;lang=en_US&amp;offset=0&amp;query=any,contains,991003564319702656","Catalog Record")</f>
        <v/>
      </c>
      <c r="AT400">
        <f>HYPERLINK("http://www.worldcat.org/oclc/41383716","WorldCat Record")</f>
        <v/>
      </c>
      <c r="AU400" t="inlineStr">
        <is>
          <t>865028618:eng</t>
        </is>
      </c>
      <c r="AV400" t="inlineStr">
        <is>
          <t>41383716</t>
        </is>
      </c>
      <c r="AW400" t="inlineStr">
        <is>
          <t>991003564319702656</t>
        </is>
      </c>
      <c r="AX400" t="inlineStr">
        <is>
          <t>991003564319702656</t>
        </is>
      </c>
      <c r="AY400" t="inlineStr">
        <is>
          <t>2258588630002656</t>
        </is>
      </c>
      <c r="AZ400" t="inlineStr">
        <is>
          <t>BOOK</t>
        </is>
      </c>
      <c r="BB400" t="inlineStr">
        <is>
          <t>9781885219138</t>
        </is>
      </c>
      <c r="BC400" t="inlineStr">
        <is>
          <t>32285004390653</t>
        </is>
      </c>
      <c r="BD400" t="inlineStr">
        <is>
          <t>893774878</t>
        </is>
      </c>
    </row>
    <row r="401">
      <c r="A401" t="inlineStr">
        <is>
          <t>No</t>
        </is>
      </c>
      <c r="B401" t="inlineStr">
        <is>
          <t>P92.U5 M47 1988</t>
        </is>
      </c>
      <c r="C401" t="inlineStr">
        <is>
          <t>0                      P  0092000U  5                  M  47          1988</t>
        </is>
      </c>
      <c r="D401" t="inlineStr">
        <is>
          <t>Trend watching : how the media create trends and how to be the first to uncover them / John E. Merriam and Joel Makower.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Merriam, John E.</t>
        </is>
      </c>
      <c r="L401" t="inlineStr">
        <is>
          <t>New York, NY : American Management Association, c1988.</t>
        </is>
      </c>
      <c r="M401" t="inlineStr">
        <is>
          <t>1988</t>
        </is>
      </c>
      <c r="O401" t="inlineStr">
        <is>
          <t>eng</t>
        </is>
      </c>
      <c r="P401" t="inlineStr">
        <is>
          <t>nyu</t>
        </is>
      </c>
      <c r="R401" t="inlineStr">
        <is>
          <t xml:space="preserve">P  </t>
        </is>
      </c>
      <c r="S401" t="n">
        <v>3</v>
      </c>
      <c r="T401" t="n">
        <v>3</v>
      </c>
      <c r="U401" t="inlineStr">
        <is>
          <t>2010-06-29</t>
        </is>
      </c>
      <c r="V401" t="inlineStr">
        <is>
          <t>2010-06-29</t>
        </is>
      </c>
      <c r="W401" t="inlineStr">
        <is>
          <t>1993-03-02</t>
        </is>
      </c>
      <c r="X401" t="inlineStr">
        <is>
          <t>1993-03-02</t>
        </is>
      </c>
      <c r="Y401" t="n">
        <v>496</v>
      </c>
      <c r="Z401" t="n">
        <v>437</v>
      </c>
      <c r="AA401" t="n">
        <v>454</v>
      </c>
      <c r="AB401" t="n">
        <v>4</v>
      </c>
      <c r="AC401" t="n">
        <v>4</v>
      </c>
      <c r="AD401" t="n">
        <v>16</v>
      </c>
      <c r="AE401" t="n">
        <v>17</v>
      </c>
      <c r="AF401" t="n">
        <v>5</v>
      </c>
      <c r="AG401" t="n">
        <v>5</v>
      </c>
      <c r="AH401" t="n">
        <v>4</v>
      </c>
      <c r="AI401" t="n">
        <v>5</v>
      </c>
      <c r="AJ401" t="n">
        <v>9</v>
      </c>
      <c r="AK401" t="n">
        <v>10</v>
      </c>
      <c r="AL401" t="n">
        <v>3</v>
      </c>
      <c r="AM401" t="n">
        <v>3</v>
      </c>
      <c r="AN401" t="n">
        <v>1</v>
      </c>
      <c r="AO401" t="n">
        <v>1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HYPERLINK("https://creighton-primo.hosted.exlibrisgroup.com/primo-explore/search?tab=default_tab&amp;search_scope=EVERYTHING&amp;vid=01CRU&amp;lang=en_US&amp;offset=0&amp;query=any,contains,991001167779702656","Catalog Record")</f>
        <v/>
      </c>
      <c r="AT401">
        <f>HYPERLINK("http://www.worldcat.org/oclc/16925467","WorldCat Record")</f>
        <v/>
      </c>
      <c r="AU401" t="inlineStr">
        <is>
          <t>253818723:eng</t>
        </is>
      </c>
      <c r="AV401" t="inlineStr">
        <is>
          <t>16925467</t>
        </is>
      </c>
      <c r="AW401" t="inlineStr">
        <is>
          <t>991001167779702656</t>
        </is>
      </c>
      <c r="AX401" t="inlineStr">
        <is>
          <t>991001167779702656</t>
        </is>
      </c>
      <c r="AY401" t="inlineStr">
        <is>
          <t>2272393600002656</t>
        </is>
      </c>
      <c r="AZ401" t="inlineStr">
        <is>
          <t>BOOK</t>
        </is>
      </c>
      <c r="BB401" t="inlineStr">
        <is>
          <t>9780814458907</t>
        </is>
      </c>
      <c r="BC401" t="inlineStr">
        <is>
          <t>32285001541597</t>
        </is>
      </c>
      <c r="BD401" t="inlineStr">
        <is>
          <t>893261749</t>
        </is>
      </c>
    </row>
    <row r="402">
      <c r="A402" t="inlineStr">
        <is>
          <t>No</t>
        </is>
      </c>
      <c r="B402" t="inlineStr">
        <is>
          <t>P92.U5 R87 1993</t>
        </is>
      </c>
      <c r="C402" t="inlineStr">
        <is>
          <t>0                      P  0092000U  5                  R  87          1993</t>
        </is>
      </c>
      <c r="D402" t="inlineStr">
        <is>
          <t>Ruthless criticism : new perspectives in U.S. communication history / William S. Solomon, Robert W. McChesney, editors.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Minneapolis : University of Minnesota Press, c1993.</t>
        </is>
      </c>
      <c r="M402" t="inlineStr">
        <is>
          <t>1993</t>
        </is>
      </c>
      <c r="O402" t="inlineStr">
        <is>
          <t>eng</t>
        </is>
      </c>
      <c r="P402" t="inlineStr">
        <is>
          <t>mnu</t>
        </is>
      </c>
      <c r="R402" t="inlineStr">
        <is>
          <t xml:space="preserve">P  </t>
        </is>
      </c>
      <c r="S402" t="n">
        <v>8</v>
      </c>
      <c r="T402" t="n">
        <v>8</v>
      </c>
      <c r="U402" t="inlineStr">
        <is>
          <t>2002-04-17</t>
        </is>
      </c>
      <c r="V402" t="inlineStr">
        <is>
          <t>2002-04-17</t>
        </is>
      </c>
      <c r="W402" t="inlineStr">
        <is>
          <t>1994-08-08</t>
        </is>
      </c>
      <c r="X402" t="inlineStr">
        <is>
          <t>1994-08-08</t>
        </is>
      </c>
      <c r="Y402" t="n">
        <v>400</v>
      </c>
      <c r="Z402" t="n">
        <v>338</v>
      </c>
      <c r="AA402" t="n">
        <v>339</v>
      </c>
      <c r="AB402" t="n">
        <v>3</v>
      </c>
      <c r="AC402" t="n">
        <v>3</v>
      </c>
      <c r="AD402" t="n">
        <v>23</v>
      </c>
      <c r="AE402" t="n">
        <v>23</v>
      </c>
      <c r="AF402" t="n">
        <v>10</v>
      </c>
      <c r="AG402" t="n">
        <v>10</v>
      </c>
      <c r="AH402" t="n">
        <v>5</v>
      </c>
      <c r="AI402" t="n">
        <v>5</v>
      </c>
      <c r="AJ402" t="n">
        <v>13</v>
      </c>
      <c r="AK402" t="n">
        <v>13</v>
      </c>
      <c r="AL402" t="n">
        <v>2</v>
      </c>
      <c r="AM402" t="n">
        <v>2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HYPERLINK("https://creighton-primo.hosted.exlibrisgroup.com/primo-explore/search?tab=default_tab&amp;search_scope=EVERYTHING&amp;vid=01CRU&amp;lang=en_US&amp;offset=0&amp;query=any,contains,991002094139702656","Catalog Record")</f>
        <v/>
      </c>
      <c r="AT402">
        <f>HYPERLINK("http://www.worldcat.org/oclc/26854872","WorldCat Record")</f>
        <v/>
      </c>
      <c r="AU402" t="inlineStr">
        <is>
          <t>367744952:eng</t>
        </is>
      </c>
      <c r="AV402" t="inlineStr">
        <is>
          <t>26854872</t>
        </is>
      </c>
      <c r="AW402" t="inlineStr">
        <is>
          <t>991002094139702656</t>
        </is>
      </c>
      <c r="AX402" t="inlineStr">
        <is>
          <t>991002094139702656</t>
        </is>
      </c>
      <c r="AY402" t="inlineStr">
        <is>
          <t>2268211110002656</t>
        </is>
      </c>
      <c r="AZ402" t="inlineStr">
        <is>
          <t>BOOK</t>
        </is>
      </c>
      <c r="BB402" t="inlineStr">
        <is>
          <t>9780816621699</t>
        </is>
      </c>
      <c r="BC402" t="inlineStr">
        <is>
          <t>32285001941979</t>
        </is>
      </c>
      <c r="BD402" t="inlineStr">
        <is>
          <t>893414812</t>
        </is>
      </c>
    </row>
    <row r="403">
      <c r="A403" t="inlineStr">
        <is>
          <t>No</t>
        </is>
      </c>
      <c r="B403" t="inlineStr">
        <is>
          <t>P92.U5 S48 2001</t>
        </is>
      </c>
      <c r="C403" t="inlineStr">
        <is>
          <t>0                      P  0092000U  5                  S  48          2001</t>
        </is>
      </c>
      <c r="D403" t="inlineStr">
        <is>
          <t>Disconnected America : the consequences of mass media in a narcissistic world / Ed Shane.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Shane, Ed.</t>
        </is>
      </c>
      <c r="L403" t="inlineStr">
        <is>
          <t>Armonk, N.Y. : M.E. Sharpe, c2001.</t>
        </is>
      </c>
      <c r="M403" t="inlineStr">
        <is>
          <t>2001</t>
        </is>
      </c>
      <c r="O403" t="inlineStr">
        <is>
          <t>eng</t>
        </is>
      </c>
      <c r="P403" t="inlineStr">
        <is>
          <t>nyu</t>
        </is>
      </c>
      <c r="Q403" t="inlineStr">
        <is>
          <t>Media, communication, and culture in America</t>
        </is>
      </c>
      <c r="R403" t="inlineStr">
        <is>
          <t xml:space="preserve">P  </t>
        </is>
      </c>
      <c r="S403" t="n">
        <v>3</v>
      </c>
      <c r="T403" t="n">
        <v>3</v>
      </c>
      <c r="U403" t="inlineStr">
        <is>
          <t>2001-10-23</t>
        </is>
      </c>
      <c r="V403" t="inlineStr">
        <is>
          <t>2001-10-23</t>
        </is>
      </c>
      <c r="W403" t="inlineStr">
        <is>
          <t>2001-05-14</t>
        </is>
      </c>
      <c r="X403" t="inlineStr">
        <is>
          <t>2001-05-14</t>
        </is>
      </c>
      <c r="Y403" t="n">
        <v>732</v>
      </c>
      <c r="Z403" t="n">
        <v>661</v>
      </c>
      <c r="AA403" t="n">
        <v>685</v>
      </c>
      <c r="AB403" t="n">
        <v>5</v>
      </c>
      <c r="AC403" t="n">
        <v>5</v>
      </c>
      <c r="AD403" t="n">
        <v>34</v>
      </c>
      <c r="AE403" t="n">
        <v>34</v>
      </c>
      <c r="AF403" t="n">
        <v>15</v>
      </c>
      <c r="AG403" t="n">
        <v>15</v>
      </c>
      <c r="AH403" t="n">
        <v>9</v>
      </c>
      <c r="AI403" t="n">
        <v>9</v>
      </c>
      <c r="AJ403" t="n">
        <v>15</v>
      </c>
      <c r="AK403" t="n">
        <v>15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HYPERLINK("http://catalog.hathitrust.org/Record/004139656","HathiTrust Record")</f>
        <v/>
      </c>
      <c r="AS403">
        <f>HYPERLINK("https://creighton-primo.hosted.exlibrisgroup.com/primo-explore/search?tab=default_tab&amp;search_scope=EVERYTHING&amp;vid=01CRU&amp;lang=en_US&amp;offset=0&amp;query=any,contains,991003509199702656","Catalog Record")</f>
        <v/>
      </c>
      <c r="AT403">
        <f>HYPERLINK("http://www.worldcat.org/oclc/44619513","WorldCat Record")</f>
        <v/>
      </c>
      <c r="AU403" t="inlineStr">
        <is>
          <t>346337874:eng</t>
        </is>
      </c>
      <c r="AV403" t="inlineStr">
        <is>
          <t>44619513</t>
        </is>
      </c>
      <c r="AW403" t="inlineStr">
        <is>
          <t>991003509199702656</t>
        </is>
      </c>
      <c r="AX403" t="inlineStr">
        <is>
          <t>991003509199702656</t>
        </is>
      </c>
      <c r="AY403" t="inlineStr">
        <is>
          <t>2266085590002656</t>
        </is>
      </c>
      <c r="AZ403" t="inlineStr">
        <is>
          <t>BOOK</t>
        </is>
      </c>
      <c r="BB403" t="inlineStr">
        <is>
          <t>9780765605269</t>
        </is>
      </c>
      <c r="BC403" t="inlineStr">
        <is>
          <t>32285004317086</t>
        </is>
      </c>
      <c r="BD403" t="inlineStr">
        <is>
          <t>893705298</t>
        </is>
      </c>
    </row>
    <row r="404">
      <c r="A404" t="inlineStr">
        <is>
          <t>No</t>
        </is>
      </c>
      <c r="B404" t="inlineStr">
        <is>
          <t>P92.U5 S646 2004</t>
        </is>
      </c>
      <c r="C404" t="inlineStr">
        <is>
          <t>0                      P  0092000U  5                  S  646         2004</t>
        </is>
      </c>
      <c r="D404" t="inlineStr">
        <is>
          <t>The creation of the media : political origins of modern communications / Paul Starr.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Starr, Paul, 1949-</t>
        </is>
      </c>
      <c r="L404" t="inlineStr">
        <is>
          <t>New York : Basic Books, c2004.</t>
        </is>
      </c>
      <c r="M404" t="inlineStr">
        <is>
          <t>2004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P  </t>
        </is>
      </c>
      <c r="S404" t="n">
        <v>7</v>
      </c>
      <c r="T404" t="n">
        <v>7</v>
      </c>
      <c r="U404" t="inlineStr">
        <is>
          <t>2007-10-25</t>
        </is>
      </c>
      <c r="V404" t="inlineStr">
        <is>
          <t>2007-10-25</t>
        </is>
      </c>
      <c r="W404" t="inlineStr">
        <is>
          <t>2004-11-01</t>
        </is>
      </c>
      <c r="X404" t="inlineStr">
        <is>
          <t>2004-11-01</t>
        </is>
      </c>
      <c r="Y404" t="n">
        <v>1391</v>
      </c>
      <c r="Z404" t="n">
        <v>1221</v>
      </c>
      <c r="AA404" t="n">
        <v>1252</v>
      </c>
      <c r="AB404" t="n">
        <v>8</v>
      </c>
      <c r="AC404" t="n">
        <v>8</v>
      </c>
      <c r="AD404" t="n">
        <v>46</v>
      </c>
      <c r="AE404" t="n">
        <v>46</v>
      </c>
      <c r="AF404" t="n">
        <v>19</v>
      </c>
      <c r="AG404" t="n">
        <v>19</v>
      </c>
      <c r="AH404" t="n">
        <v>9</v>
      </c>
      <c r="AI404" t="n">
        <v>9</v>
      </c>
      <c r="AJ404" t="n">
        <v>18</v>
      </c>
      <c r="AK404" t="n">
        <v>18</v>
      </c>
      <c r="AL404" t="n">
        <v>7</v>
      </c>
      <c r="AM404" t="n">
        <v>7</v>
      </c>
      <c r="AN404" t="n">
        <v>2</v>
      </c>
      <c r="AO404" t="n">
        <v>2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HYPERLINK("http://catalog.hathitrust.org/Record/004375437","HathiTrust Record")</f>
        <v/>
      </c>
      <c r="AS404">
        <f>HYPERLINK("https://creighton-primo.hosted.exlibrisgroup.com/primo-explore/search?tab=default_tab&amp;search_scope=EVERYTHING&amp;vid=01CRU&amp;lang=en_US&amp;offset=0&amp;query=any,contains,991004283109702656","Catalog Record")</f>
        <v/>
      </c>
      <c r="AT404">
        <f>HYPERLINK("http://www.worldcat.org/oclc/53215713","WorldCat Record")</f>
        <v/>
      </c>
      <c r="AU404" t="inlineStr">
        <is>
          <t>1917486:eng</t>
        </is>
      </c>
      <c r="AV404" t="inlineStr">
        <is>
          <t>53215713</t>
        </is>
      </c>
      <c r="AW404" t="inlineStr">
        <is>
          <t>991004283109702656</t>
        </is>
      </c>
      <c r="AX404" t="inlineStr">
        <is>
          <t>991004283109702656</t>
        </is>
      </c>
      <c r="AY404" t="inlineStr">
        <is>
          <t>2257063780002656</t>
        </is>
      </c>
      <c r="AZ404" t="inlineStr">
        <is>
          <t>BOOK</t>
        </is>
      </c>
      <c r="BB404" t="inlineStr">
        <is>
          <t>9780465081936</t>
        </is>
      </c>
      <c r="BC404" t="inlineStr">
        <is>
          <t>32285005007504</t>
        </is>
      </c>
      <c r="BD404" t="inlineStr">
        <is>
          <t>893259549</t>
        </is>
      </c>
    </row>
    <row r="405">
      <c r="A405" t="inlineStr">
        <is>
          <t>No</t>
        </is>
      </c>
      <c r="B405" t="inlineStr">
        <is>
          <t>P92.U5 S75 1976</t>
        </is>
      </c>
      <c r="C405" t="inlineStr">
        <is>
          <t>0                      P  0092000U  5                  S  75          1976</t>
        </is>
      </c>
      <c r="D405" t="inlineStr">
        <is>
          <t>Documentary expression and thirties America / William Stott.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Stott, William, 1940-</t>
        </is>
      </c>
      <c r="L405" t="inlineStr">
        <is>
          <t>London ; New York : Oxford University Press, 1976, c1973.</t>
        </is>
      </c>
      <c r="M405" t="inlineStr">
        <is>
          <t>1976</t>
        </is>
      </c>
      <c r="O405" t="inlineStr">
        <is>
          <t>eng</t>
        </is>
      </c>
      <c r="P405" t="inlineStr">
        <is>
          <t>nyu</t>
        </is>
      </c>
      <c r="R405" t="inlineStr">
        <is>
          <t xml:space="preserve">P  </t>
        </is>
      </c>
      <c r="S405" t="n">
        <v>1</v>
      </c>
      <c r="T405" t="n">
        <v>1</v>
      </c>
      <c r="U405" t="inlineStr">
        <is>
          <t>2004-12-08</t>
        </is>
      </c>
      <c r="V405" t="inlineStr">
        <is>
          <t>2004-12-08</t>
        </is>
      </c>
      <c r="W405" t="inlineStr">
        <is>
          <t>2004-12-08</t>
        </is>
      </c>
      <c r="X405" t="inlineStr">
        <is>
          <t>2004-12-08</t>
        </is>
      </c>
      <c r="Y405" t="n">
        <v>55</v>
      </c>
      <c r="Z405" t="n">
        <v>35</v>
      </c>
      <c r="AA405" t="n">
        <v>1106</v>
      </c>
      <c r="AB405" t="n">
        <v>1</v>
      </c>
      <c r="AC405" t="n">
        <v>4</v>
      </c>
      <c r="AD405" t="n">
        <v>1</v>
      </c>
      <c r="AE405" t="n">
        <v>42</v>
      </c>
      <c r="AF405" t="n">
        <v>0</v>
      </c>
      <c r="AG405" t="n">
        <v>19</v>
      </c>
      <c r="AH405" t="n">
        <v>1</v>
      </c>
      <c r="AI405" t="n">
        <v>9</v>
      </c>
      <c r="AJ405" t="n">
        <v>0</v>
      </c>
      <c r="AK405" t="n">
        <v>22</v>
      </c>
      <c r="AL405" t="n">
        <v>0</v>
      </c>
      <c r="AM405" t="n">
        <v>3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HYPERLINK("https://creighton-primo.hosted.exlibrisgroup.com/primo-explore/search?tab=default_tab&amp;search_scope=EVERYTHING&amp;vid=01CRU&amp;lang=en_US&amp;offset=0&amp;query=any,contains,991004433309702656","Catalog Record")</f>
        <v/>
      </c>
      <c r="AT405">
        <f>HYPERLINK("http://www.worldcat.org/oclc/3214191","WorldCat Record")</f>
        <v/>
      </c>
      <c r="AU405" t="inlineStr">
        <is>
          <t>143935544:eng</t>
        </is>
      </c>
      <c r="AV405" t="inlineStr">
        <is>
          <t>3214191</t>
        </is>
      </c>
      <c r="AW405" t="inlineStr">
        <is>
          <t>991004433309702656</t>
        </is>
      </c>
      <c r="AX405" t="inlineStr">
        <is>
          <t>991004433309702656</t>
        </is>
      </c>
      <c r="AY405" t="inlineStr">
        <is>
          <t>2257186360002656</t>
        </is>
      </c>
      <c r="AZ405" t="inlineStr">
        <is>
          <t>BOOK</t>
        </is>
      </c>
      <c r="BC405" t="inlineStr">
        <is>
          <t>32285005016125</t>
        </is>
      </c>
      <c r="BD405" t="inlineStr">
        <is>
          <t>893319222</t>
        </is>
      </c>
    </row>
    <row r="406">
      <c r="A406" t="inlineStr">
        <is>
          <t>No</t>
        </is>
      </c>
      <c r="B406" t="inlineStr">
        <is>
          <t>P92.U6 W46 1998</t>
        </is>
      </c>
      <c r="C406" t="inlineStr">
        <is>
          <t>0                      P  0092000U  6                  W  46          1998</t>
        </is>
      </c>
      <c r="D406" t="inlineStr">
        <is>
          <t>What's next in mass communication : readings on media and culture / [compiled by] Christopher Harper.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L406" t="inlineStr">
        <is>
          <t>New York : St. Martin's Press, c1998.</t>
        </is>
      </c>
      <c r="M406" t="inlineStr">
        <is>
          <t>1998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P  </t>
        </is>
      </c>
      <c r="S406" t="n">
        <v>1</v>
      </c>
      <c r="T406" t="n">
        <v>1</v>
      </c>
      <c r="U406" t="inlineStr">
        <is>
          <t>2001-10-02</t>
        </is>
      </c>
      <c r="V406" t="inlineStr">
        <is>
          <t>2001-10-02</t>
        </is>
      </c>
      <c r="W406" t="inlineStr">
        <is>
          <t>1999-09-08</t>
        </is>
      </c>
      <c r="X406" t="inlineStr">
        <is>
          <t>1999-09-08</t>
        </is>
      </c>
      <c r="Y406" t="n">
        <v>151</v>
      </c>
      <c r="Z406" t="n">
        <v>132</v>
      </c>
      <c r="AA406" t="n">
        <v>137</v>
      </c>
      <c r="AB406" t="n">
        <v>1</v>
      </c>
      <c r="AC406" t="n">
        <v>1</v>
      </c>
      <c r="AD406" t="n">
        <v>10</v>
      </c>
      <c r="AE406" t="n">
        <v>10</v>
      </c>
      <c r="AF406" t="n">
        <v>5</v>
      </c>
      <c r="AG406" t="n">
        <v>5</v>
      </c>
      <c r="AH406" t="n">
        <v>2</v>
      </c>
      <c r="AI406" t="n">
        <v>2</v>
      </c>
      <c r="AJ406" t="n">
        <v>5</v>
      </c>
      <c r="AK406" t="n">
        <v>5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S406">
        <f>HYPERLINK("https://creighton-primo.hosted.exlibrisgroup.com/primo-explore/search?tab=default_tab&amp;search_scope=EVERYTHING&amp;vid=01CRU&amp;lang=en_US&amp;offset=0&amp;query=any,contains,991002898899702656","Catalog Record")</f>
        <v/>
      </c>
      <c r="AT406">
        <f>HYPERLINK("http://www.worldcat.org/oclc/38214973","WorldCat Record")</f>
        <v/>
      </c>
      <c r="AU406" t="inlineStr">
        <is>
          <t>41709904:eng</t>
        </is>
      </c>
      <c r="AV406" t="inlineStr">
        <is>
          <t>38214973</t>
        </is>
      </c>
      <c r="AW406" t="inlineStr">
        <is>
          <t>991002898899702656</t>
        </is>
      </c>
      <c r="AX406" t="inlineStr">
        <is>
          <t>991002898899702656</t>
        </is>
      </c>
      <c r="AY406" t="inlineStr">
        <is>
          <t>2256623500002656</t>
        </is>
      </c>
      <c r="AZ406" t="inlineStr">
        <is>
          <t>BOOK</t>
        </is>
      </c>
      <c r="BB406" t="inlineStr">
        <is>
          <t>9780312167431</t>
        </is>
      </c>
      <c r="BC406" t="inlineStr">
        <is>
          <t>32285003586905</t>
        </is>
      </c>
      <c r="BD406" t="inlineStr">
        <is>
          <t>893415781</t>
        </is>
      </c>
    </row>
    <row r="407">
      <c r="A407" t="inlineStr">
        <is>
          <t>No</t>
        </is>
      </c>
      <c r="B407" t="inlineStr">
        <is>
          <t>P93 .A3</t>
        </is>
      </c>
      <c r="C407" t="inlineStr">
        <is>
          <t>0                      P  0093000A  3</t>
        </is>
      </c>
      <c r="D407" t="inlineStr">
        <is>
          <t>Advances in content analysis / Karl Erik Rosengren, editor.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Beverly Hills : Sage Publications, c1981.</t>
        </is>
      </c>
      <c r="M407" t="inlineStr">
        <is>
          <t>1981</t>
        </is>
      </c>
      <c r="O407" t="inlineStr">
        <is>
          <t>eng</t>
        </is>
      </c>
      <c r="P407" t="inlineStr">
        <is>
          <t>cau</t>
        </is>
      </c>
      <c r="Q407" t="inlineStr">
        <is>
          <t>Sage annual reviews of communication research ; v. 9</t>
        </is>
      </c>
      <c r="R407" t="inlineStr">
        <is>
          <t xml:space="preserve">P  </t>
        </is>
      </c>
      <c r="S407" t="n">
        <v>1</v>
      </c>
      <c r="T407" t="n">
        <v>1</v>
      </c>
      <c r="U407" t="inlineStr">
        <is>
          <t>2007-04-12</t>
        </is>
      </c>
      <c r="V407" t="inlineStr">
        <is>
          <t>2007-04-12</t>
        </is>
      </c>
      <c r="W407" t="inlineStr">
        <is>
          <t>1993-03-31</t>
        </is>
      </c>
      <c r="X407" t="inlineStr">
        <is>
          <t>1993-03-31</t>
        </is>
      </c>
      <c r="Y407" t="n">
        <v>473</v>
      </c>
      <c r="Z407" t="n">
        <v>335</v>
      </c>
      <c r="AA407" t="n">
        <v>341</v>
      </c>
      <c r="AB407" t="n">
        <v>3</v>
      </c>
      <c r="AC407" t="n">
        <v>3</v>
      </c>
      <c r="AD407" t="n">
        <v>21</v>
      </c>
      <c r="AE407" t="n">
        <v>21</v>
      </c>
      <c r="AF407" t="n">
        <v>8</v>
      </c>
      <c r="AG407" t="n">
        <v>8</v>
      </c>
      <c r="AH407" t="n">
        <v>6</v>
      </c>
      <c r="AI407" t="n">
        <v>6</v>
      </c>
      <c r="AJ407" t="n">
        <v>12</v>
      </c>
      <c r="AK407" t="n">
        <v>12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HYPERLINK("http://catalog.hathitrust.org/Record/000739722","HathiTrust Record")</f>
        <v/>
      </c>
      <c r="AS407">
        <f>HYPERLINK("https://creighton-primo.hosted.exlibrisgroup.com/primo-explore/search?tab=default_tab&amp;search_scope=EVERYTHING&amp;vid=01CRU&amp;lang=en_US&amp;offset=0&amp;query=any,contains,991005044639702656","Catalog Record")</f>
        <v/>
      </c>
      <c r="AT407">
        <f>HYPERLINK("http://www.worldcat.org/oclc/6815983","WorldCat Record")</f>
        <v/>
      </c>
      <c r="AU407" t="inlineStr">
        <is>
          <t>23916290:eng</t>
        </is>
      </c>
      <c r="AV407" t="inlineStr">
        <is>
          <t>6815983</t>
        </is>
      </c>
      <c r="AW407" t="inlineStr">
        <is>
          <t>991005044639702656</t>
        </is>
      </c>
      <c r="AX407" t="inlineStr">
        <is>
          <t>991005044639702656</t>
        </is>
      </c>
      <c r="AY407" t="inlineStr">
        <is>
          <t>2265337980002656</t>
        </is>
      </c>
      <c r="AZ407" t="inlineStr">
        <is>
          <t>BOOK</t>
        </is>
      </c>
      <c r="BB407" t="inlineStr">
        <is>
          <t>9780803915558</t>
        </is>
      </c>
      <c r="BC407" t="inlineStr">
        <is>
          <t>32285001612265</t>
        </is>
      </c>
      <c r="BD407" t="inlineStr">
        <is>
          <t>893719692</t>
        </is>
      </c>
    </row>
    <row r="408">
      <c r="A408" t="inlineStr">
        <is>
          <t>No</t>
        </is>
      </c>
      <c r="B408" t="inlineStr">
        <is>
          <t>P93 .A5</t>
        </is>
      </c>
      <c r="C408" t="inlineStr">
        <is>
          <t>0                      P  0093000A  5</t>
        </is>
      </c>
      <c r="D408" t="inlineStr">
        <is>
          <t>The Analysis of communication content; developments in scientific theories and computer techniques. Edited by George Gerbner [and others]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New York, Wiley [1969]</t>
        </is>
      </c>
      <c r="M408" t="inlineStr">
        <is>
          <t>1969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P  </t>
        </is>
      </c>
      <c r="S408" t="n">
        <v>1</v>
      </c>
      <c r="T408" t="n">
        <v>1</v>
      </c>
      <c r="U408" t="inlineStr">
        <is>
          <t>2001-03-02</t>
        </is>
      </c>
      <c r="V408" t="inlineStr">
        <is>
          <t>2001-03-02</t>
        </is>
      </c>
      <c r="W408" t="inlineStr">
        <is>
          <t>1997-08-18</t>
        </is>
      </c>
      <c r="X408" t="inlineStr">
        <is>
          <t>1997-08-18</t>
        </is>
      </c>
      <c r="Y408" t="n">
        <v>591</v>
      </c>
      <c r="Z408" t="n">
        <v>428</v>
      </c>
      <c r="AA408" t="n">
        <v>466</v>
      </c>
      <c r="AB408" t="n">
        <v>3</v>
      </c>
      <c r="AC408" t="n">
        <v>4</v>
      </c>
      <c r="AD408" t="n">
        <v>23</v>
      </c>
      <c r="AE408" t="n">
        <v>24</v>
      </c>
      <c r="AF408" t="n">
        <v>10</v>
      </c>
      <c r="AG408" t="n">
        <v>10</v>
      </c>
      <c r="AH408" t="n">
        <v>3</v>
      </c>
      <c r="AI408" t="n">
        <v>3</v>
      </c>
      <c r="AJ408" t="n">
        <v>14</v>
      </c>
      <c r="AK408" t="n">
        <v>14</v>
      </c>
      <c r="AL408" t="n">
        <v>2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HYPERLINK("http://catalog.hathitrust.org/Record/001180863","HathiTrust Record")</f>
        <v/>
      </c>
      <c r="AS408">
        <f>HYPERLINK("https://creighton-primo.hosted.exlibrisgroup.com/primo-explore/search?tab=default_tab&amp;search_scope=EVERYTHING&amp;vid=01CRU&amp;lang=en_US&amp;offset=0&amp;query=any,contains,991000073449702656","Catalog Record")</f>
        <v/>
      </c>
      <c r="AT408">
        <f>HYPERLINK("http://www.worldcat.org/oclc/29253","WorldCat Record")</f>
        <v/>
      </c>
      <c r="AU408" t="inlineStr">
        <is>
          <t>815130855:eng</t>
        </is>
      </c>
      <c r="AV408" t="inlineStr">
        <is>
          <t>29253</t>
        </is>
      </c>
      <c r="AW408" t="inlineStr">
        <is>
          <t>991000073449702656</t>
        </is>
      </c>
      <c r="AX408" t="inlineStr">
        <is>
          <t>991000073449702656</t>
        </is>
      </c>
      <c r="AY408" t="inlineStr">
        <is>
          <t>2266354670002656</t>
        </is>
      </c>
      <c r="AZ408" t="inlineStr">
        <is>
          <t>BOOK</t>
        </is>
      </c>
      <c r="BB408" t="inlineStr">
        <is>
          <t>9780471296607</t>
        </is>
      </c>
      <c r="BC408" t="inlineStr">
        <is>
          <t>32285003095659</t>
        </is>
      </c>
      <c r="BD408" t="inlineStr">
        <is>
          <t>893607593</t>
        </is>
      </c>
    </row>
    <row r="409">
      <c r="A409" t="inlineStr">
        <is>
          <t>No</t>
        </is>
      </c>
      <c r="B409" t="inlineStr">
        <is>
          <t>P93 .B4 1971</t>
        </is>
      </c>
      <c r="C409" t="inlineStr">
        <is>
          <t>0                      P  0093000B  4           1971</t>
        </is>
      </c>
      <c r="D409" t="inlineStr">
        <is>
          <t>Content analysis in communication research.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Berelson, Bernard, 1912-1979.</t>
        </is>
      </c>
      <c r="L409" t="inlineStr">
        <is>
          <t>New York : Hafner, 1971, [c1952]</t>
        </is>
      </c>
      <c r="M409" t="inlineStr">
        <is>
          <t>1971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P  </t>
        </is>
      </c>
      <c r="S409" t="n">
        <v>4</v>
      </c>
      <c r="T409" t="n">
        <v>4</v>
      </c>
      <c r="U409" t="inlineStr">
        <is>
          <t>2001-03-02</t>
        </is>
      </c>
      <c r="V409" t="inlineStr">
        <is>
          <t>2001-03-02</t>
        </is>
      </c>
      <c r="W409" t="inlineStr">
        <is>
          <t>1992-03-25</t>
        </is>
      </c>
      <c r="X409" t="inlineStr">
        <is>
          <t>1992-03-25</t>
        </is>
      </c>
      <c r="Y409" t="n">
        <v>286</v>
      </c>
      <c r="Z409" t="n">
        <v>198</v>
      </c>
      <c r="AA409" t="n">
        <v>450</v>
      </c>
      <c r="AB409" t="n">
        <v>2</v>
      </c>
      <c r="AC409" t="n">
        <v>5</v>
      </c>
      <c r="AD409" t="n">
        <v>8</v>
      </c>
      <c r="AE409" t="n">
        <v>22</v>
      </c>
      <c r="AF409" t="n">
        <v>4</v>
      </c>
      <c r="AG409" t="n">
        <v>9</v>
      </c>
      <c r="AH409" t="n">
        <v>2</v>
      </c>
      <c r="AI409" t="n">
        <v>3</v>
      </c>
      <c r="AJ409" t="n">
        <v>3</v>
      </c>
      <c r="AK409" t="n">
        <v>12</v>
      </c>
      <c r="AL409" t="n">
        <v>1</v>
      </c>
      <c r="AM409" t="n">
        <v>4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HYPERLINK("http://catalog.hathitrust.org/Record/000002288","HathiTrust Record")</f>
        <v/>
      </c>
      <c r="AS409">
        <f>HYPERLINK("https://creighton-primo.hosted.exlibrisgroup.com/primo-explore/search?tab=default_tab&amp;search_scope=EVERYTHING&amp;vid=01CRU&amp;lang=en_US&amp;offset=0&amp;query=any,contains,991000885269702656","Catalog Record")</f>
        <v/>
      </c>
      <c r="AT409">
        <f>HYPERLINK("http://www.worldcat.org/oclc/152641","WorldCat Record")</f>
        <v/>
      </c>
      <c r="AU409" t="inlineStr">
        <is>
          <t>149576104:eng</t>
        </is>
      </c>
      <c r="AV409" t="inlineStr">
        <is>
          <t>152641</t>
        </is>
      </c>
      <c r="AW409" t="inlineStr">
        <is>
          <t>991000885269702656</t>
        </is>
      </c>
      <c r="AX409" t="inlineStr">
        <is>
          <t>991000885269702656</t>
        </is>
      </c>
      <c r="AY409" t="inlineStr">
        <is>
          <t>2271819760002656</t>
        </is>
      </c>
      <c r="AZ409" t="inlineStr">
        <is>
          <t>BOOK</t>
        </is>
      </c>
      <c r="BC409" t="inlineStr">
        <is>
          <t>32285001028462</t>
        </is>
      </c>
      <c r="BD409" t="inlineStr">
        <is>
          <t>893772073</t>
        </is>
      </c>
    </row>
    <row r="410">
      <c r="A410" t="inlineStr">
        <is>
          <t>No</t>
        </is>
      </c>
      <c r="B410" t="inlineStr">
        <is>
          <t>P93 .B8</t>
        </is>
      </c>
      <c r="C410" t="inlineStr">
        <is>
          <t>0                      P  0093000B  8</t>
        </is>
      </c>
      <c r="D410" t="inlineStr">
        <is>
          <t>An introduction to content analysis : including annotated bibliography / by Richard W. Budd [and] Robert K. Thorp.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Budd, Richard W.</t>
        </is>
      </c>
      <c r="L410" t="inlineStr">
        <is>
          <t>[Iowa City] : University of Iowa School of Journalism, [c1963]</t>
        </is>
      </c>
      <c r="M410" t="inlineStr">
        <is>
          <t>1963</t>
        </is>
      </c>
      <c r="O410" t="inlineStr">
        <is>
          <t>eng</t>
        </is>
      </c>
      <c r="P410" t="inlineStr">
        <is>
          <t>iau</t>
        </is>
      </c>
      <c r="R410" t="inlineStr">
        <is>
          <t xml:space="preserve">P  </t>
        </is>
      </c>
      <c r="S410" t="n">
        <v>5</v>
      </c>
      <c r="T410" t="n">
        <v>5</v>
      </c>
      <c r="U410" t="inlineStr">
        <is>
          <t>2007-04-12</t>
        </is>
      </c>
      <c r="V410" t="inlineStr">
        <is>
          <t>2007-04-12</t>
        </is>
      </c>
      <c r="W410" t="inlineStr">
        <is>
          <t>1992-03-25</t>
        </is>
      </c>
      <c r="X410" t="inlineStr">
        <is>
          <t>1992-03-25</t>
        </is>
      </c>
      <c r="Y410" t="n">
        <v>65</v>
      </c>
      <c r="Z410" t="n">
        <v>60</v>
      </c>
      <c r="AA410" t="n">
        <v>62</v>
      </c>
      <c r="AB410" t="n">
        <v>2</v>
      </c>
      <c r="AC410" t="n">
        <v>2</v>
      </c>
      <c r="AD410" t="n">
        <v>3</v>
      </c>
      <c r="AE410" t="n">
        <v>3</v>
      </c>
      <c r="AF410" t="n">
        <v>1</v>
      </c>
      <c r="AG410" t="n">
        <v>1</v>
      </c>
      <c r="AH410" t="n">
        <v>1</v>
      </c>
      <c r="AI410" t="n">
        <v>1</v>
      </c>
      <c r="AJ410" t="n">
        <v>1</v>
      </c>
      <c r="AK410" t="n">
        <v>1</v>
      </c>
      <c r="AL410" t="n">
        <v>1</v>
      </c>
      <c r="AM410" t="n">
        <v>1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HYPERLINK("https://creighton-primo.hosted.exlibrisgroup.com/primo-explore/search?tab=default_tab&amp;search_scope=EVERYTHING&amp;vid=01CRU&amp;lang=en_US&amp;offset=0&amp;query=any,contains,991004622689702656","Catalog Record")</f>
        <v/>
      </c>
      <c r="AT410">
        <f>HYPERLINK("http://www.worldcat.org/oclc/4310406","WorldCat Record")</f>
        <v/>
      </c>
      <c r="AU410" t="inlineStr">
        <is>
          <t>424809916:eng</t>
        </is>
      </c>
      <c r="AV410" t="inlineStr">
        <is>
          <t>4310406</t>
        </is>
      </c>
      <c r="AW410" t="inlineStr">
        <is>
          <t>991004622689702656</t>
        </is>
      </c>
      <c r="AX410" t="inlineStr">
        <is>
          <t>991004622689702656</t>
        </is>
      </c>
      <c r="AY410" t="inlineStr">
        <is>
          <t>2267981990002656</t>
        </is>
      </c>
      <c r="AZ410" t="inlineStr">
        <is>
          <t>BOOK</t>
        </is>
      </c>
      <c r="BC410" t="inlineStr">
        <is>
          <t>32285001028454</t>
        </is>
      </c>
      <c r="BD410" t="inlineStr">
        <is>
          <t>893442831</t>
        </is>
      </c>
    </row>
    <row r="411">
      <c r="A411" t="inlineStr">
        <is>
          <t>No</t>
        </is>
      </c>
      <c r="B411" t="inlineStr">
        <is>
          <t>P93 .J3 1980</t>
        </is>
      </c>
      <c r="C411" t="inlineStr">
        <is>
          <t>0                      P  0093000J  3           1980</t>
        </is>
      </c>
      <c r="D411" t="inlineStr">
        <is>
          <t>Miscomprehension of televised communications / by Jacob Jacoby in association with Wayne D. Hoyer and David A. Sheluga.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Jacoby, Jacob.</t>
        </is>
      </c>
      <c r="L411" t="inlineStr">
        <is>
          <t>New York : The Educational Foundation of the American Association of Advertising Agencies, 1980.</t>
        </is>
      </c>
      <c r="M411" t="inlineStr">
        <is>
          <t>1980</t>
        </is>
      </c>
      <c r="O411" t="inlineStr">
        <is>
          <t>eng</t>
        </is>
      </c>
      <c r="P411" t="inlineStr">
        <is>
          <t>nyu</t>
        </is>
      </c>
      <c r="R411" t="inlineStr">
        <is>
          <t xml:space="preserve">P  </t>
        </is>
      </c>
      <c r="S411" t="n">
        <v>1</v>
      </c>
      <c r="T411" t="n">
        <v>1</v>
      </c>
      <c r="U411" t="inlineStr">
        <is>
          <t>2009-01-23</t>
        </is>
      </c>
      <c r="V411" t="inlineStr">
        <is>
          <t>2009-01-23</t>
        </is>
      </c>
      <c r="W411" t="inlineStr">
        <is>
          <t>1993-03-31</t>
        </is>
      </c>
      <c r="X411" t="inlineStr">
        <is>
          <t>1993-03-31</t>
        </is>
      </c>
      <c r="Y411" t="n">
        <v>173</v>
      </c>
      <c r="Z411" t="n">
        <v>159</v>
      </c>
      <c r="AA411" t="n">
        <v>159</v>
      </c>
      <c r="AB411" t="n">
        <v>2</v>
      </c>
      <c r="AC411" t="n">
        <v>2</v>
      </c>
      <c r="AD411" t="n">
        <v>9</v>
      </c>
      <c r="AE411" t="n">
        <v>9</v>
      </c>
      <c r="AF411" t="n">
        <v>1</v>
      </c>
      <c r="AG411" t="n">
        <v>1</v>
      </c>
      <c r="AH411" t="n">
        <v>3</v>
      </c>
      <c r="AI411" t="n">
        <v>3</v>
      </c>
      <c r="AJ411" t="n">
        <v>7</v>
      </c>
      <c r="AK411" t="n">
        <v>7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HYPERLINK("https://creighton-primo.hosted.exlibrisgroup.com/primo-explore/search?tab=default_tab&amp;search_scope=EVERYTHING&amp;vid=01CRU&amp;lang=en_US&amp;offset=0&amp;query=any,contains,991005108479702656","Catalog Record")</f>
        <v/>
      </c>
      <c r="AT411">
        <f>HYPERLINK("http://www.worldcat.org/oclc/7378003","WorldCat Record")</f>
        <v/>
      </c>
      <c r="AU411" t="inlineStr">
        <is>
          <t>43263141:eng</t>
        </is>
      </c>
      <c r="AV411" t="inlineStr">
        <is>
          <t>7378003</t>
        </is>
      </c>
      <c r="AW411" t="inlineStr">
        <is>
          <t>991005108479702656</t>
        </is>
      </c>
      <c r="AX411" t="inlineStr">
        <is>
          <t>991005108479702656</t>
        </is>
      </c>
      <c r="AY411" t="inlineStr">
        <is>
          <t>2268758930002656</t>
        </is>
      </c>
      <c r="AZ411" t="inlineStr">
        <is>
          <t>BOOK</t>
        </is>
      </c>
      <c r="BC411" t="inlineStr">
        <is>
          <t>32285001612273</t>
        </is>
      </c>
      <c r="BD411" t="inlineStr">
        <is>
          <t>893902116</t>
        </is>
      </c>
    </row>
    <row r="412">
      <c r="A412" t="inlineStr">
        <is>
          <t>No</t>
        </is>
      </c>
      <c r="B412" t="inlineStr">
        <is>
          <t>P93 .R54 1998</t>
        </is>
      </c>
      <c r="C412" t="inlineStr">
        <is>
          <t>0                      P  0093000R  54          1998</t>
        </is>
      </c>
      <c r="D412" t="inlineStr">
        <is>
          <t>Analyzing media messages : using quantitative content analysis in research / Daniel Riffe, Stephen Lacy, Frederick G. Fico.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Riffe, Daniel.</t>
        </is>
      </c>
      <c r="L412" t="inlineStr">
        <is>
          <t>Mahwah, N.J. : L. Erlbaum, 1998.</t>
        </is>
      </c>
      <c r="M412" t="inlineStr">
        <is>
          <t>1998</t>
        </is>
      </c>
      <c r="O412" t="inlineStr">
        <is>
          <t>eng</t>
        </is>
      </c>
      <c r="P412" t="inlineStr">
        <is>
          <t>nju</t>
        </is>
      </c>
      <c r="Q412" t="inlineStr">
        <is>
          <t>LEA's communication series</t>
        </is>
      </c>
      <c r="R412" t="inlineStr">
        <is>
          <t xml:space="preserve">P  </t>
        </is>
      </c>
      <c r="S412" t="n">
        <v>4</v>
      </c>
      <c r="T412" t="n">
        <v>4</v>
      </c>
      <c r="U412" t="inlineStr">
        <is>
          <t>2008-01-23</t>
        </is>
      </c>
      <c r="V412" t="inlineStr">
        <is>
          <t>2008-01-23</t>
        </is>
      </c>
      <c r="W412" t="inlineStr">
        <is>
          <t>1998-08-31</t>
        </is>
      </c>
      <c r="X412" t="inlineStr">
        <is>
          <t>1998-08-31</t>
        </is>
      </c>
      <c r="Y412" t="n">
        <v>376</v>
      </c>
      <c r="Z412" t="n">
        <v>283</v>
      </c>
      <c r="AA412" t="n">
        <v>1125</v>
      </c>
      <c r="AB412" t="n">
        <v>2</v>
      </c>
      <c r="AC412" t="n">
        <v>4</v>
      </c>
      <c r="AD412" t="n">
        <v>22</v>
      </c>
      <c r="AE412" t="n">
        <v>38</v>
      </c>
      <c r="AF412" t="n">
        <v>9</v>
      </c>
      <c r="AG412" t="n">
        <v>20</v>
      </c>
      <c r="AH412" t="n">
        <v>8</v>
      </c>
      <c r="AI412" t="n">
        <v>11</v>
      </c>
      <c r="AJ412" t="n">
        <v>10</v>
      </c>
      <c r="AK412" t="n">
        <v>15</v>
      </c>
      <c r="AL412" t="n">
        <v>1</v>
      </c>
      <c r="AM412" t="n">
        <v>3</v>
      </c>
      <c r="AN412" t="n">
        <v>0</v>
      </c>
      <c r="AO412" t="n">
        <v>0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HYPERLINK("http://catalog.hathitrust.org/Record/003985370","HathiTrust Record")</f>
        <v/>
      </c>
      <c r="AS412">
        <f>HYPERLINK("https://creighton-primo.hosted.exlibrisgroup.com/primo-explore/search?tab=default_tab&amp;search_scope=EVERYTHING&amp;vid=01CRU&amp;lang=en_US&amp;offset=0&amp;query=any,contains,991002887359702656","Catalog Record")</f>
        <v/>
      </c>
      <c r="AT412">
        <f>HYPERLINK("http://www.worldcat.org/oclc/38048228","WorldCat Record")</f>
        <v/>
      </c>
      <c r="AU412" t="inlineStr">
        <is>
          <t>799758981:eng</t>
        </is>
      </c>
      <c r="AV412" t="inlineStr">
        <is>
          <t>38048228</t>
        </is>
      </c>
      <c r="AW412" t="inlineStr">
        <is>
          <t>991002887359702656</t>
        </is>
      </c>
      <c r="AX412" t="inlineStr">
        <is>
          <t>991002887359702656</t>
        </is>
      </c>
      <c r="AY412" t="inlineStr">
        <is>
          <t>2257952430002656</t>
        </is>
      </c>
      <c r="AZ412" t="inlineStr">
        <is>
          <t>BOOK</t>
        </is>
      </c>
      <c r="BB412" t="inlineStr">
        <is>
          <t>9780805820188</t>
        </is>
      </c>
      <c r="BC412" t="inlineStr">
        <is>
          <t>32285003463857</t>
        </is>
      </c>
      <c r="BD412" t="inlineStr">
        <is>
          <t>893348050</t>
        </is>
      </c>
    </row>
    <row r="413">
      <c r="A413" t="inlineStr">
        <is>
          <t>No</t>
        </is>
      </c>
      <c r="B413" t="inlineStr">
        <is>
          <t>P93 .W6 1955c</t>
        </is>
      </c>
      <c r="C413" t="inlineStr">
        <is>
          <t>0                      P  0093000W  6           1955c</t>
        </is>
      </c>
      <c r="D413" t="inlineStr">
        <is>
          <t>Trends in content analysis : papers / edited by Ithiel de Sola Pool.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Work Conference on Content Analysis (1955 : Monticello, Ill.)</t>
        </is>
      </c>
      <c r="L413" t="inlineStr">
        <is>
          <t>Urbana, University of Illinois Press, 1959.</t>
        </is>
      </c>
      <c r="M413" t="inlineStr">
        <is>
          <t>1959</t>
        </is>
      </c>
      <c r="O413" t="inlineStr">
        <is>
          <t>eng</t>
        </is>
      </c>
      <c r="P413" t="inlineStr">
        <is>
          <t>ilu</t>
        </is>
      </c>
      <c r="R413" t="inlineStr">
        <is>
          <t xml:space="preserve">P  </t>
        </is>
      </c>
      <c r="S413" t="n">
        <v>1</v>
      </c>
      <c r="T413" t="n">
        <v>1</v>
      </c>
      <c r="U413" t="inlineStr">
        <is>
          <t>2007-04-12</t>
        </is>
      </c>
      <c r="V413" t="inlineStr">
        <is>
          <t>2007-04-12</t>
        </is>
      </c>
      <c r="W413" t="inlineStr">
        <is>
          <t>1997-08-08</t>
        </is>
      </c>
      <c r="X413" t="inlineStr">
        <is>
          <t>1997-08-08</t>
        </is>
      </c>
      <c r="Y413" t="n">
        <v>446</v>
      </c>
      <c r="Z413" t="n">
        <v>364</v>
      </c>
      <c r="AA413" t="n">
        <v>366</v>
      </c>
      <c r="AB413" t="n">
        <v>2</v>
      </c>
      <c r="AC413" t="n">
        <v>2</v>
      </c>
      <c r="AD413" t="n">
        <v>23</v>
      </c>
      <c r="AE413" t="n">
        <v>23</v>
      </c>
      <c r="AF413" t="n">
        <v>10</v>
      </c>
      <c r="AG413" t="n">
        <v>10</v>
      </c>
      <c r="AH413" t="n">
        <v>5</v>
      </c>
      <c r="AI413" t="n">
        <v>5</v>
      </c>
      <c r="AJ413" t="n">
        <v>14</v>
      </c>
      <c r="AK413" t="n">
        <v>14</v>
      </c>
      <c r="AL413" t="n">
        <v>1</v>
      </c>
      <c r="AM413" t="n">
        <v>1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HYPERLINK("http://catalog.hathitrust.org/Record/001180869","HathiTrust Record")</f>
        <v/>
      </c>
      <c r="AS413">
        <f>HYPERLINK("https://creighton-primo.hosted.exlibrisgroup.com/primo-explore/search?tab=default_tab&amp;search_scope=EVERYTHING&amp;vid=01CRU&amp;lang=en_US&amp;offset=0&amp;query=any,contains,991003855189702656","Catalog Record")</f>
        <v/>
      </c>
      <c r="AT413">
        <f>HYPERLINK("http://www.worldcat.org/oclc/1652325","WorldCat Record")</f>
        <v/>
      </c>
      <c r="AU413" t="inlineStr">
        <is>
          <t>5609350512:eng</t>
        </is>
      </c>
      <c r="AV413" t="inlineStr">
        <is>
          <t>1652325</t>
        </is>
      </c>
      <c r="AW413" t="inlineStr">
        <is>
          <t>991003855189702656</t>
        </is>
      </c>
      <c r="AX413" t="inlineStr">
        <is>
          <t>991003855189702656</t>
        </is>
      </c>
      <c r="AY413" t="inlineStr">
        <is>
          <t>2271778720002656</t>
        </is>
      </c>
      <c r="AZ413" t="inlineStr">
        <is>
          <t>BOOK</t>
        </is>
      </c>
      <c r="BC413" t="inlineStr">
        <is>
          <t>32285003032066</t>
        </is>
      </c>
      <c r="BD413" t="inlineStr">
        <is>
          <t>893781522</t>
        </is>
      </c>
    </row>
    <row r="414">
      <c r="A414" t="inlineStr">
        <is>
          <t>No</t>
        </is>
      </c>
      <c r="B414" t="inlineStr">
        <is>
          <t>P93.5 .F68 1997</t>
        </is>
      </c>
      <c r="C414" t="inlineStr">
        <is>
          <t>0                      P  0093500F  68          1997</t>
        </is>
      </c>
      <c r="D414" t="inlineStr">
        <is>
          <t>User-centred graphic design : mass communications and social change / Jorge Frascara ; with contributions by Bernd Meurer, Jan van Toorn and Dietmar Winkler, and a literature review by Zoe Strickler.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Frascara, Jorge.</t>
        </is>
      </c>
      <c r="L414" t="inlineStr">
        <is>
          <t>London ; Bristol, PA : Taylor &amp; Francis, c1997.</t>
        </is>
      </c>
      <c r="M414" t="inlineStr">
        <is>
          <t>1997</t>
        </is>
      </c>
      <c r="O414" t="inlineStr">
        <is>
          <t>eng</t>
        </is>
      </c>
      <c r="P414" t="inlineStr">
        <is>
          <t>enk</t>
        </is>
      </c>
      <c r="R414" t="inlineStr">
        <is>
          <t xml:space="preserve">P  </t>
        </is>
      </c>
      <c r="S414" t="n">
        <v>8</v>
      </c>
      <c r="T414" t="n">
        <v>8</v>
      </c>
      <c r="U414" t="inlineStr">
        <is>
          <t>2003-09-17</t>
        </is>
      </c>
      <c r="V414" t="inlineStr">
        <is>
          <t>2003-09-17</t>
        </is>
      </c>
      <c r="W414" t="inlineStr">
        <is>
          <t>1999-09-08</t>
        </is>
      </c>
      <c r="X414" t="inlineStr">
        <is>
          <t>1999-09-08</t>
        </is>
      </c>
      <c r="Y414" t="n">
        <v>217</v>
      </c>
      <c r="Z414" t="n">
        <v>132</v>
      </c>
      <c r="AA414" t="n">
        <v>132</v>
      </c>
      <c r="AB414" t="n">
        <v>1</v>
      </c>
      <c r="AC414" t="n">
        <v>1</v>
      </c>
      <c r="AD414" t="n">
        <v>8</v>
      </c>
      <c r="AE414" t="n">
        <v>8</v>
      </c>
      <c r="AF414" t="n">
        <v>1</v>
      </c>
      <c r="AG414" t="n">
        <v>1</v>
      </c>
      <c r="AH414" t="n">
        <v>3</v>
      </c>
      <c r="AI414" t="n">
        <v>3</v>
      </c>
      <c r="AJ414" t="n">
        <v>5</v>
      </c>
      <c r="AK414" t="n">
        <v>5</v>
      </c>
      <c r="AL414" t="n">
        <v>0</v>
      </c>
      <c r="AM414" t="n">
        <v>0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HYPERLINK("https://creighton-primo.hosted.exlibrisgroup.com/primo-explore/search?tab=default_tab&amp;search_scope=EVERYTHING&amp;vid=01CRU&amp;lang=en_US&amp;offset=0&amp;query=any,contains,991005426999702656","Catalog Record")</f>
        <v/>
      </c>
      <c r="AT414">
        <f>HYPERLINK("http://www.worldcat.org/oclc/37557655","WorldCat Record")</f>
        <v/>
      </c>
      <c r="AU414" t="inlineStr">
        <is>
          <t>4495123571:eng</t>
        </is>
      </c>
      <c r="AV414" t="inlineStr">
        <is>
          <t>37557655</t>
        </is>
      </c>
      <c r="AW414" t="inlineStr">
        <is>
          <t>991005426999702656</t>
        </is>
      </c>
      <c r="AX414" t="inlineStr">
        <is>
          <t>991005426999702656</t>
        </is>
      </c>
      <c r="AY414" t="inlineStr">
        <is>
          <t>2258455820002656</t>
        </is>
      </c>
      <c r="AZ414" t="inlineStr">
        <is>
          <t>BOOK</t>
        </is>
      </c>
      <c r="BB414" t="inlineStr">
        <is>
          <t>9780748401420</t>
        </is>
      </c>
      <c r="BC414" t="inlineStr">
        <is>
          <t>32285003586913</t>
        </is>
      </c>
      <c r="BD414" t="inlineStr">
        <is>
          <t>893242733</t>
        </is>
      </c>
    </row>
    <row r="415">
      <c r="A415" t="inlineStr">
        <is>
          <t>No</t>
        </is>
      </c>
      <c r="B415" t="inlineStr">
        <is>
          <t>P94 .A44 2004</t>
        </is>
      </c>
      <c r="C415" t="inlineStr">
        <is>
          <t>0                      P  0094000A  44          2004</t>
        </is>
      </c>
      <c r="D415" t="inlineStr">
        <is>
          <t>Media ethics and social change / Valerie Alia.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Alia, Valerie, 1942-</t>
        </is>
      </c>
      <c r="L415" t="inlineStr">
        <is>
          <t>New York : Routledge, 2004.</t>
        </is>
      </c>
      <c r="M415" t="inlineStr">
        <is>
          <t>2004</t>
        </is>
      </c>
      <c r="O415" t="inlineStr">
        <is>
          <t>eng</t>
        </is>
      </c>
      <c r="P415" t="inlineStr">
        <is>
          <t>nyu</t>
        </is>
      </c>
      <c r="R415" t="inlineStr">
        <is>
          <t xml:space="preserve">P  </t>
        </is>
      </c>
      <c r="S415" t="n">
        <v>2</v>
      </c>
      <c r="T415" t="n">
        <v>2</v>
      </c>
      <c r="U415" t="inlineStr">
        <is>
          <t>2010-04-09</t>
        </is>
      </c>
      <c r="V415" t="inlineStr">
        <is>
          <t>2010-04-09</t>
        </is>
      </c>
      <c r="W415" t="inlineStr">
        <is>
          <t>2005-08-09</t>
        </is>
      </c>
      <c r="X415" t="inlineStr">
        <is>
          <t>2005-08-09</t>
        </is>
      </c>
      <c r="Y415" t="n">
        <v>126</v>
      </c>
      <c r="Z415" t="n">
        <v>86</v>
      </c>
      <c r="AA415" t="n">
        <v>311</v>
      </c>
      <c r="AB415" t="n">
        <v>2</v>
      </c>
      <c r="AC415" t="n">
        <v>2</v>
      </c>
      <c r="AD415" t="n">
        <v>4</v>
      </c>
      <c r="AE415" t="n">
        <v>18</v>
      </c>
      <c r="AF415" t="n">
        <v>2</v>
      </c>
      <c r="AG415" t="n">
        <v>8</v>
      </c>
      <c r="AH415" t="n">
        <v>1</v>
      </c>
      <c r="AI415" t="n">
        <v>5</v>
      </c>
      <c r="AJ415" t="n">
        <v>1</v>
      </c>
      <c r="AK415" t="n">
        <v>10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HYPERLINK("https://creighton-primo.hosted.exlibrisgroup.com/primo-explore/search?tab=default_tab&amp;search_scope=EVERYTHING&amp;vid=01CRU&amp;lang=en_US&amp;offset=0&amp;query=any,contains,991004611609702656","Catalog Record")</f>
        <v/>
      </c>
      <c r="AT415">
        <f>HYPERLINK("http://www.worldcat.org/oclc/55736781","WorldCat Record")</f>
        <v/>
      </c>
      <c r="AU415" t="inlineStr">
        <is>
          <t>1016427:eng</t>
        </is>
      </c>
      <c r="AV415" t="inlineStr">
        <is>
          <t>55736781</t>
        </is>
      </c>
      <c r="AW415" t="inlineStr">
        <is>
          <t>991004611609702656</t>
        </is>
      </c>
      <c r="AX415" t="inlineStr">
        <is>
          <t>991004611609702656</t>
        </is>
      </c>
      <c r="AY415" t="inlineStr">
        <is>
          <t>2259112760002656</t>
        </is>
      </c>
      <c r="AZ415" t="inlineStr">
        <is>
          <t>BOOK</t>
        </is>
      </c>
      <c r="BB415" t="inlineStr">
        <is>
          <t>9780415971980</t>
        </is>
      </c>
      <c r="BC415" t="inlineStr">
        <is>
          <t>32285005080261</t>
        </is>
      </c>
      <c r="BD415" t="inlineStr">
        <is>
          <t>893513459</t>
        </is>
      </c>
    </row>
    <row r="416">
      <c r="A416" t="inlineStr">
        <is>
          <t>No</t>
        </is>
      </c>
      <c r="B416" t="inlineStr">
        <is>
          <t>P94 .B45 2004</t>
        </is>
      </c>
      <c r="C416" t="inlineStr">
        <is>
          <t>0                      P  0094000B  45          2004</t>
        </is>
      </c>
      <c r="D416" t="inlineStr">
        <is>
          <t>Belief in media : cultural perspectives on media and Christianity / edited by Peter Horsfield, Mary E. Hess, Adán M. Medrano.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Aldershot, Hants, England ; Burlington, VT : Ashgate , c2004.</t>
        </is>
      </c>
      <c r="M416" t="inlineStr">
        <is>
          <t>2004</t>
        </is>
      </c>
      <c r="O416" t="inlineStr">
        <is>
          <t>eng</t>
        </is>
      </c>
      <c r="P416" t="inlineStr">
        <is>
          <t>enk</t>
        </is>
      </c>
      <c r="R416" t="inlineStr">
        <is>
          <t xml:space="preserve">P  </t>
        </is>
      </c>
      <c r="S416" t="n">
        <v>2</v>
      </c>
      <c r="T416" t="n">
        <v>2</v>
      </c>
      <c r="U416" t="inlineStr">
        <is>
          <t>2006-09-26</t>
        </is>
      </c>
      <c r="V416" t="inlineStr">
        <is>
          <t>2006-09-26</t>
        </is>
      </c>
      <c r="W416" t="inlineStr">
        <is>
          <t>2005-08-25</t>
        </is>
      </c>
      <c r="X416" t="inlineStr">
        <is>
          <t>2005-08-25</t>
        </is>
      </c>
      <c r="Y416" t="n">
        <v>314</v>
      </c>
      <c r="Z416" t="n">
        <v>224</v>
      </c>
      <c r="AA416" t="n">
        <v>239</v>
      </c>
      <c r="AB416" t="n">
        <v>2</v>
      </c>
      <c r="AC416" t="n">
        <v>2</v>
      </c>
      <c r="AD416" t="n">
        <v>20</v>
      </c>
      <c r="AE416" t="n">
        <v>20</v>
      </c>
      <c r="AF416" t="n">
        <v>8</v>
      </c>
      <c r="AG416" t="n">
        <v>8</v>
      </c>
      <c r="AH416" t="n">
        <v>5</v>
      </c>
      <c r="AI416" t="n">
        <v>5</v>
      </c>
      <c r="AJ416" t="n">
        <v>10</v>
      </c>
      <c r="AK416" t="n">
        <v>10</v>
      </c>
      <c r="AL416" t="n">
        <v>1</v>
      </c>
      <c r="AM416" t="n">
        <v>1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HYPERLINK("http://catalog.hathitrust.org/Record/004945767","HathiTrust Record")</f>
        <v/>
      </c>
      <c r="AS416">
        <f>HYPERLINK("https://creighton-primo.hosted.exlibrisgroup.com/primo-explore/search?tab=default_tab&amp;search_scope=EVERYTHING&amp;vid=01CRU&amp;lang=en_US&amp;offset=0&amp;query=any,contains,991004611449702656","Catalog Record")</f>
        <v/>
      </c>
      <c r="AT416">
        <f>HYPERLINK("http://www.worldcat.org/oclc/54822553","WorldCat Record")</f>
        <v/>
      </c>
      <c r="AU416" t="inlineStr">
        <is>
          <t>354446309:eng</t>
        </is>
      </c>
      <c r="AV416" t="inlineStr">
        <is>
          <t>54822553</t>
        </is>
      </c>
      <c r="AW416" t="inlineStr">
        <is>
          <t>991004611449702656</t>
        </is>
      </c>
      <c r="AX416" t="inlineStr">
        <is>
          <t>991004611449702656</t>
        </is>
      </c>
      <c r="AY416" t="inlineStr">
        <is>
          <t>2261249160002656</t>
        </is>
      </c>
      <c r="AZ416" t="inlineStr">
        <is>
          <t>BOOK</t>
        </is>
      </c>
      <c r="BB416" t="inlineStr">
        <is>
          <t>9780754638308</t>
        </is>
      </c>
      <c r="BC416" t="inlineStr">
        <is>
          <t>32285005082275</t>
        </is>
      </c>
      <c r="BD416" t="inlineStr">
        <is>
          <t>893344043</t>
        </is>
      </c>
    </row>
    <row r="417">
      <c r="A417" t="inlineStr">
        <is>
          <t>No</t>
        </is>
      </c>
      <c r="B417" t="inlineStr">
        <is>
          <t>P94 .B84 1996</t>
        </is>
      </c>
      <c r="C417" t="inlineStr">
        <is>
          <t>0                      P  0094000B  84          1996</t>
        </is>
      </c>
      <c r="D417" t="inlineStr">
        <is>
          <t>Living ethics : developing values in mass communication / Michael J. Bugeja.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Bugeja, Michael J.</t>
        </is>
      </c>
      <c r="L417" t="inlineStr">
        <is>
          <t>Boston, Mass. : Allyn and Bacon, c1996.</t>
        </is>
      </c>
      <c r="M417" t="inlineStr">
        <is>
          <t>1996</t>
        </is>
      </c>
      <c r="O417" t="inlineStr">
        <is>
          <t>eng</t>
        </is>
      </c>
      <c r="P417" t="inlineStr">
        <is>
          <t>mau</t>
        </is>
      </c>
      <c r="R417" t="inlineStr">
        <is>
          <t xml:space="preserve">P  </t>
        </is>
      </c>
      <c r="S417" t="n">
        <v>7</v>
      </c>
      <c r="T417" t="n">
        <v>7</v>
      </c>
      <c r="U417" t="inlineStr">
        <is>
          <t>2006-09-11</t>
        </is>
      </c>
      <c r="V417" t="inlineStr">
        <is>
          <t>2006-09-11</t>
        </is>
      </c>
      <c r="W417" t="inlineStr">
        <is>
          <t>1996-05-14</t>
        </is>
      </c>
      <c r="X417" t="inlineStr">
        <is>
          <t>1996-05-14</t>
        </is>
      </c>
      <c r="Y417" t="n">
        <v>210</v>
      </c>
      <c r="Z417" t="n">
        <v>157</v>
      </c>
      <c r="AA417" t="n">
        <v>161</v>
      </c>
      <c r="AB417" t="n">
        <v>2</v>
      </c>
      <c r="AC417" t="n">
        <v>2</v>
      </c>
      <c r="AD417" t="n">
        <v>11</v>
      </c>
      <c r="AE417" t="n">
        <v>11</v>
      </c>
      <c r="AF417" t="n">
        <v>3</v>
      </c>
      <c r="AG417" t="n">
        <v>3</v>
      </c>
      <c r="AH417" t="n">
        <v>3</v>
      </c>
      <c r="AI417" t="n">
        <v>3</v>
      </c>
      <c r="AJ417" t="n">
        <v>8</v>
      </c>
      <c r="AK417" t="n">
        <v>8</v>
      </c>
      <c r="AL417" t="n">
        <v>1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HYPERLINK("http://catalog.hathitrust.org/Record/003056689","HathiTrust Record")</f>
        <v/>
      </c>
      <c r="AS417">
        <f>HYPERLINK("https://creighton-primo.hosted.exlibrisgroup.com/primo-explore/search?tab=default_tab&amp;search_scope=EVERYTHING&amp;vid=01CRU&amp;lang=en_US&amp;offset=0&amp;query=any,contains,991002474099702656","Catalog Record")</f>
        <v/>
      </c>
      <c r="AT417">
        <f>HYPERLINK("http://www.worldcat.org/oclc/32204185","WorldCat Record")</f>
        <v/>
      </c>
      <c r="AU417" t="inlineStr">
        <is>
          <t>198330485:eng</t>
        </is>
      </c>
      <c r="AV417" t="inlineStr">
        <is>
          <t>32204185</t>
        </is>
      </c>
      <c r="AW417" t="inlineStr">
        <is>
          <t>991002474099702656</t>
        </is>
      </c>
      <c r="AX417" t="inlineStr">
        <is>
          <t>991002474099702656</t>
        </is>
      </c>
      <c r="AY417" t="inlineStr">
        <is>
          <t>2269001540002656</t>
        </is>
      </c>
      <c r="AZ417" t="inlineStr">
        <is>
          <t>BOOK</t>
        </is>
      </c>
      <c r="BB417" t="inlineStr">
        <is>
          <t>9780205173235</t>
        </is>
      </c>
      <c r="BC417" t="inlineStr">
        <is>
          <t>32285002167582</t>
        </is>
      </c>
      <c r="BD417" t="inlineStr">
        <is>
          <t>893873567</t>
        </is>
      </c>
    </row>
    <row r="418">
      <c r="A418" t="inlineStr">
        <is>
          <t>No</t>
        </is>
      </c>
      <c r="B418" t="inlineStr">
        <is>
          <t>P94 .C37 1989</t>
        </is>
      </c>
      <c r="C418" t="inlineStr">
        <is>
          <t>0                      P  0094000C  37          1989</t>
        </is>
      </c>
      <c r="D418" t="inlineStr">
        <is>
          <t>Criteria for ecumenical and inter-religious cooperation in communications.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Catholic Church. Pontificium Consilium de Communicationibus Socialibus.</t>
        </is>
      </c>
      <c r="L418" t="inlineStr">
        <is>
          <t>Vatican City : Pontifical Council for Social Communications ; [Washington, D.C. : United States Catholic Conference], 1989.</t>
        </is>
      </c>
      <c r="M418" t="inlineStr">
        <is>
          <t>1989</t>
        </is>
      </c>
      <c r="O418" t="inlineStr">
        <is>
          <t>eng</t>
        </is>
      </c>
      <c r="P418" t="inlineStr">
        <is>
          <t xml:space="preserve">vc </t>
        </is>
      </c>
      <c r="Q418" t="inlineStr">
        <is>
          <t>Publication / Office for Publishing and Promotion Services, United States Catholic Conference ; no. 318-3</t>
        </is>
      </c>
      <c r="R418" t="inlineStr">
        <is>
          <t xml:space="preserve">P  </t>
        </is>
      </c>
      <c r="S418" t="n">
        <v>4</v>
      </c>
      <c r="T418" t="n">
        <v>4</v>
      </c>
      <c r="U418" t="inlineStr">
        <is>
          <t>2010-04-09</t>
        </is>
      </c>
      <c r="V418" t="inlineStr">
        <is>
          <t>2010-04-09</t>
        </is>
      </c>
      <c r="W418" t="inlineStr">
        <is>
          <t>1990-02-26</t>
        </is>
      </c>
      <c r="X418" t="inlineStr">
        <is>
          <t>1990-02-26</t>
        </is>
      </c>
      <c r="Y418" t="n">
        <v>66</v>
      </c>
      <c r="Z418" t="n">
        <v>64</v>
      </c>
      <c r="AA418" t="n">
        <v>64</v>
      </c>
      <c r="AB418" t="n">
        <v>1</v>
      </c>
      <c r="AC418" t="n">
        <v>1</v>
      </c>
      <c r="AD418" t="n">
        <v>10</v>
      </c>
      <c r="AE418" t="n">
        <v>10</v>
      </c>
      <c r="AF418" t="n">
        <v>4</v>
      </c>
      <c r="AG418" t="n">
        <v>4</v>
      </c>
      <c r="AH418" t="n">
        <v>2</v>
      </c>
      <c r="AI418" t="n">
        <v>2</v>
      </c>
      <c r="AJ418" t="n">
        <v>8</v>
      </c>
      <c r="AK418" t="n">
        <v>8</v>
      </c>
      <c r="AL418" t="n">
        <v>0</v>
      </c>
      <c r="AM418" t="n">
        <v>0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HYPERLINK("https://creighton-primo.hosted.exlibrisgroup.com/primo-explore/search?tab=default_tab&amp;search_scope=EVERYTHING&amp;vid=01CRU&amp;lang=en_US&amp;offset=0&amp;query=any,contains,991001635699702656","Catalog Record")</f>
        <v/>
      </c>
      <c r="AT418">
        <f>HYPERLINK("http://www.worldcat.org/oclc/20957415","WorldCat Record")</f>
        <v/>
      </c>
      <c r="AU418" t="inlineStr">
        <is>
          <t>1928655685:eng</t>
        </is>
      </c>
      <c r="AV418" t="inlineStr">
        <is>
          <t>20957415</t>
        </is>
      </c>
      <c r="AW418" t="inlineStr">
        <is>
          <t>991001635699702656</t>
        </is>
      </c>
      <c r="AX418" t="inlineStr">
        <is>
          <t>991001635699702656</t>
        </is>
      </c>
      <c r="AY418" t="inlineStr">
        <is>
          <t>2258011420002656</t>
        </is>
      </c>
      <c r="AZ418" t="inlineStr">
        <is>
          <t>BOOK</t>
        </is>
      </c>
      <c r="BB418" t="inlineStr">
        <is>
          <t>9781555863180</t>
        </is>
      </c>
      <c r="BC418" t="inlineStr">
        <is>
          <t>32285000021252</t>
        </is>
      </c>
      <c r="BD418" t="inlineStr">
        <is>
          <t>893791579</t>
        </is>
      </c>
    </row>
    <row r="419">
      <c r="A419" t="inlineStr">
        <is>
          <t>No</t>
        </is>
      </c>
      <c r="B419" t="inlineStr">
        <is>
          <t>P94 .C56 2006</t>
        </is>
      </c>
      <c r="C419" t="inlineStr">
        <is>
          <t>0                      P  0094000C  56          2006</t>
        </is>
      </c>
      <c r="D419" t="inlineStr">
        <is>
          <t>Cable news confidential : my misadventures in corporate media / Jeff Cohen ; foreword by Jim Hightower.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Cohen, Jeff, 1951-</t>
        </is>
      </c>
      <c r="L419" t="inlineStr">
        <is>
          <t>Sausalito, CA : PoliPointPress, 2006.</t>
        </is>
      </c>
      <c r="M419" t="inlineStr">
        <is>
          <t>2006</t>
        </is>
      </c>
      <c r="O419" t="inlineStr">
        <is>
          <t>eng</t>
        </is>
      </c>
      <c r="P419" t="inlineStr">
        <is>
          <t>cau</t>
        </is>
      </c>
      <c r="R419" t="inlineStr">
        <is>
          <t xml:space="preserve">P  </t>
        </is>
      </c>
      <c r="S419" t="n">
        <v>2</v>
      </c>
      <c r="T419" t="n">
        <v>2</v>
      </c>
      <c r="U419" t="inlineStr">
        <is>
          <t>2007-09-12</t>
        </is>
      </c>
      <c r="V419" t="inlineStr">
        <is>
          <t>2007-09-12</t>
        </is>
      </c>
      <c r="W419" t="inlineStr">
        <is>
          <t>2007-08-29</t>
        </is>
      </c>
      <c r="X419" t="inlineStr">
        <is>
          <t>2007-08-29</t>
        </is>
      </c>
      <c r="Y419" t="n">
        <v>192</v>
      </c>
      <c r="Z419" t="n">
        <v>177</v>
      </c>
      <c r="AA419" t="n">
        <v>191</v>
      </c>
      <c r="AB419" t="n">
        <v>1</v>
      </c>
      <c r="AC419" t="n">
        <v>1</v>
      </c>
      <c r="AD419" t="n">
        <v>6</v>
      </c>
      <c r="AE419" t="n">
        <v>6</v>
      </c>
      <c r="AF419" t="n">
        <v>2</v>
      </c>
      <c r="AG419" t="n">
        <v>2</v>
      </c>
      <c r="AH419" t="n">
        <v>2</v>
      </c>
      <c r="AI419" t="n">
        <v>2</v>
      </c>
      <c r="AJ419" t="n">
        <v>4</v>
      </c>
      <c r="AK419" t="n">
        <v>4</v>
      </c>
      <c r="AL419" t="n">
        <v>0</v>
      </c>
      <c r="AM419" t="n">
        <v>0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HYPERLINK("https://creighton-primo.hosted.exlibrisgroup.com/primo-explore/search?tab=default_tab&amp;search_scope=EVERYTHING&amp;vid=01CRU&amp;lang=en_US&amp;offset=0&amp;query=any,contains,991005102489702656","Catalog Record")</f>
        <v/>
      </c>
      <c r="AT419">
        <f>HYPERLINK("http://www.worldcat.org/oclc/71321996","WorldCat Record")</f>
        <v/>
      </c>
      <c r="AU419" t="inlineStr">
        <is>
          <t>196639659:eng</t>
        </is>
      </c>
      <c r="AV419" t="inlineStr">
        <is>
          <t>71321996</t>
        </is>
      </c>
      <c r="AW419" t="inlineStr">
        <is>
          <t>991005102489702656</t>
        </is>
      </c>
      <c r="AX419" t="inlineStr">
        <is>
          <t>991005102489702656</t>
        </is>
      </c>
      <c r="AY419" t="inlineStr">
        <is>
          <t>2266534220002656</t>
        </is>
      </c>
      <c r="AZ419" t="inlineStr">
        <is>
          <t>BOOK</t>
        </is>
      </c>
      <c r="BB419" t="inlineStr">
        <is>
          <t>9780976062165</t>
        </is>
      </c>
      <c r="BC419" t="inlineStr">
        <is>
          <t>32285005323364</t>
        </is>
      </c>
      <c r="BD419" t="inlineStr">
        <is>
          <t>893606833</t>
        </is>
      </c>
    </row>
    <row r="420">
      <c r="A420" t="inlineStr">
        <is>
          <t>No</t>
        </is>
      </c>
      <c r="B420" t="inlineStr">
        <is>
          <t>P94 .C572 1997</t>
        </is>
      </c>
      <c r="C420" t="inlineStr">
        <is>
          <t>0                      P  0094000C  572         1997</t>
        </is>
      </c>
      <c r="D420" t="inlineStr">
        <is>
          <t>Communication ethics in an age of diversity / edited by Josina M. Makau and Ronald C. Arnett.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L420" t="inlineStr">
        <is>
          <t>Urbana : University of Illinois Press, c1997.</t>
        </is>
      </c>
      <c r="M420" t="inlineStr">
        <is>
          <t>1997</t>
        </is>
      </c>
      <c r="O420" t="inlineStr">
        <is>
          <t>eng</t>
        </is>
      </c>
      <c r="P420" t="inlineStr">
        <is>
          <t>ilu</t>
        </is>
      </c>
      <c r="R420" t="inlineStr">
        <is>
          <t xml:space="preserve">P  </t>
        </is>
      </c>
      <c r="S420" t="n">
        <v>4</v>
      </c>
      <c r="T420" t="n">
        <v>4</v>
      </c>
      <c r="U420" t="inlineStr">
        <is>
          <t>2005-10-24</t>
        </is>
      </c>
      <c r="V420" t="inlineStr">
        <is>
          <t>2005-10-24</t>
        </is>
      </c>
      <c r="W420" t="inlineStr">
        <is>
          <t>1997-03-12</t>
        </is>
      </c>
      <c r="X420" t="inlineStr">
        <is>
          <t>1997-03-12</t>
        </is>
      </c>
      <c r="Y420" t="n">
        <v>420</v>
      </c>
      <c r="Z420" t="n">
        <v>360</v>
      </c>
      <c r="AA420" t="n">
        <v>363</v>
      </c>
      <c r="AB420" t="n">
        <v>3</v>
      </c>
      <c r="AC420" t="n">
        <v>3</v>
      </c>
      <c r="AD420" t="n">
        <v>21</v>
      </c>
      <c r="AE420" t="n">
        <v>21</v>
      </c>
      <c r="AF420" t="n">
        <v>10</v>
      </c>
      <c r="AG420" t="n">
        <v>10</v>
      </c>
      <c r="AH420" t="n">
        <v>3</v>
      </c>
      <c r="AI420" t="n">
        <v>3</v>
      </c>
      <c r="AJ420" t="n">
        <v>13</v>
      </c>
      <c r="AK420" t="n">
        <v>13</v>
      </c>
      <c r="AL420" t="n">
        <v>2</v>
      </c>
      <c r="AM420" t="n">
        <v>2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HYPERLINK("https://creighton-primo.hosted.exlibrisgroup.com/primo-explore/search?tab=default_tab&amp;search_scope=EVERYTHING&amp;vid=01CRU&amp;lang=en_US&amp;offset=0&amp;query=any,contains,991002606009702656","Catalog Record")</f>
        <v/>
      </c>
      <c r="AT420">
        <f>HYPERLINK("http://www.worldcat.org/oclc/34149159","WorldCat Record")</f>
        <v/>
      </c>
      <c r="AU420" t="inlineStr">
        <is>
          <t>353770667:eng</t>
        </is>
      </c>
      <c r="AV420" t="inlineStr">
        <is>
          <t>34149159</t>
        </is>
      </c>
      <c r="AW420" t="inlineStr">
        <is>
          <t>991002606009702656</t>
        </is>
      </c>
      <c r="AX420" t="inlineStr">
        <is>
          <t>991002606009702656</t>
        </is>
      </c>
      <c r="AY420" t="inlineStr">
        <is>
          <t>2269760780002656</t>
        </is>
      </c>
      <c r="AZ420" t="inlineStr">
        <is>
          <t>BOOK</t>
        </is>
      </c>
      <c r="BB420" t="inlineStr">
        <is>
          <t>9780252022692</t>
        </is>
      </c>
      <c r="BC420" t="inlineStr">
        <is>
          <t>32285002441839</t>
        </is>
      </c>
      <c r="BD420" t="inlineStr">
        <is>
          <t>893627211</t>
        </is>
      </c>
    </row>
    <row r="421">
      <c r="A421" t="inlineStr">
        <is>
          <t>No</t>
        </is>
      </c>
      <c r="B421" t="inlineStr">
        <is>
          <t>P94 .E53 2002</t>
        </is>
      </c>
      <c r="C421" t="inlineStr">
        <is>
          <t>0                      P  0094000E  53          2002</t>
        </is>
      </c>
      <c r="D421" t="inlineStr">
        <is>
          <t>Media and ethics : principles for moral decisions / Elaine E. Englehardt, Ralph D. Barney ; under the general editorship of Robert C. Solomon.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Englehardt, Elaine E.</t>
        </is>
      </c>
      <c r="L421" t="inlineStr">
        <is>
          <t>[United States] : Wadsworth Thomson Learning, c2002.</t>
        </is>
      </c>
      <c r="M421" t="inlineStr">
        <is>
          <t>2002</t>
        </is>
      </c>
      <c r="O421" t="inlineStr">
        <is>
          <t>eng</t>
        </is>
      </c>
      <c r="P421" t="inlineStr">
        <is>
          <t>xxu</t>
        </is>
      </c>
      <c r="Q421" t="inlineStr">
        <is>
          <t>The Wadsworth communication ethics series</t>
        </is>
      </c>
      <c r="R421" t="inlineStr">
        <is>
          <t xml:space="preserve">P  </t>
        </is>
      </c>
      <c r="S421" t="n">
        <v>2</v>
      </c>
      <c r="T421" t="n">
        <v>2</v>
      </c>
      <c r="U421" t="inlineStr">
        <is>
          <t>2009-10-12</t>
        </is>
      </c>
      <c r="V421" t="inlineStr">
        <is>
          <t>2009-10-12</t>
        </is>
      </c>
      <c r="W421" t="inlineStr">
        <is>
          <t>2002-12-05</t>
        </is>
      </c>
      <c r="X421" t="inlineStr">
        <is>
          <t>2002-12-05</t>
        </is>
      </c>
      <c r="Y421" t="n">
        <v>138</v>
      </c>
      <c r="Z421" t="n">
        <v>89</v>
      </c>
      <c r="AA421" t="n">
        <v>89</v>
      </c>
      <c r="AB421" t="n">
        <v>2</v>
      </c>
      <c r="AC421" t="n">
        <v>2</v>
      </c>
      <c r="AD421" t="n">
        <v>5</v>
      </c>
      <c r="AE421" t="n">
        <v>5</v>
      </c>
      <c r="AF421" t="n">
        <v>2</v>
      </c>
      <c r="AG421" t="n">
        <v>2</v>
      </c>
      <c r="AH421" t="n">
        <v>1</v>
      </c>
      <c r="AI421" t="n">
        <v>1</v>
      </c>
      <c r="AJ421" t="n">
        <v>3</v>
      </c>
      <c r="AK421" t="n">
        <v>3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HYPERLINK("https://creighton-primo.hosted.exlibrisgroup.com/primo-explore/search?tab=default_tab&amp;search_scope=EVERYTHING&amp;vid=01CRU&amp;lang=en_US&amp;offset=0&amp;query=any,contains,991003928209702656","Catalog Record")</f>
        <v/>
      </c>
      <c r="AT421">
        <f>HYPERLINK("http://www.worldcat.org/oclc/48383639","WorldCat Record")</f>
        <v/>
      </c>
      <c r="AU421" t="inlineStr">
        <is>
          <t>812571048:eng</t>
        </is>
      </c>
      <c r="AV421" t="inlineStr">
        <is>
          <t>48383639</t>
        </is>
      </c>
      <c r="AW421" t="inlineStr">
        <is>
          <t>991003928209702656</t>
        </is>
      </c>
      <c r="AX421" t="inlineStr">
        <is>
          <t>991003928209702656</t>
        </is>
      </c>
      <c r="AY421" t="inlineStr">
        <is>
          <t>2271727600002656</t>
        </is>
      </c>
      <c r="AZ421" t="inlineStr">
        <is>
          <t>BOOK</t>
        </is>
      </c>
      <c r="BB421" t="inlineStr">
        <is>
          <t>9780155082564</t>
        </is>
      </c>
      <c r="BC421" t="inlineStr">
        <is>
          <t>32285004668439</t>
        </is>
      </c>
      <c r="BD421" t="inlineStr">
        <is>
          <t>893624141</t>
        </is>
      </c>
    </row>
    <row r="422">
      <c r="A422" t="inlineStr">
        <is>
          <t>No</t>
        </is>
      </c>
      <c r="B422" t="inlineStr">
        <is>
          <t>P94 .E74 2001</t>
        </is>
      </c>
      <c r="C422" t="inlineStr">
        <is>
          <t>0                      P  0094000E  74          2001</t>
        </is>
      </c>
      <c r="D422" t="inlineStr">
        <is>
          <t>Essays on communication &amp; spirituality : contributions to a new discourse on communication / edited by Amardo Rodriguez.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Lanham, Md. : University Press of America, c2001.</t>
        </is>
      </c>
      <c r="M422" t="inlineStr">
        <is>
          <t>2001</t>
        </is>
      </c>
      <c r="O422" t="inlineStr">
        <is>
          <t>eng</t>
        </is>
      </c>
      <c r="P422" t="inlineStr">
        <is>
          <t>mdu</t>
        </is>
      </c>
      <c r="R422" t="inlineStr">
        <is>
          <t xml:space="preserve">P  </t>
        </is>
      </c>
      <c r="S422" t="n">
        <v>2</v>
      </c>
      <c r="T422" t="n">
        <v>2</v>
      </c>
      <c r="U422" t="inlineStr">
        <is>
          <t>2010-04-09</t>
        </is>
      </c>
      <c r="V422" t="inlineStr">
        <is>
          <t>2010-04-09</t>
        </is>
      </c>
      <c r="W422" t="inlineStr">
        <is>
          <t>2005-04-18</t>
        </is>
      </c>
      <c r="X422" t="inlineStr">
        <is>
          <t>2005-04-18</t>
        </is>
      </c>
      <c r="Y422" t="n">
        <v>109</v>
      </c>
      <c r="Z422" t="n">
        <v>99</v>
      </c>
      <c r="AA422" t="n">
        <v>101</v>
      </c>
      <c r="AB422" t="n">
        <v>1</v>
      </c>
      <c r="AC422" t="n">
        <v>1</v>
      </c>
      <c r="AD422" t="n">
        <v>6</v>
      </c>
      <c r="AE422" t="n">
        <v>6</v>
      </c>
      <c r="AF422" t="n">
        <v>3</v>
      </c>
      <c r="AG422" t="n">
        <v>3</v>
      </c>
      <c r="AH422" t="n">
        <v>1</v>
      </c>
      <c r="AI422" t="n">
        <v>1</v>
      </c>
      <c r="AJ422" t="n">
        <v>4</v>
      </c>
      <c r="AK422" t="n">
        <v>4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HYPERLINK("http://catalog.hathitrust.org/Record/102379574","HathiTrust Record")</f>
        <v/>
      </c>
      <c r="AS422">
        <f>HYPERLINK("https://creighton-primo.hosted.exlibrisgroup.com/primo-explore/search?tab=default_tab&amp;search_scope=EVERYTHING&amp;vid=01CRU&amp;lang=en_US&amp;offset=0&amp;query=any,contains,991004520449702656","Catalog Record")</f>
        <v/>
      </c>
      <c r="AT422">
        <f>HYPERLINK("http://www.worldcat.org/oclc/47216467","WorldCat Record")</f>
        <v/>
      </c>
      <c r="AU422" t="inlineStr">
        <is>
          <t>36188053:eng</t>
        </is>
      </c>
      <c r="AV422" t="inlineStr">
        <is>
          <t>47216467</t>
        </is>
      </c>
      <c r="AW422" t="inlineStr">
        <is>
          <t>991004520449702656</t>
        </is>
      </c>
      <c r="AX422" t="inlineStr">
        <is>
          <t>991004520449702656</t>
        </is>
      </c>
      <c r="AY422" t="inlineStr">
        <is>
          <t>2255782740002656</t>
        </is>
      </c>
      <c r="AZ422" t="inlineStr">
        <is>
          <t>BOOK</t>
        </is>
      </c>
      <c r="BB422" t="inlineStr">
        <is>
          <t>9780761820796</t>
        </is>
      </c>
      <c r="BC422" t="inlineStr">
        <is>
          <t>32285005031249</t>
        </is>
      </c>
      <c r="BD422" t="inlineStr">
        <is>
          <t>893776114</t>
        </is>
      </c>
    </row>
    <row r="423">
      <c r="A423" t="inlineStr">
        <is>
          <t>No</t>
        </is>
      </c>
      <c r="B423" t="inlineStr">
        <is>
          <t>P94 .E8</t>
        </is>
      </c>
      <c r="C423" t="inlineStr">
        <is>
          <t>0                      P  0094000E  8</t>
        </is>
      </c>
      <c r="D423" t="inlineStr">
        <is>
          <t>Ethics, morality, and the media : reflections on American culture / compiled and edited by Lee Thayer, with the assistance of Richard Johannesen and Hanno Hardt.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New York : Hastings House, c1980.</t>
        </is>
      </c>
      <c r="M423" t="inlineStr">
        <is>
          <t>1979</t>
        </is>
      </c>
      <c r="O423" t="inlineStr">
        <is>
          <t>eng</t>
        </is>
      </c>
      <c r="P423" t="inlineStr">
        <is>
          <t>nyu</t>
        </is>
      </c>
      <c r="Q423" t="inlineStr">
        <is>
          <t>Communications arts books</t>
        </is>
      </c>
      <c r="R423" t="inlineStr">
        <is>
          <t xml:space="preserve">P  </t>
        </is>
      </c>
      <c r="S423" t="n">
        <v>11</v>
      </c>
      <c r="T423" t="n">
        <v>11</v>
      </c>
      <c r="U423" t="inlineStr">
        <is>
          <t>2009-12-17</t>
        </is>
      </c>
      <c r="V423" t="inlineStr">
        <is>
          <t>2009-12-17</t>
        </is>
      </c>
      <c r="W423" t="inlineStr">
        <is>
          <t>1993-03-31</t>
        </is>
      </c>
      <c r="X423" t="inlineStr">
        <is>
          <t>1993-03-31</t>
        </is>
      </c>
      <c r="Y423" t="n">
        <v>538</v>
      </c>
      <c r="Z423" t="n">
        <v>489</v>
      </c>
      <c r="AA423" t="n">
        <v>509</v>
      </c>
      <c r="AB423" t="n">
        <v>3</v>
      </c>
      <c r="AC423" t="n">
        <v>3</v>
      </c>
      <c r="AD423" t="n">
        <v>30</v>
      </c>
      <c r="AE423" t="n">
        <v>30</v>
      </c>
      <c r="AF423" t="n">
        <v>16</v>
      </c>
      <c r="AG423" t="n">
        <v>16</v>
      </c>
      <c r="AH423" t="n">
        <v>3</v>
      </c>
      <c r="AI423" t="n">
        <v>3</v>
      </c>
      <c r="AJ423" t="n">
        <v>14</v>
      </c>
      <c r="AK423" t="n">
        <v>14</v>
      </c>
      <c r="AL423" t="n">
        <v>2</v>
      </c>
      <c r="AM423" t="n">
        <v>2</v>
      </c>
      <c r="AN423" t="n">
        <v>1</v>
      </c>
      <c r="AO423" t="n">
        <v>1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HYPERLINK("http://catalog.hathitrust.org/Record/000683691","HathiTrust Record")</f>
        <v/>
      </c>
      <c r="AS423">
        <f>HYPERLINK("https://creighton-primo.hosted.exlibrisgroup.com/primo-explore/search?tab=default_tab&amp;search_scope=EVERYTHING&amp;vid=01CRU&amp;lang=en_US&amp;offset=0&amp;query=any,contains,991004802389702656","Catalog Record")</f>
        <v/>
      </c>
      <c r="AT423">
        <f>HYPERLINK("http://www.worldcat.org/oclc/5219676","WorldCat Record")</f>
        <v/>
      </c>
      <c r="AU423" t="inlineStr">
        <is>
          <t>864416889:eng</t>
        </is>
      </c>
      <c r="AV423" t="inlineStr">
        <is>
          <t>5219676</t>
        </is>
      </c>
      <c r="AW423" t="inlineStr">
        <is>
          <t>991004802389702656</t>
        </is>
      </c>
      <c r="AX423" t="inlineStr">
        <is>
          <t>991004802389702656</t>
        </is>
      </c>
      <c r="AY423" t="inlineStr">
        <is>
          <t>2268339040002656</t>
        </is>
      </c>
      <c r="AZ423" t="inlineStr">
        <is>
          <t>BOOK</t>
        </is>
      </c>
      <c r="BB423" t="inlineStr">
        <is>
          <t>9780803819573</t>
        </is>
      </c>
      <c r="BC423" t="inlineStr">
        <is>
          <t>32285001612323</t>
        </is>
      </c>
      <c r="BD423" t="inlineStr">
        <is>
          <t>893807498</t>
        </is>
      </c>
    </row>
    <row r="424">
      <c r="A424" t="inlineStr">
        <is>
          <t>No</t>
        </is>
      </c>
      <c r="B424" t="inlineStr">
        <is>
          <t>P94 .F48 1988</t>
        </is>
      </c>
      <c r="C424" t="inlineStr">
        <is>
          <t>0                      P  0094000F  48          1988</t>
        </is>
      </c>
      <c r="D424" t="inlineStr">
        <is>
          <t>Media ethics : in the newsroom and beyond / Conrad C. Fink.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Fink, Conrad C.</t>
        </is>
      </c>
      <c r="L424" t="inlineStr">
        <is>
          <t>New York : McGraw-Hill, c1988.</t>
        </is>
      </c>
      <c r="M424" t="inlineStr">
        <is>
          <t>1988</t>
        </is>
      </c>
      <c r="O424" t="inlineStr">
        <is>
          <t>eng</t>
        </is>
      </c>
      <c r="P424" t="inlineStr">
        <is>
          <t>nyu</t>
        </is>
      </c>
      <c r="Q424" t="inlineStr">
        <is>
          <t>McGraw-Hill series in mass communication</t>
        </is>
      </c>
      <c r="R424" t="inlineStr">
        <is>
          <t xml:space="preserve">P  </t>
        </is>
      </c>
      <c r="S424" t="n">
        <v>13</v>
      </c>
      <c r="T424" t="n">
        <v>13</v>
      </c>
      <c r="U424" t="inlineStr">
        <is>
          <t>2000-11-15</t>
        </is>
      </c>
      <c r="V424" t="inlineStr">
        <is>
          <t>2000-11-15</t>
        </is>
      </c>
      <c r="W424" t="inlineStr">
        <is>
          <t>1993-03-31</t>
        </is>
      </c>
      <c r="X424" t="inlineStr">
        <is>
          <t>1993-03-31</t>
        </is>
      </c>
      <c r="Y424" t="n">
        <v>343</v>
      </c>
      <c r="Z424" t="n">
        <v>260</v>
      </c>
      <c r="AA424" t="n">
        <v>337</v>
      </c>
      <c r="AB424" t="n">
        <v>3</v>
      </c>
      <c r="AC424" t="n">
        <v>3</v>
      </c>
      <c r="AD424" t="n">
        <v>17</v>
      </c>
      <c r="AE424" t="n">
        <v>23</v>
      </c>
      <c r="AF424" t="n">
        <v>7</v>
      </c>
      <c r="AG424" t="n">
        <v>10</v>
      </c>
      <c r="AH424" t="n">
        <v>3</v>
      </c>
      <c r="AI424" t="n">
        <v>5</v>
      </c>
      <c r="AJ424" t="n">
        <v>11</v>
      </c>
      <c r="AK424" t="n">
        <v>12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HYPERLINK("http://catalog.hathitrust.org/Record/002429986","HathiTrust Record")</f>
        <v/>
      </c>
      <c r="AS424">
        <f>HYPERLINK("https://creighton-primo.hosted.exlibrisgroup.com/primo-explore/search?tab=default_tab&amp;search_scope=EVERYTHING&amp;vid=01CRU&amp;lang=en_US&amp;offset=0&amp;query=any,contains,991001112129702656","Catalog Record")</f>
        <v/>
      </c>
      <c r="AT424">
        <f>HYPERLINK("http://www.worldcat.org/oclc/16471156","WorldCat Record")</f>
        <v/>
      </c>
      <c r="AU424" t="inlineStr">
        <is>
          <t>347371825:eng</t>
        </is>
      </c>
      <c r="AV424" t="inlineStr">
        <is>
          <t>16471156</t>
        </is>
      </c>
      <c r="AW424" t="inlineStr">
        <is>
          <t>991001112129702656</t>
        </is>
      </c>
      <c r="AX424" t="inlineStr">
        <is>
          <t>991001112129702656</t>
        </is>
      </c>
      <c r="AY424" t="inlineStr">
        <is>
          <t>2265686190002656</t>
        </is>
      </c>
      <c r="AZ424" t="inlineStr">
        <is>
          <t>BOOK</t>
        </is>
      </c>
      <c r="BB424" t="inlineStr">
        <is>
          <t>9780070209763</t>
        </is>
      </c>
      <c r="BC424" t="inlineStr">
        <is>
          <t>32285001612331</t>
        </is>
      </c>
      <c r="BD424" t="inlineStr">
        <is>
          <t>893327880</t>
        </is>
      </c>
    </row>
    <row r="425">
      <c r="A425" t="inlineStr">
        <is>
          <t>No</t>
        </is>
      </c>
      <c r="B425" t="inlineStr">
        <is>
          <t>P94 .G67 1999</t>
        </is>
      </c>
      <c r="C425" t="inlineStr">
        <is>
          <t>0                      P  0094000G  67          1999</t>
        </is>
      </c>
      <c r="D425" t="inlineStr">
        <is>
          <t>Controversies in media ethics / A. David Gordon, John Michael Kittross ; overview and commentary by John C. Merrill ; contributions by Carol Reuss.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Gordon, David, 1935-</t>
        </is>
      </c>
      <c r="L425" t="inlineStr">
        <is>
          <t>New York : Longman, c1999.</t>
        </is>
      </c>
      <c r="M425" t="inlineStr">
        <is>
          <t>1999</t>
        </is>
      </c>
      <c r="N425" t="inlineStr">
        <is>
          <t>2nd ed.</t>
        </is>
      </c>
      <c r="O425" t="inlineStr">
        <is>
          <t>eng</t>
        </is>
      </c>
      <c r="P425" t="inlineStr">
        <is>
          <t>nyu</t>
        </is>
      </c>
      <c r="R425" t="inlineStr">
        <is>
          <t xml:space="preserve">P  </t>
        </is>
      </c>
      <c r="S425" t="n">
        <v>35</v>
      </c>
      <c r="T425" t="n">
        <v>35</v>
      </c>
      <c r="U425" t="inlineStr">
        <is>
          <t>2004-12-09</t>
        </is>
      </c>
      <c r="V425" t="inlineStr">
        <is>
          <t>2004-12-09</t>
        </is>
      </c>
      <c r="W425" t="inlineStr">
        <is>
          <t>1998-12-08</t>
        </is>
      </c>
      <c r="X425" t="inlineStr">
        <is>
          <t>1998-12-08</t>
        </is>
      </c>
      <c r="Y425" t="n">
        <v>323</v>
      </c>
      <c r="Z425" t="n">
        <v>216</v>
      </c>
      <c r="AA425" t="n">
        <v>683</v>
      </c>
      <c r="AB425" t="n">
        <v>4</v>
      </c>
      <c r="AC425" t="n">
        <v>8</v>
      </c>
      <c r="AD425" t="n">
        <v>13</v>
      </c>
      <c r="AE425" t="n">
        <v>40</v>
      </c>
      <c r="AF425" t="n">
        <v>2</v>
      </c>
      <c r="AG425" t="n">
        <v>14</v>
      </c>
      <c r="AH425" t="n">
        <v>4</v>
      </c>
      <c r="AI425" t="n">
        <v>9</v>
      </c>
      <c r="AJ425" t="n">
        <v>6</v>
      </c>
      <c r="AK425" t="n">
        <v>16</v>
      </c>
      <c r="AL425" t="n">
        <v>3</v>
      </c>
      <c r="AM425" t="n">
        <v>7</v>
      </c>
      <c r="AN425" t="n">
        <v>1</v>
      </c>
      <c r="AO425" t="n">
        <v>2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HYPERLINK("https://creighton-primo.hosted.exlibrisgroup.com/primo-explore/search?tab=default_tab&amp;search_scope=EVERYTHING&amp;vid=01CRU&amp;lang=en_US&amp;offset=0&amp;query=any,contains,991002930089702656","Catalog Record")</f>
        <v/>
      </c>
      <c r="AT425">
        <f>HYPERLINK("http://www.worldcat.org/oclc/38959743","WorldCat Record")</f>
        <v/>
      </c>
      <c r="AU425" t="inlineStr">
        <is>
          <t>37135648:eng</t>
        </is>
      </c>
      <c r="AV425" t="inlineStr">
        <is>
          <t>38959743</t>
        </is>
      </c>
      <c r="AW425" t="inlineStr">
        <is>
          <t>991002930089702656</t>
        </is>
      </c>
      <c r="AX425" t="inlineStr">
        <is>
          <t>991002930089702656</t>
        </is>
      </c>
      <c r="AY425" t="inlineStr">
        <is>
          <t>2262185050002656</t>
        </is>
      </c>
      <c r="AZ425" t="inlineStr">
        <is>
          <t>BOOK</t>
        </is>
      </c>
      <c r="BB425" t="inlineStr">
        <is>
          <t>9780801330254</t>
        </is>
      </c>
      <c r="BC425" t="inlineStr">
        <is>
          <t>32285003494472</t>
        </is>
      </c>
      <c r="BD425" t="inlineStr">
        <is>
          <t>893886917</t>
        </is>
      </c>
    </row>
    <row r="426">
      <c r="A426" t="inlineStr">
        <is>
          <t>No</t>
        </is>
      </c>
      <c r="B426" t="inlineStr">
        <is>
          <t>P94 .H65 2000</t>
        </is>
      </c>
      <c r="C426" t="inlineStr">
        <is>
          <t>0                      P  0094000H  65          2000</t>
        </is>
      </c>
      <c r="D426" t="inlineStr">
        <is>
          <t>Holding the media accountable : citizens, ethics, and the law / edited by David Pritchard.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Bloomington : Indiana University Press, c2000.</t>
        </is>
      </c>
      <c r="M426" t="inlineStr">
        <is>
          <t>2000</t>
        </is>
      </c>
      <c r="O426" t="inlineStr">
        <is>
          <t>eng</t>
        </is>
      </c>
      <c r="P426" t="inlineStr">
        <is>
          <t>inu</t>
        </is>
      </c>
      <c r="R426" t="inlineStr">
        <is>
          <t xml:space="preserve">P  </t>
        </is>
      </c>
      <c r="S426" t="n">
        <v>7</v>
      </c>
      <c r="T426" t="n">
        <v>7</v>
      </c>
      <c r="U426" t="inlineStr">
        <is>
          <t>2009-04-24</t>
        </is>
      </c>
      <c r="V426" t="inlineStr">
        <is>
          <t>2009-04-24</t>
        </is>
      </c>
      <c r="W426" t="inlineStr">
        <is>
          <t>2001-09-05</t>
        </is>
      </c>
      <c r="X426" t="inlineStr">
        <is>
          <t>2001-09-05</t>
        </is>
      </c>
      <c r="Y426" t="n">
        <v>640</v>
      </c>
      <c r="Z426" t="n">
        <v>536</v>
      </c>
      <c r="AA426" t="n">
        <v>543</v>
      </c>
      <c r="AB426" t="n">
        <v>4</v>
      </c>
      <c r="AC426" t="n">
        <v>4</v>
      </c>
      <c r="AD426" t="n">
        <v>31</v>
      </c>
      <c r="AE426" t="n">
        <v>31</v>
      </c>
      <c r="AF426" t="n">
        <v>10</v>
      </c>
      <c r="AG426" t="n">
        <v>10</v>
      </c>
      <c r="AH426" t="n">
        <v>4</v>
      </c>
      <c r="AI426" t="n">
        <v>4</v>
      </c>
      <c r="AJ426" t="n">
        <v>13</v>
      </c>
      <c r="AK426" t="n">
        <v>13</v>
      </c>
      <c r="AL426" t="n">
        <v>3</v>
      </c>
      <c r="AM426" t="n">
        <v>3</v>
      </c>
      <c r="AN426" t="n">
        <v>8</v>
      </c>
      <c r="AO426" t="n">
        <v>8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HYPERLINK("http://catalog.hathitrust.org/Record/004090321","HathiTrust Record")</f>
        <v/>
      </c>
      <c r="AS426">
        <f>HYPERLINK("https://creighton-primo.hosted.exlibrisgroup.com/primo-explore/search?tab=default_tab&amp;search_scope=EVERYTHING&amp;vid=01CRU&amp;lang=en_US&amp;offset=0&amp;query=any,contains,991003596599702656","Catalog Record")</f>
        <v/>
      </c>
      <c r="AT426">
        <f>HYPERLINK("http://www.worldcat.org/oclc/41892142","WorldCat Record")</f>
        <v/>
      </c>
      <c r="AU426" t="inlineStr">
        <is>
          <t>34652815:eng</t>
        </is>
      </c>
      <c r="AV426" t="inlineStr">
        <is>
          <t>41892142</t>
        </is>
      </c>
      <c r="AW426" t="inlineStr">
        <is>
          <t>991003596599702656</t>
        </is>
      </c>
      <c r="AX426" t="inlineStr">
        <is>
          <t>991003596599702656</t>
        </is>
      </c>
      <c r="AY426" t="inlineStr">
        <is>
          <t>2259448990002656</t>
        </is>
      </c>
      <c r="AZ426" t="inlineStr">
        <is>
          <t>BOOK</t>
        </is>
      </c>
      <c r="BB426" t="inlineStr">
        <is>
          <t>9780253213570</t>
        </is>
      </c>
      <c r="BC426" t="inlineStr">
        <is>
          <t>32285004384748</t>
        </is>
      </c>
      <c r="BD426" t="inlineStr">
        <is>
          <t>893441468</t>
        </is>
      </c>
    </row>
    <row r="427">
      <c r="A427" t="inlineStr">
        <is>
          <t>No</t>
        </is>
      </c>
      <c r="B427" t="inlineStr">
        <is>
          <t>P94 .J34 1983</t>
        </is>
      </c>
      <c r="C427" t="inlineStr">
        <is>
          <t>0                      P  0094000J  34          1983</t>
        </is>
      </c>
      <c r="D427" t="inlineStr">
        <is>
          <t>The interplay of influence : mass media &amp; their publics in news, advertising, politics / Kathleen Hall Jamieson, Karlyn Kohrs Campbell.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Jamieson, Kathleen Hall.</t>
        </is>
      </c>
      <c r="L427" t="inlineStr">
        <is>
          <t>Belmont, Calif. : Wadsworth Pub. Co., 1982, c1983.</t>
        </is>
      </c>
      <c r="M427" t="inlineStr">
        <is>
          <t>1982</t>
        </is>
      </c>
      <c r="O427" t="inlineStr">
        <is>
          <t>eng</t>
        </is>
      </c>
      <c r="P427" t="inlineStr">
        <is>
          <t>cau</t>
        </is>
      </c>
      <c r="Q427" t="inlineStr">
        <is>
          <t>Wadsworth series in mass communication</t>
        </is>
      </c>
      <c r="R427" t="inlineStr">
        <is>
          <t xml:space="preserve">P  </t>
        </is>
      </c>
      <c r="S427" t="n">
        <v>17</v>
      </c>
      <c r="T427" t="n">
        <v>17</v>
      </c>
      <c r="U427" t="inlineStr">
        <is>
          <t>2002-02-26</t>
        </is>
      </c>
      <c r="V427" t="inlineStr">
        <is>
          <t>2002-02-26</t>
        </is>
      </c>
      <c r="W427" t="inlineStr">
        <is>
          <t>1991-07-31</t>
        </is>
      </c>
      <c r="X427" t="inlineStr">
        <is>
          <t>1991-07-31</t>
        </is>
      </c>
      <c r="Y427" t="n">
        <v>377</v>
      </c>
      <c r="Z427" t="n">
        <v>347</v>
      </c>
      <c r="AA427" t="n">
        <v>486</v>
      </c>
      <c r="AB427" t="n">
        <v>3</v>
      </c>
      <c r="AC427" t="n">
        <v>4</v>
      </c>
      <c r="AD427" t="n">
        <v>13</v>
      </c>
      <c r="AE427" t="n">
        <v>21</v>
      </c>
      <c r="AF427" t="n">
        <v>6</v>
      </c>
      <c r="AG427" t="n">
        <v>8</v>
      </c>
      <c r="AH427" t="n">
        <v>1</v>
      </c>
      <c r="AI427" t="n">
        <v>3</v>
      </c>
      <c r="AJ427" t="n">
        <v>7</v>
      </c>
      <c r="AK427" t="n">
        <v>9</v>
      </c>
      <c r="AL427" t="n">
        <v>2</v>
      </c>
      <c r="AM427" t="n">
        <v>3</v>
      </c>
      <c r="AN427" t="n">
        <v>0</v>
      </c>
      <c r="AO427" t="n">
        <v>1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HYPERLINK("https://creighton-primo.hosted.exlibrisgroup.com/primo-explore/search?tab=default_tab&amp;search_scope=EVERYTHING&amp;vid=01CRU&amp;lang=en_US&amp;offset=0&amp;query=any,contains,991000055229702656","Catalog Record")</f>
        <v/>
      </c>
      <c r="AT427">
        <f>HYPERLINK("http://www.worldcat.org/oclc/8708736","WorldCat Record")</f>
        <v/>
      </c>
      <c r="AU427" t="inlineStr">
        <is>
          <t>3855588626:eng</t>
        </is>
      </c>
      <c r="AV427" t="inlineStr">
        <is>
          <t>8708736</t>
        </is>
      </c>
      <c r="AW427" t="inlineStr">
        <is>
          <t>991000055229702656</t>
        </is>
      </c>
      <c r="AX427" t="inlineStr">
        <is>
          <t>991000055229702656</t>
        </is>
      </c>
      <c r="AY427" t="inlineStr">
        <is>
          <t>2255464260002656</t>
        </is>
      </c>
      <c r="AZ427" t="inlineStr">
        <is>
          <t>BOOK</t>
        </is>
      </c>
      <c r="BB427" t="inlineStr">
        <is>
          <t>9780534012670</t>
        </is>
      </c>
      <c r="BC427" t="inlineStr">
        <is>
          <t>32285000679992</t>
        </is>
      </c>
      <c r="BD427" t="inlineStr">
        <is>
          <t>893314632</t>
        </is>
      </c>
    </row>
    <row r="428">
      <c r="A428" t="inlineStr">
        <is>
          <t>No</t>
        </is>
      </c>
      <c r="B428" t="inlineStr">
        <is>
          <t>P94 .M3613 2000</t>
        </is>
      </c>
      <c r="C428" t="inlineStr">
        <is>
          <t>0                      P  0094000M  3613        2000</t>
        </is>
      </c>
      <c r="D428" t="inlineStr">
        <is>
          <t>Media ethics : opening social dialogue / edited by Bart Pattyn.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Leuven : Peeters, 2000.</t>
        </is>
      </c>
      <c r="M428" t="inlineStr">
        <is>
          <t>2000</t>
        </is>
      </c>
      <c r="O428" t="inlineStr">
        <is>
          <t>eng</t>
        </is>
      </c>
      <c r="P428" t="inlineStr">
        <is>
          <t xml:space="preserve">be </t>
        </is>
      </c>
      <c r="R428" t="inlineStr">
        <is>
          <t xml:space="preserve">P  </t>
        </is>
      </c>
      <c r="S428" t="n">
        <v>2</v>
      </c>
      <c r="T428" t="n">
        <v>2</v>
      </c>
      <c r="U428" t="inlineStr">
        <is>
          <t>2010-04-09</t>
        </is>
      </c>
      <c r="V428" t="inlineStr">
        <is>
          <t>2010-04-09</t>
        </is>
      </c>
      <c r="W428" t="inlineStr">
        <is>
          <t>2001-08-02</t>
        </is>
      </c>
      <c r="X428" t="inlineStr">
        <is>
          <t>2001-08-02</t>
        </is>
      </c>
      <c r="Y428" t="n">
        <v>166</v>
      </c>
      <c r="Z428" t="n">
        <v>114</v>
      </c>
      <c r="AA428" t="n">
        <v>114</v>
      </c>
      <c r="AB428" t="n">
        <v>2</v>
      </c>
      <c r="AC428" t="n">
        <v>2</v>
      </c>
      <c r="AD428" t="n">
        <v>9</v>
      </c>
      <c r="AE428" t="n">
        <v>9</v>
      </c>
      <c r="AF428" t="n">
        <v>2</v>
      </c>
      <c r="AG428" t="n">
        <v>2</v>
      </c>
      <c r="AH428" t="n">
        <v>4</v>
      </c>
      <c r="AI428" t="n">
        <v>4</v>
      </c>
      <c r="AJ428" t="n">
        <v>5</v>
      </c>
      <c r="AK428" t="n">
        <v>5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HYPERLINK("https://creighton-primo.hosted.exlibrisgroup.com/primo-explore/search?tab=default_tab&amp;search_scope=EVERYTHING&amp;vid=01CRU&amp;lang=en_US&amp;offset=0&amp;query=any,contains,991003538229702656","Catalog Record")</f>
        <v/>
      </c>
      <c r="AT428">
        <f>HYPERLINK("http://www.worldcat.org/oclc/45339591","WorldCat Record")</f>
        <v/>
      </c>
      <c r="AU428" t="inlineStr">
        <is>
          <t>836979787:eng</t>
        </is>
      </c>
      <c r="AV428" t="inlineStr">
        <is>
          <t>45339591</t>
        </is>
      </c>
      <c r="AW428" t="inlineStr">
        <is>
          <t>991003538229702656</t>
        </is>
      </c>
      <c r="AX428" t="inlineStr">
        <is>
          <t>991003538229702656</t>
        </is>
      </c>
      <c r="AY428" t="inlineStr">
        <is>
          <t>2269459210002656</t>
        </is>
      </c>
      <c r="AZ428" t="inlineStr">
        <is>
          <t>BOOK</t>
        </is>
      </c>
      <c r="BB428" t="inlineStr">
        <is>
          <t>9789042909021</t>
        </is>
      </c>
      <c r="BC428" t="inlineStr">
        <is>
          <t>32285004375829</t>
        </is>
      </c>
      <c r="BD428" t="inlineStr">
        <is>
          <t>893416481</t>
        </is>
      </c>
    </row>
    <row r="429">
      <c r="A429" t="inlineStr">
        <is>
          <t>No</t>
        </is>
      </c>
      <c r="B429" t="inlineStr">
        <is>
          <t>P94 .M47 2006</t>
        </is>
      </c>
      <c r="C429" t="inlineStr">
        <is>
          <t>0                      P  0094000M  47          2006</t>
        </is>
      </c>
      <c r="D429" t="inlineStr">
        <is>
          <t>Media, mission and morality / John Merrill.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Merrill, John Calhoun, 1924-2012.</t>
        </is>
      </c>
      <c r="L429" t="inlineStr">
        <is>
          <t>Spokane, Wash. : Marquette Books, c2006.</t>
        </is>
      </c>
      <c r="M429" t="inlineStr">
        <is>
          <t>2006</t>
        </is>
      </c>
      <c r="O429" t="inlineStr">
        <is>
          <t>eng</t>
        </is>
      </c>
      <c r="P429" t="inlineStr">
        <is>
          <t>wau</t>
        </is>
      </c>
      <c r="Q429" t="inlineStr">
        <is>
          <t>A scholarly milestone essay in mass communication ; v. 1</t>
        </is>
      </c>
      <c r="R429" t="inlineStr">
        <is>
          <t xml:space="preserve">P  </t>
        </is>
      </c>
      <c r="S429" t="n">
        <v>3</v>
      </c>
      <c r="T429" t="n">
        <v>3</v>
      </c>
      <c r="U429" t="inlineStr">
        <is>
          <t>2009-12-17</t>
        </is>
      </c>
      <c r="V429" t="inlineStr">
        <is>
          <t>2009-12-17</t>
        </is>
      </c>
      <c r="W429" t="inlineStr">
        <is>
          <t>2008-01-10</t>
        </is>
      </c>
      <c r="X429" t="inlineStr">
        <is>
          <t>2008-01-10</t>
        </is>
      </c>
      <c r="Y429" t="n">
        <v>90</v>
      </c>
      <c r="Z429" t="n">
        <v>77</v>
      </c>
      <c r="AA429" t="n">
        <v>77</v>
      </c>
      <c r="AB429" t="n">
        <v>1</v>
      </c>
      <c r="AC429" t="n">
        <v>1</v>
      </c>
      <c r="AD429" t="n">
        <v>3</v>
      </c>
      <c r="AE429" t="n">
        <v>3</v>
      </c>
      <c r="AF429" t="n">
        <v>2</v>
      </c>
      <c r="AG429" t="n">
        <v>2</v>
      </c>
      <c r="AH429" t="n">
        <v>0</v>
      </c>
      <c r="AI429" t="n">
        <v>0</v>
      </c>
      <c r="AJ429" t="n">
        <v>2</v>
      </c>
      <c r="AK429" t="n">
        <v>2</v>
      </c>
      <c r="AL429" t="n">
        <v>0</v>
      </c>
      <c r="AM429" t="n">
        <v>0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HYPERLINK("https://creighton-primo.hosted.exlibrisgroup.com/primo-explore/search?tab=default_tab&amp;search_scope=EVERYTHING&amp;vid=01CRU&amp;lang=en_US&amp;offset=0&amp;query=any,contains,991005151349702656","Catalog Record")</f>
        <v/>
      </c>
      <c r="AT429">
        <f>HYPERLINK("http://www.worldcat.org/oclc/70068752","WorldCat Record")</f>
        <v/>
      </c>
      <c r="AU429" t="inlineStr">
        <is>
          <t>53902642:eng</t>
        </is>
      </c>
      <c r="AV429" t="inlineStr">
        <is>
          <t>70068752</t>
        </is>
      </c>
      <c r="AW429" t="inlineStr">
        <is>
          <t>991005151349702656</t>
        </is>
      </c>
      <c r="AX429" t="inlineStr">
        <is>
          <t>991005151349702656</t>
        </is>
      </c>
      <c r="AY429" t="inlineStr">
        <is>
          <t>2266475170002656</t>
        </is>
      </c>
      <c r="AZ429" t="inlineStr">
        <is>
          <t>BOOK</t>
        </is>
      </c>
      <c r="BB429" t="inlineStr">
        <is>
          <t>9780922993598</t>
        </is>
      </c>
      <c r="BC429" t="inlineStr">
        <is>
          <t>32285005376867</t>
        </is>
      </c>
      <c r="BD429" t="inlineStr">
        <is>
          <t>893619546</t>
        </is>
      </c>
    </row>
    <row r="430">
      <c r="A430" t="inlineStr">
        <is>
          <t>No</t>
        </is>
      </c>
      <c r="B430" t="inlineStr">
        <is>
          <t>P94 .R46 1998</t>
        </is>
      </c>
      <c r="C430" t="inlineStr">
        <is>
          <t>0                      P  0094000R  46          1998</t>
        </is>
      </c>
      <c r="D430" t="inlineStr">
        <is>
          <t>Renewing the mind of the media : a statement on overcoming the exploitation of sex and violence in communications / from the U.S. Catholic bishops.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L430" t="inlineStr">
        <is>
          <t>Washington, D.C. : United States Catholic Conference, 1998.</t>
        </is>
      </c>
      <c r="M430" t="inlineStr">
        <is>
          <t>1998</t>
        </is>
      </c>
      <c r="O430" t="inlineStr">
        <is>
          <t>eng</t>
        </is>
      </c>
      <c r="P430" t="inlineStr">
        <is>
          <t>dcu</t>
        </is>
      </c>
      <c r="Q430" t="inlineStr">
        <is>
          <t>Publication / United States Catholic Conference ; no. 5-286</t>
        </is>
      </c>
      <c r="R430" t="inlineStr">
        <is>
          <t xml:space="preserve">P  </t>
        </is>
      </c>
      <c r="S430" t="n">
        <v>3</v>
      </c>
      <c r="T430" t="n">
        <v>3</v>
      </c>
      <c r="U430" t="inlineStr">
        <is>
          <t>2008-11-16</t>
        </is>
      </c>
      <c r="V430" t="inlineStr">
        <is>
          <t>2008-11-16</t>
        </is>
      </c>
      <c r="W430" t="inlineStr">
        <is>
          <t>1998-12-03</t>
        </is>
      </c>
      <c r="X430" t="inlineStr">
        <is>
          <t>1998-12-03</t>
        </is>
      </c>
      <c r="Y430" t="n">
        <v>71</v>
      </c>
      <c r="Z430" t="n">
        <v>69</v>
      </c>
      <c r="AA430" t="n">
        <v>76</v>
      </c>
      <c r="AB430" t="n">
        <v>1</v>
      </c>
      <c r="AC430" t="n">
        <v>1</v>
      </c>
      <c r="AD430" t="n">
        <v>12</v>
      </c>
      <c r="AE430" t="n">
        <v>12</v>
      </c>
      <c r="AF430" t="n">
        <v>3</v>
      </c>
      <c r="AG430" t="n">
        <v>3</v>
      </c>
      <c r="AH430" t="n">
        <v>4</v>
      </c>
      <c r="AI430" t="n">
        <v>4</v>
      </c>
      <c r="AJ430" t="n">
        <v>9</v>
      </c>
      <c r="AK430" t="n">
        <v>9</v>
      </c>
      <c r="AL430" t="n">
        <v>0</v>
      </c>
      <c r="AM430" t="n">
        <v>0</v>
      </c>
      <c r="AN430" t="n">
        <v>0</v>
      </c>
      <c r="AO430" t="n">
        <v>0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HYPERLINK("https://creighton-primo.hosted.exlibrisgroup.com/primo-explore/search?tab=default_tab&amp;search_scope=EVERYTHING&amp;vid=01CRU&amp;lang=en_US&amp;offset=0&amp;query=any,contains,991002987229702656","Catalog Record")</f>
        <v/>
      </c>
      <c r="AT430">
        <f>HYPERLINK("http://www.worldcat.org/oclc/40265142","WorldCat Record")</f>
        <v/>
      </c>
      <c r="AU430" t="inlineStr">
        <is>
          <t>3858062763:eng</t>
        </is>
      </c>
      <c r="AV430" t="inlineStr">
        <is>
          <t>40265142</t>
        </is>
      </c>
      <c r="AW430" t="inlineStr">
        <is>
          <t>991002987229702656</t>
        </is>
      </c>
      <c r="AX430" t="inlineStr">
        <is>
          <t>991002987229702656</t>
        </is>
      </c>
      <c r="AY430" t="inlineStr">
        <is>
          <t>2256588780002656</t>
        </is>
      </c>
      <c r="AZ430" t="inlineStr">
        <is>
          <t>BOOK</t>
        </is>
      </c>
      <c r="BB430" t="inlineStr">
        <is>
          <t>9781574552867</t>
        </is>
      </c>
      <c r="BC430" t="inlineStr">
        <is>
          <t>32285003493664</t>
        </is>
      </c>
      <c r="BD430" t="inlineStr">
        <is>
          <t>893422040</t>
        </is>
      </c>
    </row>
    <row r="431">
      <c r="A431" t="inlineStr">
        <is>
          <t>No</t>
        </is>
      </c>
      <c r="B431" t="inlineStr">
        <is>
          <t>P94 .S53 1999</t>
        </is>
      </c>
      <c r="C431" t="inlineStr">
        <is>
          <t>0                      P  0094000S  53          1999</t>
        </is>
      </c>
      <c r="D431" t="inlineStr">
        <is>
          <t>Deciding what we watch : taste, decency, and media ethics in the UK and the USA / Colin Shaw.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Shaw, Colin, 1928-</t>
        </is>
      </c>
      <c r="L431" t="inlineStr">
        <is>
          <t>Oxford, Oxfordshire, England : Clarendon Press ; New York : Oxford University Press, 1999.</t>
        </is>
      </c>
      <c r="M431" t="inlineStr">
        <is>
          <t>1999</t>
        </is>
      </c>
      <c r="O431" t="inlineStr">
        <is>
          <t>eng</t>
        </is>
      </c>
      <c r="P431" t="inlineStr">
        <is>
          <t>enk</t>
        </is>
      </c>
      <c r="R431" t="inlineStr">
        <is>
          <t xml:space="preserve">P  </t>
        </is>
      </c>
      <c r="S431" t="n">
        <v>2</v>
      </c>
      <c r="T431" t="n">
        <v>2</v>
      </c>
      <c r="U431" t="inlineStr">
        <is>
          <t>2003-01-13</t>
        </is>
      </c>
      <c r="V431" t="inlineStr">
        <is>
          <t>2003-01-13</t>
        </is>
      </c>
      <c r="W431" t="inlineStr">
        <is>
          <t>2000-02-07</t>
        </is>
      </c>
      <c r="X431" t="inlineStr">
        <is>
          <t>2000-02-07</t>
        </is>
      </c>
      <c r="Y431" t="n">
        <v>567</v>
      </c>
      <c r="Z431" t="n">
        <v>447</v>
      </c>
      <c r="AA431" t="n">
        <v>477</v>
      </c>
      <c r="AB431" t="n">
        <v>4</v>
      </c>
      <c r="AC431" t="n">
        <v>4</v>
      </c>
      <c r="AD431" t="n">
        <v>23</v>
      </c>
      <c r="AE431" t="n">
        <v>24</v>
      </c>
      <c r="AF431" t="n">
        <v>7</v>
      </c>
      <c r="AG431" t="n">
        <v>7</v>
      </c>
      <c r="AH431" t="n">
        <v>4</v>
      </c>
      <c r="AI431" t="n">
        <v>5</v>
      </c>
      <c r="AJ431" t="n">
        <v>12</v>
      </c>
      <c r="AK431" t="n">
        <v>12</v>
      </c>
      <c r="AL431" t="n">
        <v>3</v>
      </c>
      <c r="AM431" t="n">
        <v>3</v>
      </c>
      <c r="AN431" t="n">
        <v>2</v>
      </c>
      <c r="AO431" t="n">
        <v>2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HYPERLINK("https://creighton-primo.hosted.exlibrisgroup.com/primo-explore/search?tab=default_tab&amp;search_scope=EVERYTHING&amp;vid=01CRU&amp;lang=en_US&amp;offset=0&amp;query=any,contains,991002960999702656","Catalog Record")</f>
        <v/>
      </c>
      <c r="AT431">
        <f>HYPERLINK("http://www.worldcat.org/oclc/39606697","WorldCat Record")</f>
        <v/>
      </c>
      <c r="AU431" t="inlineStr">
        <is>
          <t>325011138:eng</t>
        </is>
      </c>
      <c r="AV431" t="inlineStr">
        <is>
          <t>39606697</t>
        </is>
      </c>
      <c r="AW431" t="inlineStr">
        <is>
          <t>991002960999702656</t>
        </is>
      </c>
      <c r="AX431" t="inlineStr">
        <is>
          <t>991002960999702656</t>
        </is>
      </c>
      <c r="AY431" t="inlineStr">
        <is>
          <t>2259840470002656</t>
        </is>
      </c>
      <c r="AZ431" t="inlineStr">
        <is>
          <t>BOOK</t>
        </is>
      </c>
      <c r="BB431" t="inlineStr">
        <is>
          <t>9780198159360</t>
        </is>
      </c>
      <c r="BC431" t="inlineStr">
        <is>
          <t>32285003659553</t>
        </is>
      </c>
      <c r="BD431" t="inlineStr">
        <is>
          <t>893524258</t>
        </is>
      </c>
    </row>
    <row r="432">
      <c r="A432" t="inlineStr">
        <is>
          <t>No</t>
        </is>
      </c>
      <c r="B432" t="inlineStr">
        <is>
          <t>P94.5.A372 U55 2000</t>
        </is>
      </c>
      <c r="C432" t="inlineStr">
        <is>
          <t>0                      P  0094500A  372                U  55          2000</t>
        </is>
      </c>
      <c r="D432" t="inlineStr">
        <is>
          <t>The black image in the white mind : media and race in America / Robert M. Entman and Andrew Rojecki.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Entman, Robert M.</t>
        </is>
      </c>
      <c r="L432" t="inlineStr">
        <is>
          <t>Chicago : University of Chicago Press, 2000.</t>
        </is>
      </c>
      <c r="M432" t="inlineStr">
        <is>
          <t>2000</t>
        </is>
      </c>
      <c r="O432" t="inlineStr">
        <is>
          <t>eng</t>
        </is>
      </c>
      <c r="P432" t="inlineStr">
        <is>
          <t>ilu</t>
        </is>
      </c>
      <c r="Q432" t="inlineStr">
        <is>
          <t>Studies in communication, media, and public opinion</t>
        </is>
      </c>
      <c r="R432" t="inlineStr">
        <is>
          <t xml:space="preserve">P  </t>
        </is>
      </c>
      <c r="S432" t="n">
        <v>11</v>
      </c>
      <c r="T432" t="n">
        <v>11</v>
      </c>
      <c r="U432" t="inlineStr">
        <is>
          <t>2009-12-17</t>
        </is>
      </c>
      <c r="V432" t="inlineStr">
        <is>
          <t>2009-12-17</t>
        </is>
      </c>
      <c r="W432" t="inlineStr">
        <is>
          <t>2002-05-07</t>
        </is>
      </c>
      <c r="X432" t="inlineStr">
        <is>
          <t>2002-05-07</t>
        </is>
      </c>
      <c r="Y432" t="n">
        <v>1002</v>
      </c>
      <c r="Z432" t="n">
        <v>918</v>
      </c>
      <c r="AA432" t="n">
        <v>1129</v>
      </c>
      <c r="AB432" t="n">
        <v>8</v>
      </c>
      <c r="AC432" t="n">
        <v>8</v>
      </c>
      <c r="AD432" t="n">
        <v>48</v>
      </c>
      <c r="AE432" t="n">
        <v>52</v>
      </c>
      <c r="AF432" t="n">
        <v>20</v>
      </c>
      <c r="AG432" t="n">
        <v>23</v>
      </c>
      <c r="AH432" t="n">
        <v>11</v>
      </c>
      <c r="AI432" t="n">
        <v>11</v>
      </c>
      <c r="AJ432" t="n">
        <v>20</v>
      </c>
      <c r="AK432" t="n">
        <v>22</v>
      </c>
      <c r="AL432" t="n">
        <v>7</v>
      </c>
      <c r="AM432" t="n">
        <v>7</v>
      </c>
      <c r="AN432" t="n">
        <v>3</v>
      </c>
      <c r="AO432" t="n">
        <v>3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HYPERLINK("http://catalog.hathitrust.org/Record/004098854","HathiTrust Record")</f>
        <v/>
      </c>
      <c r="AS432">
        <f>HYPERLINK("https://creighton-primo.hosted.exlibrisgroup.com/primo-explore/search?tab=default_tab&amp;search_scope=EVERYTHING&amp;vid=01CRU&amp;lang=en_US&amp;offset=0&amp;query=any,contains,991003782389702656","Catalog Record")</f>
        <v/>
      </c>
      <c r="AT432">
        <f>HYPERLINK("http://www.worldcat.org/oclc/43118261","WorldCat Record")</f>
        <v/>
      </c>
      <c r="AU432" t="inlineStr">
        <is>
          <t>20656055:eng</t>
        </is>
      </c>
      <c r="AV432" t="inlineStr">
        <is>
          <t>43118261</t>
        </is>
      </c>
      <c r="AW432" t="inlineStr">
        <is>
          <t>991003782389702656</t>
        </is>
      </c>
      <c r="AX432" t="inlineStr">
        <is>
          <t>991003782389702656</t>
        </is>
      </c>
      <c r="AY432" t="inlineStr">
        <is>
          <t>2264314820002656</t>
        </is>
      </c>
      <c r="AZ432" t="inlineStr">
        <is>
          <t>BOOK</t>
        </is>
      </c>
      <c r="BB432" t="inlineStr">
        <is>
          <t>9780226210759</t>
        </is>
      </c>
      <c r="BC432" t="inlineStr">
        <is>
          <t>32285004486444</t>
        </is>
      </c>
      <c r="BD432" t="inlineStr">
        <is>
          <t>893722099</t>
        </is>
      </c>
    </row>
    <row r="433">
      <c r="A433" t="inlineStr">
        <is>
          <t>No</t>
        </is>
      </c>
      <c r="B433" t="inlineStr">
        <is>
          <t>P94.5.A372 U558 2006</t>
        </is>
      </c>
      <c r="C433" t="inlineStr">
        <is>
          <t>0                      P  0094500A  372                U  558         2006</t>
        </is>
      </c>
      <c r="D433" t="inlineStr">
        <is>
          <t>Color monitors : the black face of technology in America / Martin Kevorkian.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Kevorkian, Martin, 1968-</t>
        </is>
      </c>
      <c r="L433" t="inlineStr">
        <is>
          <t>Ithaca, N.Y. : Cornell University Press, 2006.</t>
        </is>
      </c>
      <c r="M433" t="inlineStr">
        <is>
          <t>2006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P  </t>
        </is>
      </c>
      <c r="S433" t="n">
        <v>1</v>
      </c>
      <c r="T433" t="n">
        <v>1</v>
      </c>
      <c r="U433" t="inlineStr">
        <is>
          <t>2006-11-21</t>
        </is>
      </c>
      <c r="V433" t="inlineStr">
        <is>
          <t>2006-11-21</t>
        </is>
      </c>
      <c r="W433" t="inlineStr">
        <is>
          <t>2006-11-21</t>
        </is>
      </c>
      <c r="X433" t="inlineStr">
        <is>
          <t>2006-11-21</t>
        </is>
      </c>
      <c r="Y433" t="n">
        <v>519</v>
      </c>
      <c r="Z433" t="n">
        <v>472</v>
      </c>
      <c r="AA433" t="n">
        <v>656</v>
      </c>
      <c r="AB433" t="n">
        <v>5</v>
      </c>
      <c r="AC433" t="n">
        <v>5</v>
      </c>
      <c r="AD433" t="n">
        <v>29</v>
      </c>
      <c r="AE433" t="n">
        <v>38</v>
      </c>
      <c r="AF433" t="n">
        <v>13</v>
      </c>
      <c r="AG433" t="n">
        <v>17</v>
      </c>
      <c r="AH433" t="n">
        <v>7</v>
      </c>
      <c r="AI433" t="n">
        <v>9</v>
      </c>
      <c r="AJ433" t="n">
        <v>10</v>
      </c>
      <c r="AK433" t="n">
        <v>17</v>
      </c>
      <c r="AL433" t="n">
        <v>4</v>
      </c>
      <c r="AM433" t="n">
        <v>4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HYPERLINK("http://catalog.hathitrust.org/Record/005135981","HathiTrust Record")</f>
        <v/>
      </c>
      <c r="AS433">
        <f>HYPERLINK("https://creighton-primo.hosted.exlibrisgroup.com/primo-explore/search?tab=default_tab&amp;search_scope=EVERYTHING&amp;vid=01CRU&amp;lang=en_US&amp;offset=0&amp;query=any,contains,991004949119702656","Catalog Record")</f>
        <v/>
      </c>
      <c r="AT433">
        <f>HYPERLINK("http://www.worldcat.org/oclc/61458214","WorldCat Record")</f>
        <v/>
      </c>
      <c r="AU433" t="inlineStr">
        <is>
          <t>152279444:eng</t>
        </is>
      </c>
      <c r="AV433" t="inlineStr">
        <is>
          <t>61458214</t>
        </is>
      </c>
      <c r="AW433" t="inlineStr">
        <is>
          <t>991004949119702656</t>
        </is>
      </c>
      <c r="AX433" t="inlineStr">
        <is>
          <t>991004949119702656</t>
        </is>
      </c>
      <c r="AY433" t="inlineStr">
        <is>
          <t>2263125020002656</t>
        </is>
      </c>
      <c r="AZ433" t="inlineStr">
        <is>
          <t>BOOK</t>
        </is>
      </c>
      <c r="BB433" t="inlineStr">
        <is>
          <t>9780801444432</t>
        </is>
      </c>
      <c r="BC433" t="inlineStr">
        <is>
          <t>32285005260988</t>
        </is>
      </c>
      <c r="BD433" t="inlineStr">
        <is>
          <t>893782834</t>
        </is>
      </c>
    </row>
    <row r="434">
      <c r="A434" t="inlineStr">
        <is>
          <t>No</t>
        </is>
      </c>
      <c r="B434" t="inlineStr">
        <is>
          <t>P94.5.M552 U646 2000</t>
        </is>
      </c>
      <c r="C434" t="inlineStr">
        <is>
          <t>0                      P  0094500M  552                U  646         2000</t>
        </is>
      </c>
      <c r="D434" t="inlineStr">
        <is>
          <t>Media messages : what film, television, and popular music teach us about race, class, gender, and sexual orientation / Linda Holtzman.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Holtzman, Linda, 1949-</t>
        </is>
      </c>
      <c r="L434" t="inlineStr">
        <is>
          <t>Armonk, N.Y. : M.E. Sharpe, c2000.</t>
        </is>
      </c>
      <c r="M434" t="inlineStr">
        <is>
          <t>2000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P  </t>
        </is>
      </c>
      <c r="S434" t="n">
        <v>1</v>
      </c>
      <c r="T434" t="n">
        <v>1</v>
      </c>
      <c r="U434" t="inlineStr">
        <is>
          <t>2010-09-30</t>
        </is>
      </c>
      <c r="V434" t="inlineStr">
        <is>
          <t>2010-09-30</t>
        </is>
      </c>
      <c r="W434" t="inlineStr">
        <is>
          <t>2010-09-30</t>
        </is>
      </c>
      <c r="X434" t="inlineStr">
        <is>
          <t>2010-09-30</t>
        </is>
      </c>
      <c r="Y434" t="n">
        <v>908</v>
      </c>
      <c r="Z434" t="n">
        <v>763</v>
      </c>
      <c r="AA434" t="n">
        <v>1215</v>
      </c>
      <c r="AB434" t="n">
        <v>4</v>
      </c>
      <c r="AC434" t="n">
        <v>33</v>
      </c>
      <c r="AD434" t="n">
        <v>32</v>
      </c>
      <c r="AE434" t="n">
        <v>50</v>
      </c>
      <c r="AF434" t="n">
        <v>16</v>
      </c>
      <c r="AG434" t="n">
        <v>20</v>
      </c>
      <c r="AH434" t="n">
        <v>8</v>
      </c>
      <c r="AI434" t="n">
        <v>9</v>
      </c>
      <c r="AJ434" t="n">
        <v>15</v>
      </c>
      <c r="AK434" t="n">
        <v>19</v>
      </c>
      <c r="AL434" t="n">
        <v>3</v>
      </c>
      <c r="AM434" t="n">
        <v>14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HYPERLINK("http://catalog.hathitrust.org/Record/004124895","HathiTrust Record")</f>
        <v/>
      </c>
      <c r="AS434">
        <f>HYPERLINK("https://creighton-primo.hosted.exlibrisgroup.com/primo-explore/search?tab=default_tab&amp;search_scope=EVERYTHING&amp;vid=01CRU&amp;lang=en_US&amp;offset=0&amp;query=any,contains,991000142189702656","Catalog Record")</f>
        <v/>
      </c>
      <c r="AT434">
        <f>HYPERLINK("http://www.worldcat.org/oclc/43757623","WorldCat Record")</f>
        <v/>
      </c>
      <c r="AU434" t="inlineStr">
        <is>
          <t>797212427:eng</t>
        </is>
      </c>
      <c r="AV434" t="inlineStr">
        <is>
          <t>43757623</t>
        </is>
      </c>
      <c r="AW434" t="inlineStr">
        <is>
          <t>991000142189702656</t>
        </is>
      </c>
      <c r="AX434" t="inlineStr">
        <is>
          <t>991000142189702656</t>
        </is>
      </c>
      <c r="AY434" t="inlineStr">
        <is>
          <t>2270333390002656</t>
        </is>
      </c>
      <c r="AZ434" t="inlineStr">
        <is>
          <t>BOOK</t>
        </is>
      </c>
      <c r="BB434" t="inlineStr">
        <is>
          <t>9780765603364</t>
        </is>
      </c>
      <c r="BC434" t="inlineStr">
        <is>
          <t>32285005597751</t>
        </is>
      </c>
      <c r="BD434" t="inlineStr">
        <is>
          <t>893431732</t>
        </is>
      </c>
    </row>
    <row r="435">
      <c r="A435" t="inlineStr">
        <is>
          <t>No</t>
        </is>
      </c>
      <c r="B435" t="inlineStr">
        <is>
          <t>P94.5.W652 J38 1995</t>
        </is>
      </c>
      <c r="C435" t="inlineStr">
        <is>
          <t>0                      P  0094500W  652                J  38          1995</t>
        </is>
      </c>
      <c r="D435" t="inlineStr">
        <is>
          <t>Women, media, and consumption in Japan / Lise Skov and Brian Moeran, editors.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Honolulu : University of Hawai'i Press, c1995.</t>
        </is>
      </c>
      <c r="M435" t="inlineStr">
        <is>
          <t>1995</t>
        </is>
      </c>
      <c r="O435" t="inlineStr">
        <is>
          <t>eng</t>
        </is>
      </c>
      <c r="P435" t="inlineStr">
        <is>
          <t>hiu</t>
        </is>
      </c>
      <c r="Q435" t="inlineStr">
        <is>
          <t>ConsumAsiaN book series</t>
        </is>
      </c>
      <c r="R435" t="inlineStr">
        <is>
          <t xml:space="preserve">P  </t>
        </is>
      </c>
      <c r="S435" t="n">
        <v>2</v>
      </c>
      <c r="T435" t="n">
        <v>2</v>
      </c>
      <c r="U435" t="inlineStr">
        <is>
          <t>2003-04-15</t>
        </is>
      </c>
      <c r="V435" t="inlineStr">
        <is>
          <t>2003-04-15</t>
        </is>
      </c>
      <c r="W435" t="inlineStr">
        <is>
          <t>1999-06-21</t>
        </is>
      </c>
      <c r="X435" t="inlineStr">
        <is>
          <t>1999-06-21</t>
        </is>
      </c>
      <c r="Y435" t="n">
        <v>321</v>
      </c>
      <c r="Z435" t="n">
        <v>261</v>
      </c>
      <c r="AA435" t="n">
        <v>311</v>
      </c>
      <c r="AB435" t="n">
        <v>3</v>
      </c>
      <c r="AC435" t="n">
        <v>3</v>
      </c>
      <c r="AD435" t="n">
        <v>14</v>
      </c>
      <c r="AE435" t="n">
        <v>15</v>
      </c>
      <c r="AF435" t="n">
        <v>5</v>
      </c>
      <c r="AG435" t="n">
        <v>5</v>
      </c>
      <c r="AH435" t="n">
        <v>2</v>
      </c>
      <c r="AI435" t="n">
        <v>3</v>
      </c>
      <c r="AJ435" t="n">
        <v>8</v>
      </c>
      <c r="AK435" t="n">
        <v>9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HYPERLINK("http://catalog.hathitrust.org/Record/003082172","HathiTrust Record")</f>
        <v/>
      </c>
      <c r="AS435">
        <f>HYPERLINK("https://creighton-primo.hosted.exlibrisgroup.com/primo-explore/search?tab=default_tab&amp;search_scope=EVERYTHING&amp;vid=01CRU&amp;lang=en_US&amp;offset=0&amp;query=any,contains,991002502149702656","Catalog Record")</f>
        <v/>
      </c>
      <c r="AT435">
        <f>HYPERLINK("http://www.worldcat.org/oclc/32547498","WorldCat Record")</f>
        <v/>
      </c>
      <c r="AU435" t="inlineStr">
        <is>
          <t>349995903:eng</t>
        </is>
      </c>
      <c r="AV435" t="inlineStr">
        <is>
          <t>32547498</t>
        </is>
      </c>
      <c r="AW435" t="inlineStr">
        <is>
          <t>991002502149702656</t>
        </is>
      </c>
      <c r="AX435" t="inlineStr">
        <is>
          <t>991002502149702656</t>
        </is>
      </c>
      <c r="AY435" t="inlineStr">
        <is>
          <t>2266031120002656</t>
        </is>
      </c>
      <c r="AZ435" t="inlineStr">
        <is>
          <t>BOOK</t>
        </is>
      </c>
      <c r="BB435" t="inlineStr">
        <is>
          <t>9780824817756</t>
        </is>
      </c>
      <c r="BC435" t="inlineStr">
        <is>
          <t>32285003575874</t>
        </is>
      </c>
      <c r="BD435" t="inlineStr">
        <is>
          <t>893329164</t>
        </is>
      </c>
    </row>
    <row r="436">
      <c r="A436" t="inlineStr">
        <is>
          <t>No</t>
        </is>
      </c>
      <c r="B436" t="inlineStr">
        <is>
          <t>P94.5.W652 U65 1990</t>
        </is>
      </c>
      <c r="C436" t="inlineStr">
        <is>
          <t>0                      P  0094500W  652                U  65          1990</t>
        </is>
      </c>
      <c r="D436" t="inlineStr">
        <is>
          <t>Reflections of ourselves : the mass media and the women's movement, 1963 to the present / Sharon Howell.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Howell, Sharon.</t>
        </is>
      </c>
      <c r="L436" t="inlineStr">
        <is>
          <t>New York : P. Lang, c1990.</t>
        </is>
      </c>
      <c r="M436" t="inlineStr">
        <is>
          <t>1990</t>
        </is>
      </c>
      <c r="O436" t="inlineStr">
        <is>
          <t>eng</t>
        </is>
      </c>
      <c r="P436" t="inlineStr">
        <is>
          <t>nyu</t>
        </is>
      </c>
      <c r="Q436" t="inlineStr">
        <is>
          <t>American university studies. Series XXVII, Feminist studies ; vol. 1</t>
        </is>
      </c>
      <c r="R436" t="inlineStr">
        <is>
          <t xml:space="preserve">P  </t>
        </is>
      </c>
      <c r="S436" t="n">
        <v>8</v>
      </c>
      <c r="T436" t="n">
        <v>8</v>
      </c>
      <c r="U436" t="inlineStr">
        <is>
          <t>2004-02-09</t>
        </is>
      </c>
      <c r="V436" t="inlineStr">
        <is>
          <t>2004-02-09</t>
        </is>
      </c>
      <c r="W436" t="inlineStr">
        <is>
          <t>1991-11-08</t>
        </is>
      </c>
      <c r="X436" t="inlineStr">
        <is>
          <t>1991-11-08</t>
        </is>
      </c>
      <c r="Y436" t="n">
        <v>194</v>
      </c>
      <c r="Z436" t="n">
        <v>146</v>
      </c>
      <c r="AA436" t="n">
        <v>147</v>
      </c>
      <c r="AB436" t="n">
        <v>1</v>
      </c>
      <c r="AC436" t="n">
        <v>1</v>
      </c>
      <c r="AD436" t="n">
        <v>5</v>
      </c>
      <c r="AE436" t="n">
        <v>5</v>
      </c>
      <c r="AF436" t="n">
        <v>2</v>
      </c>
      <c r="AG436" t="n">
        <v>2</v>
      </c>
      <c r="AH436" t="n">
        <v>1</v>
      </c>
      <c r="AI436" t="n">
        <v>1</v>
      </c>
      <c r="AJ436" t="n">
        <v>5</v>
      </c>
      <c r="AK436" t="n">
        <v>5</v>
      </c>
      <c r="AL436" t="n">
        <v>0</v>
      </c>
      <c r="AM436" t="n">
        <v>0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HYPERLINK("http://catalog.hathitrust.org/Record/007109982","HathiTrust Record")</f>
        <v/>
      </c>
      <c r="AS436">
        <f>HYPERLINK("https://creighton-primo.hosted.exlibrisgroup.com/primo-explore/search?tab=default_tab&amp;search_scope=EVERYTHING&amp;vid=01CRU&amp;lang=en_US&amp;offset=0&amp;query=any,contains,991001272459702656","Catalog Record")</f>
        <v/>
      </c>
      <c r="AT436">
        <f>HYPERLINK("http://www.worldcat.org/oclc/17841984","WorldCat Record")</f>
        <v/>
      </c>
      <c r="AU436" t="inlineStr">
        <is>
          <t>272246673:eng</t>
        </is>
      </c>
      <c r="AV436" t="inlineStr">
        <is>
          <t>17841984</t>
        </is>
      </c>
      <c r="AW436" t="inlineStr">
        <is>
          <t>991001272459702656</t>
        </is>
      </c>
      <c r="AX436" t="inlineStr">
        <is>
          <t>991001272459702656</t>
        </is>
      </c>
      <c r="AY436" t="inlineStr">
        <is>
          <t>2269033430002656</t>
        </is>
      </c>
      <c r="AZ436" t="inlineStr">
        <is>
          <t>BOOK</t>
        </is>
      </c>
      <c r="BB436" t="inlineStr">
        <is>
          <t>9780820405230</t>
        </is>
      </c>
      <c r="BC436" t="inlineStr">
        <is>
          <t>32285000815281</t>
        </is>
      </c>
      <c r="BD436" t="inlineStr">
        <is>
          <t>893244003</t>
        </is>
      </c>
    </row>
    <row r="437">
      <c r="A437" t="inlineStr">
        <is>
          <t>No</t>
        </is>
      </c>
      <c r="B437" t="inlineStr">
        <is>
          <t>P94.5.Y72 J34 2004</t>
        </is>
      </c>
      <c r="C437" t="inlineStr">
        <is>
          <t>0                      P  0094500Y  72                 J  34          2004</t>
        </is>
      </c>
      <c r="D437" t="inlineStr">
        <is>
          <t>Youth fantasies : the perverse landscape of the media / Jan Jagodzinski.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Jagodzinski, Jan, 1948-</t>
        </is>
      </c>
      <c r="L437" t="inlineStr">
        <is>
          <t>New York : Palgrave Macmillan, 2004.</t>
        </is>
      </c>
      <c r="M437" t="inlineStr">
        <is>
          <t>2004</t>
        </is>
      </c>
      <c r="N437" t="inlineStr">
        <is>
          <t>1st ed.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P  </t>
        </is>
      </c>
      <c r="S437" t="n">
        <v>2</v>
      </c>
      <c r="T437" t="n">
        <v>2</v>
      </c>
      <c r="U437" t="inlineStr">
        <is>
          <t>2010-10-12</t>
        </is>
      </c>
      <c r="V437" t="inlineStr">
        <is>
          <t>2010-10-12</t>
        </is>
      </c>
      <c r="W437" t="inlineStr">
        <is>
          <t>2004-11-03</t>
        </is>
      </c>
      <c r="X437" t="inlineStr">
        <is>
          <t>2004-11-03</t>
        </is>
      </c>
      <c r="Y437" t="n">
        <v>341</v>
      </c>
      <c r="Z437" t="n">
        <v>239</v>
      </c>
      <c r="AA437" t="n">
        <v>287</v>
      </c>
      <c r="AB437" t="n">
        <v>3</v>
      </c>
      <c r="AC437" t="n">
        <v>3</v>
      </c>
      <c r="AD437" t="n">
        <v>13</v>
      </c>
      <c r="AE437" t="n">
        <v>14</v>
      </c>
      <c r="AF437" t="n">
        <v>5</v>
      </c>
      <c r="AG437" t="n">
        <v>6</v>
      </c>
      <c r="AH437" t="n">
        <v>3</v>
      </c>
      <c r="AI437" t="n">
        <v>3</v>
      </c>
      <c r="AJ437" t="n">
        <v>8</v>
      </c>
      <c r="AK437" t="n">
        <v>8</v>
      </c>
      <c r="AL437" t="n">
        <v>2</v>
      </c>
      <c r="AM437" t="n">
        <v>2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HYPERLINK("https://creighton-primo.hosted.exlibrisgroup.com/primo-explore/search?tab=default_tab&amp;search_scope=EVERYTHING&amp;vid=01CRU&amp;lang=en_US&amp;offset=0&amp;query=any,contains,991004390869702656","Catalog Record")</f>
        <v/>
      </c>
      <c r="AT437">
        <f>HYPERLINK("http://www.worldcat.org/oclc/53398079","WorldCat Record")</f>
        <v/>
      </c>
      <c r="AU437" t="inlineStr">
        <is>
          <t>793983235:eng</t>
        </is>
      </c>
      <c r="AV437" t="inlineStr">
        <is>
          <t>53398079</t>
        </is>
      </c>
      <c r="AW437" t="inlineStr">
        <is>
          <t>991004390869702656</t>
        </is>
      </c>
      <c r="AX437" t="inlineStr">
        <is>
          <t>991004390869702656</t>
        </is>
      </c>
      <c r="AY437" t="inlineStr">
        <is>
          <t>2271987650002656</t>
        </is>
      </c>
      <c r="AZ437" t="inlineStr">
        <is>
          <t>BOOK</t>
        </is>
      </c>
      <c r="BB437" t="inlineStr">
        <is>
          <t>9781403961648</t>
        </is>
      </c>
      <c r="BC437" t="inlineStr">
        <is>
          <t>32285005008403</t>
        </is>
      </c>
      <c r="BD437" t="inlineStr">
        <is>
          <t>893876046</t>
        </is>
      </c>
    </row>
    <row r="438">
      <c r="A438" t="inlineStr">
        <is>
          <t>No</t>
        </is>
      </c>
      <c r="B438" t="inlineStr">
        <is>
          <t>P94.6 .B47 1996</t>
        </is>
      </c>
      <c r="C438" t="inlineStr">
        <is>
          <t>0                      P  0094600B  47          1996</t>
        </is>
      </c>
      <c r="D438" t="inlineStr">
        <is>
          <t>Manufacturing desire : media, popular culture, and everyday life / Arthur Asa Berger.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Berger, Arthur Asa, 1933-</t>
        </is>
      </c>
      <c r="L438" t="inlineStr">
        <is>
          <t>New Brunswick, N.J. : Transaction Publishers, c1996.</t>
        </is>
      </c>
      <c r="M438" t="inlineStr">
        <is>
          <t>1996</t>
        </is>
      </c>
      <c r="O438" t="inlineStr">
        <is>
          <t>eng</t>
        </is>
      </c>
      <c r="P438" t="inlineStr">
        <is>
          <t>nju</t>
        </is>
      </c>
      <c r="R438" t="inlineStr">
        <is>
          <t xml:space="preserve">P  </t>
        </is>
      </c>
      <c r="S438" t="n">
        <v>7</v>
      </c>
      <c r="T438" t="n">
        <v>7</v>
      </c>
      <c r="U438" t="inlineStr">
        <is>
          <t>2001-11-20</t>
        </is>
      </c>
      <c r="V438" t="inlineStr">
        <is>
          <t>2001-11-20</t>
        </is>
      </c>
      <c r="W438" t="inlineStr">
        <is>
          <t>1996-06-24</t>
        </is>
      </c>
      <c r="X438" t="inlineStr">
        <is>
          <t>1996-06-24</t>
        </is>
      </c>
      <c r="Y438" t="n">
        <v>520</v>
      </c>
      <c r="Z438" t="n">
        <v>449</v>
      </c>
      <c r="AA438" t="n">
        <v>502</v>
      </c>
      <c r="AB438" t="n">
        <v>4</v>
      </c>
      <c r="AC438" t="n">
        <v>4</v>
      </c>
      <c r="AD438" t="n">
        <v>29</v>
      </c>
      <c r="AE438" t="n">
        <v>31</v>
      </c>
      <c r="AF438" t="n">
        <v>15</v>
      </c>
      <c r="AG438" t="n">
        <v>17</v>
      </c>
      <c r="AH438" t="n">
        <v>5</v>
      </c>
      <c r="AI438" t="n">
        <v>5</v>
      </c>
      <c r="AJ438" t="n">
        <v>15</v>
      </c>
      <c r="AK438" t="n">
        <v>15</v>
      </c>
      <c r="AL438" t="n">
        <v>3</v>
      </c>
      <c r="AM438" t="n">
        <v>3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HYPERLINK("https://creighton-primo.hosted.exlibrisgroup.com/primo-explore/search?tab=default_tab&amp;search_scope=EVERYTHING&amp;vid=01CRU&amp;lang=en_US&amp;offset=0&amp;query=any,contains,991002539699702656","Catalog Record")</f>
        <v/>
      </c>
      <c r="AT438">
        <f>HYPERLINK("http://www.worldcat.org/oclc/33009181","WorldCat Record")</f>
        <v/>
      </c>
      <c r="AU438" t="inlineStr">
        <is>
          <t>196546324:eng</t>
        </is>
      </c>
      <c r="AV438" t="inlineStr">
        <is>
          <t>33009181</t>
        </is>
      </c>
      <c r="AW438" t="inlineStr">
        <is>
          <t>991002539699702656</t>
        </is>
      </c>
      <c r="AX438" t="inlineStr">
        <is>
          <t>991002539699702656</t>
        </is>
      </c>
      <c r="AY438" t="inlineStr">
        <is>
          <t>2258374590002656</t>
        </is>
      </c>
      <c r="AZ438" t="inlineStr">
        <is>
          <t>BOOK</t>
        </is>
      </c>
      <c r="BB438" t="inlineStr">
        <is>
          <t>9781560002260</t>
        </is>
      </c>
      <c r="BC438" t="inlineStr">
        <is>
          <t>32285002172350</t>
        </is>
      </c>
      <c r="BD438" t="inlineStr">
        <is>
          <t>893704192</t>
        </is>
      </c>
    </row>
    <row r="439">
      <c r="A439" t="inlineStr">
        <is>
          <t>No</t>
        </is>
      </c>
      <c r="B439" t="inlineStr">
        <is>
          <t>P94.6 .C59 1994</t>
        </is>
      </c>
      <c r="C439" t="inlineStr">
        <is>
          <t>0                      P  0094600C  59          1994</t>
        </is>
      </c>
      <c r="D439" t="inlineStr">
        <is>
          <t>Inter-cultural communication at work : cultural values in discourse / Michael Clyne.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Clyne, Michael G., 1939-2010.</t>
        </is>
      </c>
      <c r="L439" t="inlineStr">
        <is>
          <t>Cambridge ; New York, NY, USA : Cambridge University Press, 1994.</t>
        </is>
      </c>
      <c r="M439" t="inlineStr">
        <is>
          <t>1994</t>
        </is>
      </c>
      <c r="O439" t="inlineStr">
        <is>
          <t>eng</t>
        </is>
      </c>
      <c r="P439" t="inlineStr">
        <is>
          <t>enk</t>
        </is>
      </c>
      <c r="R439" t="inlineStr">
        <is>
          <t xml:space="preserve">P  </t>
        </is>
      </c>
      <c r="S439" t="n">
        <v>7</v>
      </c>
      <c r="T439" t="n">
        <v>7</v>
      </c>
      <c r="U439" t="inlineStr">
        <is>
          <t>2006-11-13</t>
        </is>
      </c>
      <c r="V439" t="inlineStr">
        <is>
          <t>2006-11-13</t>
        </is>
      </c>
      <c r="W439" t="inlineStr">
        <is>
          <t>1995-04-03</t>
        </is>
      </c>
      <c r="X439" t="inlineStr">
        <is>
          <t>1995-04-03</t>
        </is>
      </c>
      <c r="Y439" t="n">
        <v>437</v>
      </c>
      <c r="Z439" t="n">
        <v>279</v>
      </c>
      <c r="AA439" t="n">
        <v>315</v>
      </c>
      <c r="AB439" t="n">
        <v>3</v>
      </c>
      <c r="AC439" t="n">
        <v>4</v>
      </c>
      <c r="AD439" t="n">
        <v>13</v>
      </c>
      <c r="AE439" t="n">
        <v>16</v>
      </c>
      <c r="AF439" t="n">
        <v>4</v>
      </c>
      <c r="AG439" t="n">
        <v>4</v>
      </c>
      <c r="AH439" t="n">
        <v>3</v>
      </c>
      <c r="AI439" t="n">
        <v>4</v>
      </c>
      <c r="AJ439" t="n">
        <v>10</v>
      </c>
      <c r="AK439" t="n">
        <v>11</v>
      </c>
      <c r="AL439" t="n">
        <v>2</v>
      </c>
      <c r="AM439" t="n">
        <v>3</v>
      </c>
      <c r="AN439" t="n">
        <v>0</v>
      </c>
      <c r="AO439" t="n">
        <v>0</v>
      </c>
      <c r="AP439" t="inlineStr">
        <is>
          <t>No</t>
        </is>
      </c>
      <c r="AQ439" t="inlineStr">
        <is>
          <t>No</t>
        </is>
      </c>
      <c r="AS439">
        <f>HYPERLINK("https://creighton-primo.hosted.exlibrisgroup.com/primo-explore/search?tab=default_tab&amp;search_scope=EVERYTHING&amp;vid=01CRU&amp;lang=en_US&amp;offset=0&amp;query=any,contains,991002297659702656","Catalog Record")</f>
        <v/>
      </c>
      <c r="AT439">
        <f>HYPERLINK("http://www.worldcat.org/oclc/29798624","WorldCat Record")</f>
        <v/>
      </c>
      <c r="AU439" t="inlineStr">
        <is>
          <t>836741316:eng</t>
        </is>
      </c>
      <c r="AV439" t="inlineStr">
        <is>
          <t>29798624</t>
        </is>
      </c>
      <c r="AW439" t="inlineStr">
        <is>
          <t>991002297659702656</t>
        </is>
      </c>
      <c r="AX439" t="inlineStr">
        <is>
          <t>991002297659702656</t>
        </is>
      </c>
      <c r="AY439" t="inlineStr">
        <is>
          <t>2255558280002656</t>
        </is>
      </c>
      <c r="AZ439" t="inlineStr">
        <is>
          <t>BOOK</t>
        </is>
      </c>
      <c r="BB439" t="inlineStr">
        <is>
          <t>9780521461375</t>
        </is>
      </c>
      <c r="BC439" t="inlineStr">
        <is>
          <t>32285002015856</t>
        </is>
      </c>
      <c r="BD439" t="inlineStr">
        <is>
          <t>893798419</t>
        </is>
      </c>
    </row>
    <row r="440">
      <c r="A440" t="inlineStr">
        <is>
          <t>No</t>
        </is>
      </c>
      <c r="B440" t="inlineStr">
        <is>
          <t>P94.6 .E34 1997</t>
        </is>
      </c>
      <c r="C440" t="inlineStr">
        <is>
          <t>0                      P  0094600E  34          1997</t>
        </is>
      </c>
      <c r="D440" t="inlineStr">
        <is>
          <t>Total propaganda : from mass culture to popular culture / Alex S. Edelstein.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Edelstein, Alex S.</t>
        </is>
      </c>
      <c r="L440" t="inlineStr">
        <is>
          <t>Mahwah, N.J. : L. Erlbaum Associates, 1997.</t>
        </is>
      </c>
      <c r="M440" t="inlineStr">
        <is>
          <t>1997</t>
        </is>
      </c>
      <c r="O440" t="inlineStr">
        <is>
          <t>eng</t>
        </is>
      </c>
      <c r="P440" t="inlineStr">
        <is>
          <t>nju</t>
        </is>
      </c>
      <c r="R440" t="inlineStr">
        <is>
          <t xml:space="preserve">P  </t>
        </is>
      </c>
      <c r="S440" t="n">
        <v>7</v>
      </c>
      <c r="T440" t="n">
        <v>7</v>
      </c>
      <c r="U440" t="inlineStr">
        <is>
          <t>2001-10-04</t>
        </is>
      </c>
      <c r="V440" t="inlineStr">
        <is>
          <t>2001-10-04</t>
        </is>
      </c>
      <c r="W440" t="inlineStr">
        <is>
          <t>1998-01-08</t>
        </is>
      </c>
      <c r="X440" t="inlineStr">
        <is>
          <t>1998-01-08</t>
        </is>
      </c>
      <c r="Y440" t="n">
        <v>417</v>
      </c>
      <c r="Z440" t="n">
        <v>350</v>
      </c>
      <c r="AA440" t="n">
        <v>373</v>
      </c>
      <c r="AB440" t="n">
        <v>3</v>
      </c>
      <c r="AC440" t="n">
        <v>3</v>
      </c>
      <c r="AD440" t="n">
        <v>21</v>
      </c>
      <c r="AE440" t="n">
        <v>21</v>
      </c>
      <c r="AF440" t="n">
        <v>8</v>
      </c>
      <c r="AG440" t="n">
        <v>8</v>
      </c>
      <c r="AH440" t="n">
        <v>6</v>
      </c>
      <c r="AI440" t="n">
        <v>6</v>
      </c>
      <c r="AJ440" t="n">
        <v>11</v>
      </c>
      <c r="AK440" t="n">
        <v>11</v>
      </c>
      <c r="AL440" t="n">
        <v>2</v>
      </c>
      <c r="AM440" t="n">
        <v>2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HYPERLINK("http://catalog.hathitrust.org/Record/003943895","HathiTrust Record")</f>
        <v/>
      </c>
      <c r="AS440">
        <f>HYPERLINK("https://creighton-primo.hosted.exlibrisgroup.com/primo-explore/search?tab=default_tab&amp;search_scope=EVERYTHING&amp;vid=01CRU&amp;lang=en_US&amp;offset=0&amp;query=any,contains,991002743869702656","Catalog Record")</f>
        <v/>
      </c>
      <c r="AT440">
        <f>HYPERLINK("http://www.worldcat.org/oclc/36017147","WorldCat Record")</f>
        <v/>
      </c>
      <c r="AU440" t="inlineStr">
        <is>
          <t>837040433:eng</t>
        </is>
      </c>
      <c r="AV440" t="inlineStr">
        <is>
          <t>36017147</t>
        </is>
      </c>
      <c r="AW440" t="inlineStr">
        <is>
          <t>991002743869702656</t>
        </is>
      </c>
      <c r="AX440" t="inlineStr">
        <is>
          <t>991002743869702656</t>
        </is>
      </c>
      <c r="AY440" t="inlineStr">
        <is>
          <t>2262316460002656</t>
        </is>
      </c>
      <c r="AZ440" t="inlineStr">
        <is>
          <t>BOOK</t>
        </is>
      </c>
      <c r="BB440" t="inlineStr">
        <is>
          <t>9780805808919</t>
        </is>
      </c>
      <c r="BC440" t="inlineStr">
        <is>
          <t>32285003302220</t>
        </is>
      </c>
      <c r="BD440" t="inlineStr">
        <is>
          <t>893323313</t>
        </is>
      </c>
    </row>
    <row r="441">
      <c r="A441" t="inlineStr">
        <is>
          <t>No</t>
        </is>
      </c>
      <c r="B441" t="inlineStr">
        <is>
          <t>P94.6 .L37 1999</t>
        </is>
      </c>
      <c r="C441" t="inlineStr">
        <is>
          <t>0                      P  0094600L  37          1999</t>
        </is>
      </c>
      <c r="D441" t="inlineStr">
        <is>
          <t>Culture jam : the uncooling of America / Kalle Lasn.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Lasn, Kalle.</t>
        </is>
      </c>
      <c r="L441" t="inlineStr">
        <is>
          <t>New York : Eagle Brook, c1999.</t>
        </is>
      </c>
      <c r="M441" t="inlineStr">
        <is>
          <t>1999</t>
        </is>
      </c>
      <c r="N441" t="inlineStr">
        <is>
          <t>1st ed.</t>
        </is>
      </c>
      <c r="O441" t="inlineStr">
        <is>
          <t>eng</t>
        </is>
      </c>
      <c r="P441" t="inlineStr">
        <is>
          <t>nyu</t>
        </is>
      </c>
      <c r="R441" t="inlineStr">
        <is>
          <t xml:space="preserve">P  </t>
        </is>
      </c>
      <c r="S441" t="n">
        <v>4</v>
      </c>
      <c r="T441" t="n">
        <v>4</v>
      </c>
      <c r="U441" t="inlineStr">
        <is>
          <t>2002-02-06</t>
        </is>
      </c>
      <c r="V441" t="inlineStr">
        <is>
          <t>2002-02-06</t>
        </is>
      </c>
      <c r="W441" t="inlineStr">
        <is>
          <t>2000-01-12</t>
        </is>
      </c>
      <c r="X441" t="inlineStr">
        <is>
          <t>2000-01-12</t>
        </is>
      </c>
      <c r="Y441" t="n">
        <v>622</v>
      </c>
      <c r="Z441" t="n">
        <v>543</v>
      </c>
      <c r="AA441" t="n">
        <v>553</v>
      </c>
      <c r="AB441" t="n">
        <v>6</v>
      </c>
      <c r="AC441" t="n">
        <v>6</v>
      </c>
      <c r="AD441" t="n">
        <v>23</v>
      </c>
      <c r="AE441" t="n">
        <v>23</v>
      </c>
      <c r="AF441" t="n">
        <v>6</v>
      </c>
      <c r="AG441" t="n">
        <v>6</v>
      </c>
      <c r="AH441" t="n">
        <v>6</v>
      </c>
      <c r="AI441" t="n">
        <v>6</v>
      </c>
      <c r="AJ441" t="n">
        <v>13</v>
      </c>
      <c r="AK441" t="n">
        <v>13</v>
      </c>
      <c r="AL441" t="n">
        <v>5</v>
      </c>
      <c r="AM441" t="n">
        <v>5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HYPERLINK("https://creighton-primo.hosted.exlibrisgroup.com/primo-explore/search?tab=default_tab&amp;search_scope=EVERYTHING&amp;vid=01CRU&amp;lang=en_US&amp;offset=0&amp;query=any,contains,991003007039702656","Catalog Record")</f>
        <v/>
      </c>
      <c r="AT441">
        <f>HYPERLINK("http://www.worldcat.org/oclc/40762771","WorldCat Record")</f>
        <v/>
      </c>
      <c r="AU441" t="inlineStr">
        <is>
          <t>3372829708:eng</t>
        </is>
      </c>
      <c r="AV441" t="inlineStr">
        <is>
          <t>40762771</t>
        </is>
      </c>
      <c r="AW441" t="inlineStr">
        <is>
          <t>991003007039702656</t>
        </is>
      </c>
      <c r="AX441" t="inlineStr">
        <is>
          <t>991003007039702656</t>
        </is>
      </c>
      <c r="AY441" t="inlineStr">
        <is>
          <t>2267205380002656</t>
        </is>
      </c>
      <c r="AZ441" t="inlineStr">
        <is>
          <t>BOOK</t>
        </is>
      </c>
      <c r="BB441" t="inlineStr">
        <is>
          <t>9780688156565</t>
        </is>
      </c>
      <c r="BC441" t="inlineStr">
        <is>
          <t>32285003641148</t>
        </is>
      </c>
      <c r="BD441" t="inlineStr">
        <is>
          <t>893511478</t>
        </is>
      </c>
    </row>
    <row r="442">
      <c r="A442" t="inlineStr">
        <is>
          <t>No</t>
        </is>
      </c>
      <c r="B442" t="inlineStr">
        <is>
          <t>P94.6 .L85 1995</t>
        </is>
      </c>
      <c r="C442" t="inlineStr">
        <is>
          <t>0                      P  0094600L  85          1995</t>
        </is>
      </c>
      <c r="D442" t="inlineStr">
        <is>
          <t>Media, communication, culture : a global approach / James Lull.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Lull, James.</t>
        </is>
      </c>
      <c r="L442" t="inlineStr">
        <is>
          <t>New York : Columbia University Press, c1995.</t>
        </is>
      </c>
      <c r="M442" t="inlineStr">
        <is>
          <t>1995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P  </t>
        </is>
      </c>
      <c r="S442" t="n">
        <v>15</v>
      </c>
      <c r="T442" t="n">
        <v>15</v>
      </c>
      <c r="U442" t="inlineStr">
        <is>
          <t>2009-10-29</t>
        </is>
      </c>
      <c r="V442" t="inlineStr">
        <is>
          <t>2009-10-29</t>
        </is>
      </c>
      <c r="W442" t="inlineStr">
        <is>
          <t>1995-05-10</t>
        </is>
      </c>
      <c r="X442" t="inlineStr">
        <is>
          <t>1995-05-10</t>
        </is>
      </c>
      <c r="Y442" t="n">
        <v>341</v>
      </c>
      <c r="Z442" t="n">
        <v>277</v>
      </c>
      <c r="AA442" t="n">
        <v>462</v>
      </c>
      <c r="AB442" t="n">
        <v>2</v>
      </c>
      <c r="AC442" t="n">
        <v>3</v>
      </c>
      <c r="AD442" t="n">
        <v>18</v>
      </c>
      <c r="AE442" t="n">
        <v>27</v>
      </c>
      <c r="AF442" t="n">
        <v>9</v>
      </c>
      <c r="AG442" t="n">
        <v>12</v>
      </c>
      <c r="AH442" t="n">
        <v>5</v>
      </c>
      <c r="AI442" t="n">
        <v>7</v>
      </c>
      <c r="AJ442" t="n">
        <v>9</v>
      </c>
      <c r="AK442" t="n">
        <v>16</v>
      </c>
      <c r="AL442" t="n">
        <v>1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HYPERLINK("https://creighton-primo.hosted.exlibrisgroup.com/primo-explore/search?tab=default_tab&amp;search_scope=EVERYTHING&amp;vid=01CRU&amp;lang=en_US&amp;offset=0&amp;query=any,contains,991002407839702656","Catalog Record")</f>
        <v/>
      </c>
      <c r="AT442">
        <f>HYPERLINK("http://www.worldcat.org/oclc/31328641","WorldCat Record")</f>
        <v/>
      </c>
      <c r="AU442" t="inlineStr">
        <is>
          <t>197410188:eng</t>
        </is>
      </c>
      <c r="AV442" t="inlineStr">
        <is>
          <t>31328641</t>
        </is>
      </c>
      <c r="AW442" t="inlineStr">
        <is>
          <t>991002407839702656</t>
        </is>
      </c>
      <c r="AX442" t="inlineStr">
        <is>
          <t>991002407839702656</t>
        </is>
      </c>
      <c r="AY442" t="inlineStr">
        <is>
          <t>2256776010002656</t>
        </is>
      </c>
      <c r="AZ442" t="inlineStr">
        <is>
          <t>BOOK</t>
        </is>
      </c>
      <c r="BB442" t="inlineStr">
        <is>
          <t>9780231102643</t>
        </is>
      </c>
      <c r="BC442" t="inlineStr">
        <is>
          <t>32285002038650</t>
        </is>
      </c>
      <c r="BD442" t="inlineStr">
        <is>
          <t>893510695</t>
        </is>
      </c>
    </row>
    <row r="443">
      <c r="A443" t="inlineStr">
        <is>
          <t>No</t>
        </is>
      </c>
      <c r="B443" t="inlineStr">
        <is>
          <t>P94.6 .R93 1999</t>
        </is>
      </c>
      <c r="C443" t="inlineStr">
        <is>
          <t>0                      P  0094600R  93          1999</t>
        </is>
      </c>
      <c r="D443" t="inlineStr">
        <is>
          <t>Media and society : the production of culture in the mass media / John Ryan, William M. Wentworth.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Ryan, John, 1949-</t>
        </is>
      </c>
      <c r="L443" t="inlineStr">
        <is>
          <t>Boston, Mass : Allyn and Bacon, c1999.</t>
        </is>
      </c>
      <c r="M443" t="inlineStr">
        <is>
          <t>1999</t>
        </is>
      </c>
      <c r="O443" t="inlineStr">
        <is>
          <t>eng</t>
        </is>
      </c>
      <c r="P443" t="inlineStr">
        <is>
          <t>mau</t>
        </is>
      </c>
      <c r="R443" t="inlineStr">
        <is>
          <t xml:space="preserve">P  </t>
        </is>
      </c>
      <c r="S443" t="n">
        <v>14</v>
      </c>
      <c r="T443" t="n">
        <v>14</v>
      </c>
      <c r="U443" t="inlineStr">
        <is>
          <t>2010-11-19</t>
        </is>
      </c>
      <c r="V443" t="inlineStr">
        <is>
          <t>2010-11-19</t>
        </is>
      </c>
      <c r="W443" t="inlineStr">
        <is>
          <t>1999-09-13</t>
        </is>
      </c>
      <c r="X443" t="inlineStr">
        <is>
          <t>1999-09-13</t>
        </is>
      </c>
      <c r="Y443" t="n">
        <v>246</v>
      </c>
      <c r="Z443" t="n">
        <v>176</v>
      </c>
      <c r="AA443" t="n">
        <v>177</v>
      </c>
      <c r="AB443" t="n">
        <v>2</v>
      </c>
      <c r="AC443" t="n">
        <v>2</v>
      </c>
      <c r="AD443" t="n">
        <v>9</v>
      </c>
      <c r="AE443" t="n">
        <v>9</v>
      </c>
      <c r="AF443" t="n">
        <v>6</v>
      </c>
      <c r="AG443" t="n">
        <v>6</v>
      </c>
      <c r="AH443" t="n">
        <v>1</v>
      </c>
      <c r="AI443" t="n">
        <v>1</v>
      </c>
      <c r="AJ443" t="n">
        <v>5</v>
      </c>
      <c r="AK443" t="n">
        <v>5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HYPERLINK("http://catalog.hathitrust.org/Record/004199099","HathiTrust Record")</f>
        <v/>
      </c>
      <c r="AS443">
        <f>HYPERLINK("https://creighton-primo.hosted.exlibrisgroup.com/primo-explore/search?tab=default_tab&amp;search_scope=EVERYTHING&amp;vid=01CRU&amp;lang=en_US&amp;offset=0&amp;query=any,contains,991002947259702656","Catalog Record")</f>
        <v/>
      </c>
      <c r="AT443">
        <f>HYPERLINK("http://www.worldcat.org/oclc/39257316","WorldCat Record")</f>
        <v/>
      </c>
      <c r="AU443" t="inlineStr">
        <is>
          <t>792077296:eng</t>
        </is>
      </c>
      <c r="AV443" t="inlineStr">
        <is>
          <t>39257316</t>
        </is>
      </c>
      <c r="AW443" t="inlineStr">
        <is>
          <t>991002947259702656</t>
        </is>
      </c>
      <c r="AX443" t="inlineStr">
        <is>
          <t>991002947259702656</t>
        </is>
      </c>
      <c r="AY443" t="inlineStr">
        <is>
          <t>2262476310002656</t>
        </is>
      </c>
      <c r="AZ443" t="inlineStr">
        <is>
          <t>BOOK</t>
        </is>
      </c>
      <c r="BB443" t="inlineStr">
        <is>
          <t>9780205174003</t>
        </is>
      </c>
      <c r="BC443" t="inlineStr">
        <is>
          <t>32285003588109</t>
        </is>
      </c>
      <c r="BD443" t="inlineStr">
        <is>
          <t>893348139</t>
        </is>
      </c>
    </row>
    <row r="444">
      <c r="A444" t="inlineStr">
        <is>
          <t>No</t>
        </is>
      </c>
      <c r="B444" t="inlineStr">
        <is>
          <t>P94.6 .S26 1991</t>
        </is>
      </c>
      <c r="C444" t="inlineStr">
        <is>
          <t>0                      P  0094600S  26          1991</t>
        </is>
      </c>
      <c r="D444" t="inlineStr">
        <is>
          <t>Communication between cultures / Larry A. Samovar, Richard E. Porter.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Samovar, Larry A.</t>
        </is>
      </c>
      <c r="L444" t="inlineStr">
        <is>
          <t>Belmont, Calif. : Wadsworth Pub., c1991.</t>
        </is>
      </c>
      <c r="M444" t="inlineStr">
        <is>
          <t>1991</t>
        </is>
      </c>
      <c r="O444" t="inlineStr">
        <is>
          <t>eng</t>
        </is>
      </c>
      <c r="P444" t="inlineStr">
        <is>
          <t>cau</t>
        </is>
      </c>
      <c r="R444" t="inlineStr">
        <is>
          <t xml:space="preserve">P  </t>
        </is>
      </c>
      <c r="S444" t="n">
        <v>15</v>
      </c>
      <c r="T444" t="n">
        <v>15</v>
      </c>
      <c r="U444" t="inlineStr">
        <is>
          <t>2006-11-13</t>
        </is>
      </c>
      <c r="V444" t="inlineStr">
        <is>
          <t>2006-11-13</t>
        </is>
      </c>
      <c r="W444" t="inlineStr">
        <is>
          <t>1994-12-05</t>
        </is>
      </c>
      <c r="X444" t="inlineStr">
        <is>
          <t>1994-12-05</t>
        </is>
      </c>
      <c r="Y444" t="n">
        <v>282</v>
      </c>
      <c r="Z444" t="n">
        <v>218</v>
      </c>
      <c r="AA444" t="n">
        <v>714</v>
      </c>
      <c r="AB444" t="n">
        <v>2</v>
      </c>
      <c r="AC444" t="n">
        <v>6</v>
      </c>
      <c r="AD444" t="n">
        <v>7</v>
      </c>
      <c r="AE444" t="n">
        <v>24</v>
      </c>
      <c r="AF444" t="n">
        <v>1</v>
      </c>
      <c r="AG444" t="n">
        <v>7</v>
      </c>
      <c r="AH444" t="n">
        <v>2</v>
      </c>
      <c r="AI444" t="n">
        <v>5</v>
      </c>
      <c r="AJ444" t="n">
        <v>5</v>
      </c>
      <c r="AK444" t="n">
        <v>12</v>
      </c>
      <c r="AL444" t="n">
        <v>1</v>
      </c>
      <c r="AM444" t="n">
        <v>5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HYPERLINK("http://catalog.hathitrust.org/Record/007130851","HathiTrust Record")</f>
        <v/>
      </c>
      <c r="AS444">
        <f>HYPERLINK("https://creighton-primo.hosted.exlibrisgroup.com/primo-explore/search?tab=default_tab&amp;search_scope=EVERYTHING&amp;vid=01CRU&amp;lang=en_US&amp;offset=0&amp;query=any,contains,991001787059702656","Catalog Record")</f>
        <v/>
      </c>
      <c r="AT444">
        <f>HYPERLINK("http://www.worldcat.org/oclc/22508757","WorldCat Record")</f>
        <v/>
      </c>
      <c r="AU444" t="inlineStr">
        <is>
          <t>6168810:eng</t>
        </is>
      </c>
      <c r="AV444" t="inlineStr">
        <is>
          <t>22508757</t>
        </is>
      </c>
      <c r="AW444" t="inlineStr">
        <is>
          <t>991001787059702656</t>
        </is>
      </c>
      <c r="AX444" t="inlineStr">
        <is>
          <t>991001787059702656</t>
        </is>
      </c>
      <c r="AY444" t="inlineStr">
        <is>
          <t>2268952920002656</t>
        </is>
      </c>
      <c r="AZ444" t="inlineStr">
        <is>
          <t>BOOK</t>
        </is>
      </c>
      <c r="BB444" t="inlineStr">
        <is>
          <t>9780534150068</t>
        </is>
      </c>
      <c r="BC444" t="inlineStr">
        <is>
          <t>32285001975209</t>
        </is>
      </c>
      <c r="BD444" t="inlineStr">
        <is>
          <t>893872807</t>
        </is>
      </c>
    </row>
    <row r="445">
      <c r="A445" t="inlineStr">
        <is>
          <t>No</t>
        </is>
      </c>
      <c r="B445" t="inlineStr">
        <is>
          <t>P94.6 .W43 2000</t>
        </is>
      </c>
      <c r="C445" t="inlineStr">
        <is>
          <t>0                      P  0094600W  43          2000</t>
        </is>
      </c>
      <c r="D445" t="inlineStr">
        <is>
          <t>Web.studies : rewiring media studies for the digital age / edited by David Gauntlett.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London : Arnold ; New York : Co-published in the United States of America by Oxford University Press, 2000.</t>
        </is>
      </c>
      <c r="M445" t="inlineStr">
        <is>
          <t>2000</t>
        </is>
      </c>
      <c r="O445" t="inlineStr">
        <is>
          <t>eng</t>
        </is>
      </c>
      <c r="P445" t="inlineStr">
        <is>
          <t>enk</t>
        </is>
      </c>
      <c r="R445" t="inlineStr">
        <is>
          <t xml:space="preserve">P  </t>
        </is>
      </c>
      <c r="S445" t="n">
        <v>2</v>
      </c>
      <c r="T445" t="n">
        <v>2</v>
      </c>
      <c r="U445" t="inlineStr">
        <is>
          <t>2006-04-11</t>
        </is>
      </c>
      <c r="V445" t="inlineStr">
        <is>
          <t>2006-04-11</t>
        </is>
      </c>
      <c r="W445" t="inlineStr">
        <is>
          <t>2001-07-10</t>
        </is>
      </c>
      <c r="X445" t="inlineStr">
        <is>
          <t>2001-07-10</t>
        </is>
      </c>
      <c r="Y445" t="n">
        <v>619</v>
      </c>
      <c r="Z445" t="n">
        <v>424</v>
      </c>
      <c r="AA445" t="n">
        <v>429</v>
      </c>
      <c r="AB445" t="n">
        <v>3</v>
      </c>
      <c r="AC445" t="n">
        <v>3</v>
      </c>
      <c r="AD445" t="n">
        <v>25</v>
      </c>
      <c r="AE445" t="n">
        <v>25</v>
      </c>
      <c r="AF445" t="n">
        <v>12</v>
      </c>
      <c r="AG445" t="n">
        <v>12</v>
      </c>
      <c r="AH445" t="n">
        <v>6</v>
      </c>
      <c r="AI445" t="n">
        <v>6</v>
      </c>
      <c r="AJ445" t="n">
        <v>9</v>
      </c>
      <c r="AK445" t="n">
        <v>9</v>
      </c>
      <c r="AL445" t="n">
        <v>2</v>
      </c>
      <c r="AM445" t="n">
        <v>2</v>
      </c>
      <c r="AN445" t="n">
        <v>1</v>
      </c>
      <c r="AO445" t="n">
        <v>1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HYPERLINK("https://creighton-primo.hosted.exlibrisgroup.com/primo-explore/search?tab=default_tab&amp;search_scope=EVERYTHING&amp;vid=01CRU&amp;lang=en_US&amp;offset=0&amp;query=any,contains,991003540489702656","Catalog Record")</f>
        <v/>
      </c>
      <c r="AT445">
        <f>HYPERLINK("http://www.worldcat.org/oclc/44154298","WorldCat Record")</f>
        <v/>
      </c>
      <c r="AU445" t="inlineStr">
        <is>
          <t>351976151:eng</t>
        </is>
      </c>
      <c r="AV445" t="inlineStr">
        <is>
          <t>44154298</t>
        </is>
      </c>
      <c r="AW445" t="inlineStr">
        <is>
          <t>991003540489702656</t>
        </is>
      </c>
      <c r="AX445" t="inlineStr">
        <is>
          <t>991003540489702656</t>
        </is>
      </c>
      <c r="AY445" t="inlineStr">
        <is>
          <t>2261267580002656</t>
        </is>
      </c>
      <c r="AZ445" t="inlineStr">
        <is>
          <t>BOOK</t>
        </is>
      </c>
      <c r="BB445" t="inlineStr">
        <is>
          <t>9780340760482</t>
        </is>
      </c>
      <c r="BC445" t="inlineStr">
        <is>
          <t>32285004331236</t>
        </is>
      </c>
      <c r="BD445" t="inlineStr">
        <is>
          <t>893793708</t>
        </is>
      </c>
    </row>
    <row r="446">
      <c r="A446" t="inlineStr">
        <is>
          <t>No</t>
        </is>
      </c>
      <c r="B446" t="inlineStr">
        <is>
          <t>P94.65.J3 D67 1998</t>
        </is>
      </c>
      <c r="C446" t="inlineStr">
        <is>
          <t>0                      P  0094650J  3                  D  67          1998</t>
        </is>
      </c>
      <c r="D446" t="inlineStr">
        <is>
          <t>Japanese culture and communication : critical cultural analysis / Ray T. Donahue.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Donahue, Ray T.</t>
        </is>
      </c>
      <c r="L446" t="inlineStr">
        <is>
          <t>Lanham, Md. : University Press of America, c1998.</t>
        </is>
      </c>
      <c r="M446" t="inlineStr">
        <is>
          <t>1998</t>
        </is>
      </c>
      <c r="O446" t="inlineStr">
        <is>
          <t>eng</t>
        </is>
      </c>
      <c r="P446" t="inlineStr">
        <is>
          <t>mdu</t>
        </is>
      </c>
      <c r="R446" t="inlineStr">
        <is>
          <t xml:space="preserve">P  </t>
        </is>
      </c>
      <c r="S446" t="n">
        <v>2</v>
      </c>
      <c r="T446" t="n">
        <v>2</v>
      </c>
      <c r="U446" t="inlineStr">
        <is>
          <t>2001-11-13</t>
        </is>
      </c>
      <c r="V446" t="inlineStr">
        <is>
          <t>2001-11-13</t>
        </is>
      </c>
      <c r="W446" t="inlineStr">
        <is>
          <t>1999-01-05</t>
        </is>
      </c>
      <c r="X446" t="inlineStr">
        <is>
          <t>1999-01-05</t>
        </is>
      </c>
      <c r="Y446" t="n">
        <v>301</v>
      </c>
      <c r="Z446" t="n">
        <v>244</v>
      </c>
      <c r="AA446" t="n">
        <v>246</v>
      </c>
      <c r="AB446" t="n">
        <v>4</v>
      </c>
      <c r="AC446" t="n">
        <v>4</v>
      </c>
      <c r="AD446" t="n">
        <v>15</v>
      </c>
      <c r="AE446" t="n">
        <v>15</v>
      </c>
      <c r="AF446" t="n">
        <v>5</v>
      </c>
      <c r="AG446" t="n">
        <v>5</v>
      </c>
      <c r="AH446" t="n">
        <v>4</v>
      </c>
      <c r="AI446" t="n">
        <v>4</v>
      </c>
      <c r="AJ446" t="n">
        <v>8</v>
      </c>
      <c r="AK446" t="n">
        <v>8</v>
      </c>
      <c r="AL446" t="n">
        <v>3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HYPERLINK("http://catalog.hathitrust.org/Record/004018910","HathiTrust Record")</f>
        <v/>
      </c>
      <c r="AS446">
        <f>HYPERLINK("https://creighton-primo.hosted.exlibrisgroup.com/primo-explore/search?tab=default_tab&amp;search_scope=EVERYTHING&amp;vid=01CRU&amp;lang=en_US&amp;offset=0&amp;query=any,contains,991002962569702656","Catalog Record")</f>
        <v/>
      </c>
      <c r="AT446">
        <f>HYPERLINK("http://www.worldcat.org/oclc/39633614","WorldCat Record")</f>
        <v/>
      </c>
      <c r="AU446" t="inlineStr">
        <is>
          <t>436448352:eng</t>
        </is>
      </c>
      <c r="AV446" t="inlineStr">
        <is>
          <t>39633614</t>
        </is>
      </c>
      <c r="AW446" t="inlineStr">
        <is>
          <t>991002962569702656</t>
        </is>
      </c>
      <c r="AX446" t="inlineStr">
        <is>
          <t>991002962569702656</t>
        </is>
      </c>
      <c r="AY446" t="inlineStr">
        <is>
          <t>2268652380002656</t>
        </is>
      </c>
      <c r="AZ446" t="inlineStr">
        <is>
          <t>BOOK</t>
        </is>
      </c>
      <c r="BB446" t="inlineStr">
        <is>
          <t>9780761812487</t>
        </is>
      </c>
      <c r="BC446" t="inlineStr">
        <is>
          <t>32285003509014</t>
        </is>
      </c>
      <c r="BD446" t="inlineStr">
        <is>
          <t>893251840</t>
        </is>
      </c>
    </row>
    <row r="447">
      <c r="A447" t="inlineStr">
        <is>
          <t>No</t>
        </is>
      </c>
      <c r="B447" t="inlineStr">
        <is>
          <t>P94.65.N7 M38 1996</t>
        </is>
      </c>
      <c r="C447" t="inlineStr">
        <is>
          <t>0                      P  0094650N  7                  M  38          1996</t>
        </is>
      </c>
      <c r="D447" t="inlineStr">
        <is>
          <t>Mass media and free trade : NAFTA and the cultural industries / Emile G. McAnany, Kenton T. Wilkinson, editors.</t>
        </is>
      </c>
      <c r="F447" t="inlineStr">
        <is>
          <t>No</t>
        </is>
      </c>
      <c r="G447" t="inlineStr">
        <is>
          <t>1</t>
        </is>
      </c>
      <c r="H447" t="inlineStr">
        <is>
          <t>Yes</t>
        </is>
      </c>
      <c r="I447" t="inlineStr">
        <is>
          <t>No</t>
        </is>
      </c>
      <c r="J447" t="inlineStr">
        <is>
          <t>0</t>
        </is>
      </c>
      <c r="L447" t="inlineStr">
        <is>
          <t>Austin : University of Texas Press, 1996.</t>
        </is>
      </c>
      <c r="M447" t="inlineStr">
        <is>
          <t>1996</t>
        </is>
      </c>
      <c r="N447" t="inlineStr">
        <is>
          <t>1st ed.</t>
        </is>
      </c>
      <c r="O447" t="inlineStr">
        <is>
          <t>eng</t>
        </is>
      </c>
      <c r="P447" t="inlineStr">
        <is>
          <t>txu</t>
        </is>
      </c>
      <c r="R447" t="inlineStr">
        <is>
          <t xml:space="preserve">P  </t>
        </is>
      </c>
      <c r="S447" t="n">
        <v>7</v>
      </c>
      <c r="T447" t="n">
        <v>7</v>
      </c>
      <c r="U447" t="inlineStr">
        <is>
          <t>2010-01-06</t>
        </is>
      </c>
      <c r="V447" t="inlineStr">
        <is>
          <t>2010-01-06</t>
        </is>
      </c>
      <c r="W447" t="inlineStr">
        <is>
          <t>1997-05-21</t>
        </is>
      </c>
      <c r="X447" t="inlineStr">
        <is>
          <t>1997-05-21</t>
        </is>
      </c>
      <c r="Y447" t="n">
        <v>560</v>
      </c>
      <c r="Z447" t="n">
        <v>471</v>
      </c>
      <c r="AA447" t="n">
        <v>478</v>
      </c>
      <c r="AB447" t="n">
        <v>4</v>
      </c>
      <c r="AC447" t="n">
        <v>4</v>
      </c>
      <c r="AD447" t="n">
        <v>28</v>
      </c>
      <c r="AE447" t="n">
        <v>28</v>
      </c>
      <c r="AF447" t="n">
        <v>13</v>
      </c>
      <c r="AG447" t="n">
        <v>13</v>
      </c>
      <c r="AH447" t="n">
        <v>5</v>
      </c>
      <c r="AI447" t="n">
        <v>5</v>
      </c>
      <c r="AJ447" t="n">
        <v>12</v>
      </c>
      <c r="AK447" t="n">
        <v>12</v>
      </c>
      <c r="AL447" t="n">
        <v>2</v>
      </c>
      <c r="AM447" t="n">
        <v>2</v>
      </c>
      <c r="AN447" t="n">
        <v>3</v>
      </c>
      <c r="AO447" t="n">
        <v>3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HYPERLINK("http://catalog.hathitrust.org/Record/003139669","HathiTrust Record")</f>
        <v/>
      </c>
      <c r="AS447">
        <f>HYPERLINK("https://creighton-primo.hosted.exlibrisgroup.com/primo-explore/search?tab=default_tab&amp;search_scope=EVERYTHING&amp;vid=01CRU&amp;lang=en_US&amp;offset=0&amp;query=any,contains,991001670839702656","Catalog Record")</f>
        <v/>
      </c>
      <c r="AT447">
        <f>HYPERLINK("http://www.worldcat.org/oclc/34319631","WorldCat Record")</f>
        <v/>
      </c>
      <c r="AU447" t="inlineStr">
        <is>
          <t>365982545:eng</t>
        </is>
      </c>
      <c r="AV447" t="inlineStr">
        <is>
          <t>34319631</t>
        </is>
      </c>
      <c r="AW447" t="inlineStr">
        <is>
          <t>991001670839702656</t>
        </is>
      </c>
      <c r="AX447" t="inlineStr">
        <is>
          <t>991001670839702656</t>
        </is>
      </c>
      <c r="AY447" t="inlineStr">
        <is>
          <t>2268768180002656</t>
        </is>
      </c>
      <c r="AZ447" t="inlineStr">
        <is>
          <t>BOOK</t>
        </is>
      </c>
      <c r="BB447" t="inlineStr">
        <is>
          <t>9780292751989</t>
        </is>
      </c>
      <c r="BC447" t="inlineStr">
        <is>
          <t>32285002610789</t>
        </is>
      </c>
      <c r="BD447" t="inlineStr">
        <is>
          <t>893516383</t>
        </is>
      </c>
    </row>
    <row r="448">
      <c r="A448" t="inlineStr">
        <is>
          <t>No</t>
        </is>
      </c>
      <c r="B448" t="inlineStr">
        <is>
          <t>P94.65.U6 R87 1994</t>
        </is>
      </c>
      <c r="C448" t="inlineStr">
        <is>
          <t>0                      P  0094650U  6                  R  87          1994</t>
        </is>
      </c>
      <c r="D448" t="inlineStr">
        <is>
          <t>Media virus! : hidden agendas in popular culture / Douglas Rushkoff.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Rushkoff, Douglas.</t>
        </is>
      </c>
      <c r="L448" t="inlineStr">
        <is>
          <t>New York : Ballantine Books, 1994.</t>
        </is>
      </c>
      <c r="M448" t="inlineStr">
        <is>
          <t>1994</t>
        </is>
      </c>
      <c r="N448" t="inlineStr">
        <is>
          <t>1st ed.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P  </t>
        </is>
      </c>
      <c r="S448" t="n">
        <v>2</v>
      </c>
      <c r="T448" t="n">
        <v>2</v>
      </c>
      <c r="U448" t="inlineStr">
        <is>
          <t>2005-10-09</t>
        </is>
      </c>
      <c r="V448" t="inlineStr">
        <is>
          <t>2005-10-09</t>
        </is>
      </c>
      <c r="W448" t="inlineStr">
        <is>
          <t>2005-09-12</t>
        </is>
      </c>
      <c r="X448" t="inlineStr">
        <is>
          <t>2005-09-12</t>
        </is>
      </c>
      <c r="Y448" t="n">
        <v>619</v>
      </c>
      <c r="Z448" t="n">
        <v>533</v>
      </c>
      <c r="AA448" t="n">
        <v>734</v>
      </c>
      <c r="AB448" t="n">
        <v>5</v>
      </c>
      <c r="AC448" t="n">
        <v>6</v>
      </c>
      <c r="AD448" t="n">
        <v>17</v>
      </c>
      <c r="AE448" t="n">
        <v>24</v>
      </c>
      <c r="AF448" t="n">
        <v>4</v>
      </c>
      <c r="AG448" t="n">
        <v>8</v>
      </c>
      <c r="AH448" t="n">
        <v>3</v>
      </c>
      <c r="AI448" t="n">
        <v>4</v>
      </c>
      <c r="AJ448" t="n">
        <v>10</v>
      </c>
      <c r="AK448" t="n">
        <v>13</v>
      </c>
      <c r="AL448" t="n">
        <v>4</v>
      </c>
      <c r="AM448" t="n">
        <v>5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HYPERLINK("http://catalog.hathitrust.org/Record/002889750","HathiTrust Record")</f>
        <v/>
      </c>
      <c r="AS448">
        <f>HYPERLINK("https://creighton-primo.hosted.exlibrisgroup.com/primo-explore/search?tab=default_tab&amp;search_scope=EVERYTHING&amp;vid=01CRU&amp;lang=en_US&amp;offset=0&amp;query=any,contains,991004644929702656","Catalog Record")</f>
        <v/>
      </c>
      <c r="AT448">
        <f>HYPERLINK("http://www.worldcat.org/oclc/30354877","WorldCat Record")</f>
        <v/>
      </c>
      <c r="AU448" t="inlineStr">
        <is>
          <t>898362:eng</t>
        </is>
      </c>
      <c r="AV448" t="inlineStr">
        <is>
          <t>30354877</t>
        </is>
      </c>
      <c r="AW448" t="inlineStr">
        <is>
          <t>991004644929702656</t>
        </is>
      </c>
      <c r="AX448" t="inlineStr">
        <is>
          <t>991004644929702656</t>
        </is>
      </c>
      <c r="AY448" t="inlineStr">
        <is>
          <t>2257401940002656</t>
        </is>
      </c>
      <c r="AZ448" t="inlineStr">
        <is>
          <t>BOOK</t>
        </is>
      </c>
      <c r="BB448" t="inlineStr">
        <is>
          <t>9780345382764</t>
        </is>
      </c>
      <c r="BC448" t="inlineStr">
        <is>
          <t>32285005083596</t>
        </is>
      </c>
      <c r="BD448" t="inlineStr">
        <is>
          <t>893719167</t>
        </is>
      </c>
    </row>
    <row r="449">
      <c r="A449" t="inlineStr">
        <is>
          <t>No</t>
        </is>
      </c>
      <c r="B449" t="inlineStr">
        <is>
          <t>P94.7 .M674 2006</t>
        </is>
      </c>
      <c r="C449" t="inlineStr">
        <is>
          <t>0                      P  0094700M  674         2006</t>
        </is>
      </c>
      <c r="D449" t="inlineStr">
        <is>
          <t>Human conflict : disagreement, misunderstanding, and problematic talk / C. David Mortensen.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Mortensen, C. David.</t>
        </is>
      </c>
      <c r="L449" t="inlineStr">
        <is>
          <t>Lanham, Md. : Rowman &amp; Littlefield Publishers, c2006.</t>
        </is>
      </c>
      <c r="M449" t="inlineStr">
        <is>
          <t>2006</t>
        </is>
      </c>
      <c r="O449" t="inlineStr">
        <is>
          <t>eng</t>
        </is>
      </c>
      <c r="P449" t="inlineStr">
        <is>
          <t>mdu</t>
        </is>
      </c>
      <c r="R449" t="inlineStr">
        <is>
          <t xml:space="preserve">P  </t>
        </is>
      </c>
      <c r="S449" t="n">
        <v>1</v>
      </c>
      <c r="T449" t="n">
        <v>1</v>
      </c>
      <c r="U449" t="inlineStr">
        <is>
          <t>2005-11-29</t>
        </is>
      </c>
      <c r="V449" t="inlineStr">
        <is>
          <t>2005-11-29</t>
        </is>
      </c>
      <c r="W449" t="inlineStr">
        <is>
          <t>2005-11-29</t>
        </is>
      </c>
      <c r="X449" t="inlineStr">
        <is>
          <t>2005-11-29</t>
        </is>
      </c>
      <c r="Y449" t="n">
        <v>314</v>
      </c>
      <c r="Z449" t="n">
        <v>261</v>
      </c>
      <c r="AA449" t="n">
        <v>281</v>
      </c>
      <c r="AB449" t="n">
        <v>3</v>
      </c>
      <c r="AC449" t="n">
        <v>3</v>
      </c>
      <c r="AD449" t="n">
        <v>20</v>
      </c>
      <c r="AE449" t="n">
        <v>21</v>
      </c>
      <c r="AF449" t="n">
        <v>9</v>
      </c>
      <c r="AG449" t="n">
        <v>10</v>
      </c>
      <c r="AH449" t="n">
        <v>5</v>
      </c>
      <c r="AI449" t="n">
        <v>6</v>
      </c>
      <c r="AJ449" t="n">
        <v>8</v>
      </c>
      <c r="AK449" t="n">
        <v>8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HYPERLINK("http://catalog.hathitrust.org/Record/007146645","HathiTrust Record")</f>
        <v/>
      </c>
      <c r="AS449">
        <f>HYPERLINK("https://creighton-primo.hosted.exlibrisgroup.com/primo-explore/search?tab=default_tab&amp;search_scope=EVERYTHING&amp;vid=01CRU&amp;lang=en_US&amp;offset=0&amp;query=any,contains,991004682739702656","Catalog Record")</f>
        <v/>
      </c>
      <c r="AT449">
        <f>HYPERLINK("http://www.worldcat.org/oclc/58789986","WorldCat Record")</f>
        <v/>
      </c>
      <c r="AU449" t="inlineStr">
        <is>
          <t>1009248:eng</t>
        </is>
      </c>
      <c r="AV449" t="inlineStr">
        <is>
          <t>58789986</t>
        </is>
      </c>
      <c r="AW449" t="inlineStr">
        <is>
          <t>991004682739702656</t>
        </is>
      </c>
      <c r="AX449" t="inlineStr">
        <is>
          <t>991004682739702656</t>
        </is>
      </c>
      <c r="AY449" t="inlineStr">
        <is>
          <t>2270386560002656</t>
        </is>
      </c>
      <c r="AZ449" t="inlineStr">
        <is>
          <t>BOOK</t>
        </is>
      </c>
      <c r="BB449" t="inlineStr">
        <is>
          <t>9780742527294</t>
        </is>
      </c>
      <c r="BC449" t="inlineStr">
        <is>
          <t>32285005148852</t>
        </is>
      </c>
      <c r="BD449" t="inlineStr">
        <is>
          <t>893618952</t>
        </is>
      </c>
    </row>
    <row r="450">
      <c r="A450" t="inlineStr">
        <is>
          <t>No</t>
        </is>
      </c>
      <c r="B450" t="inlineStr">
        <is>
          <t>P95 .A26 1983</t>
        </is>
      </c>
      <c r="C450" t="inlineStr">
        <is>
          <t>0                      P  0095000A  26          1983</t>
        </is>
      </c>
      <c r="D450" t="inlineStr">
        <is>
          <t>How to speak, how to listen / Mortimer J. Adler.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Adler, Mortimer Jerome, 1902-2001.</t>
        </is>
      </c>
      <c r="L450" t="inlineStr">
        <is>
          <t>New York : Macmillan, c1983.</t>
        </is>
      </c>
      <c r="M450" t="inlineStr">
        <is>
          <t>1983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P  </t>
        </is>
      </c>
      <c r="S450" t="n">
        <v>7</v>
      </c>
      <c r="T450" t="n">
        <v>7</v>
      </c>
      <c r="U450" t="inlineStr">
        <is>
          <t>2007-04-02</t>
        </is>
      </c>
      <c r="V450" t="inlineStr">
        <is>
          <t>2007-04-02</t>
        </is>
      </c>
      <c r="W450" t="inlineStr">
        <is>
          <t>1990-02-27</t>
        </is>
      </c>
      <c r="X450" t="inlineStr">
        <is>
          <t>1990-02-27</t>
        </is>
      </c>
      <c r="Y450" t="n">
        <v>1312</v>
      </c>
      <c r="Z450" t="n">
        <v>1227</v>
      </c>
      <c r="AA450" t="n">
        <v>1548</v>
      </c>
      <c r="AB450" t="n">
        <v>9</v>
      </c>
      <c r="AC450" t="n">
        <v>11</v>
      </c>
      <c r="AD450" t="n">
        <v>20</v>
      </c>
      <c r="AE450" t="n">
        <v>27</v>
      </c>
      <c r="AF450" t="n">
        <v>8</v>
      </c>
      <c r="AG450" t="n">
        <v>11</v>
      </c>
      <c r="AH450" t="n">
        <v>1</v>
      </c>
      <c r="AI450" t="n">
        <v>1</v>
      </c>
      <c r="AJ450" t="n">
        <v>11</v>
      </c>
      <c r="AK450" t="n">
        <v>14</v>
      </c>
      <c r="AL450" t="n">
        <v>2</v>
      </c>
      <c r="AM450" t="n">
        <v>3</v>
      </c>
      <c r="AN450" t="n">
        <v>0</v>
      </c>
      <c r="AO450" t="n">
        <v>1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HYPERLINK("http://catalog.hathitrust.org/Record/000317891","HathiTrust Record")</f>
        <v/>
      </c>
      <c r="AS450">
        <f>HYPERLINK("https://creighton-primo.hosted.exlibrisgroup.com/primo-explore/search?tab=default_tab&amp;search_scope=EVERYTHING&amp;vid=01CRU&amp;lang=en_US&amp;offset=0&amp;query=any,contains,991000145099702656","Catalog Record")</f>
        <v/>
      </c>
      <c r="AT450">
        <f>HYPERLINK("http://www.worldcat.org/oclc/9193948","WorldCat Record")</f>
        <v/>
      </c>
      <c r="AU450" t="inlineStr">
        <is>
          <t>47766530:eng</t>
        </is>
      </c>
      <c r="AV450" t="inlineStr">
        <is>
          <t>9193948</t>
        </is>
      </c>
      <c r="AW450" t="inlineStr">
        <is>
          <t>991000145099702656</t>
        </is>
      </c>
      <c r="AX450" t="inlineStr">
        <is>
          <t>991000145099702656</t>
        </is>
      </c>
      <c r="AY450" t="inlineStr">
        <is>
          <t>2267925700002656</t>
        </is>
      </c>
      <c r="AZ450" t="inlineStr">
        <is>
          <t>BOOK</t>
        </is>
      </c>
      <c r="BB450" t="inlineStr">
        <is>
          <t>9780025005709</t>
        </is>
      </c>
      <c r="BC450" t="inlineStr">
        <is>
          <t>32285000071430</t>
        </is>
      </c>
      <c r="BD450" t="inlineStr">
        <is>
          <t>893237108</t>
        </is>
      </c>
    </row>
    <row r="451">
      <c r="A451" t="inlineStr">
        <is>
          <t>No</t>
        </is>
      </c>
      <c r="B451" t="inlineStr">
        <is>
          <t>P95 .R67 1984</t>
        </is>
      </c>
      <c r="C451" t="inlineStr">
        <is>
          <t>0                      P  0095000R  67          1984</t>
        </is>
      </c>
      <c r="D451" t="inlineStr">
        <is>
          <t>Essentials of speech communication / Raymond S. Ross.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Ross, Raymond Samuel, 1925-</t>
        </is>
      </c>
      <c r="L451" t="inlineStr">
        <is>
          <t>Englewood Cliffs, N.J. : Prentice-Hall, c1984.</t>
        </is>
      </c>
      <c r="M451" t="inlineStr">
        <is>
          <t>1984</t>
        </is>
      </c>
      <c r="N451" t="inlineStr">
        <is>
          <t>2nd ed.</t>
        </is>
      </c>
      <c r="O451" t="inlineStr">
        <is>
          <t>eng</t>
        </is>
      </c>
      <c r="P451" t="inlineStr">
        <is>
          <t>nju</t>
        </is>
      </c>
      <c r="R451" t="inlineStr">
        <is>
          <t xml:space="preserve">P  </t>
        </is>
      </c>
      <c r="S451" t="n">
        <v>6</v>
      </c>
      <c r="T451" t="n">
        <v>6</v>
      </c>
      <c r="U451" t="inlineStr">
        <is>
          <t>1996-12-03</t>
        </is>
      </c>
      <c r="V451" t="inlineStr">
        <is>
          <t>1996-12-03</t>
        </is>
      </c>
      <c r="W451" t="inlineStr">
        <is>
          <t>1991-03-21</t>
        </is>
      </c>
      <c r="X451" t="inlineStr">
        <is>
          <t>1991-03-21</t>
        </is>
      </c>
      <c r="Y451" t="n">
        <v>77</v>
      </c>
      <c r="Z451" t="n">
        <v>64</v>
      </c>
      <c r="AA451" t="n">
        <v>158</v>
      </c>
      <c r="AB451" t="n">
        <v>1</v>
      </c>
      <c r="AC451" t="n">
        <v>2</v>
      </c>
      <c r="AD451" t="n">
        <v>1</v>
      </c>
      <c r="AE451" t="n">
        <v>2</v>
      </c>
      <c r="AF451" t="n">
        <v>1</v>
      </c>
      <c r="AG451" t="n">
        <v>1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1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HYPERLINK("http://catalog.hathitrust.org/Record/012265162","HathiTrust Record")</f>
        <v/>
      </c>
      <c r="AS451">
        <f>HYPERLINK("https://creighton-primo.hosted.exlibrisgroup.com/primo-explore/search?tab=default_tab&amp;search_scope=EVERYTHING&amp;vid=01CRU&amp;lang=en_US&amp;offset=0&amp;query=any,contains,991000336629702656","Catalog Record")</f>
        <v/>
      </c>
      <c r="AT451">
        <f>HYPERLINK("http://www.worldcat.org/oclc/10230066","WorldCat Record")</f>
        <v/>
      </c>
      <c r="AU451" t="inlineStr">
        <is>
          <t>3901021562:eng</t>
        </is>
      </c>
      <c r="AV451" t="inlineStr">
        <is>
          <t>10230066</t>
        </is>
      </c>
      <c r="AW451" t="inlineStr">
        <is>
          <t>991000336629702656</t>
        </is>
      </c>
      <c r="AX451" t="inlineStr">
        <is>
          <t>991000336629702656</t>
        </is>
      </c>
      <c r="AY451" t="inlineStr">
        <is>
          <t>2256363630002656</t>
        </is>
      </c>
      <c r="AZ451" t="inlineStr">
        <is>
          <t>BOOK</t>
        </is>
      </c>
      <c r="BB451" t="inlineStr">
        <is>
          <t>9780132891738</t>
        </is>
      </c>
      <c r="BC451" t="inlineStr">
        <is>
          <t>32285000536507</t>
        </is>
      </c>
      <c r="BD451" t="inlineStr">
        <is>
          <t>893515191</t>
        </is>
      </c>
    </row>
    <row r="452">
      <c r="A452" t="inlineStr">
        <is>
          <t>No</t>
        </is>
      </c>
      <c r="B452" t="inlineStr">
        <is>
          <t>P95.45 .B87 1993</t>
        </is>
      </c>
      <c r="C452" t="inlineStr">
        <is>
          <t>0                      P  0095450B  87          1993</t>
        </is>
      </c>
      <c r="D452" t="inlineStr">
        <is>
          <t>The art of conversation / Peter Burke.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Burke, Peter, 1937-</t>
        </is>
      </c>
      <c r="L452" t="inlineStr">
        <is>
          <t>Ithaca, NY : Cornell University Press, 1993.</t>
        </is>
      </c>
      <c r="M452" t="inlineStr">
        <is>
          <t>1993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P  </t>
        </is>
      </c>
      <c r="S452" t="n">
        <v>3</v>
      </c>
      <c r="T452" t="n">
        <v>3</v>
      </c>
      <c r="U452" t="inlineStr">
        <is>
          <t>2008-04-01</t>
        </is>
      </c>
      <c r="V452" t="inlineStr">
        <is>
          <t>2008-04-01</t>
        </is>
      </c>
      <c r="W452" t="inlineStr">
        <is>
          <t>2005-05-04</t>
        </is>
      </c>
      <c r="X452" t="inlineStr">
        <is>
          <t>2005-05-04</t>
        </is>
      </c>
      <c r="Y452" t="n">
        <v>296</v>
      </c>
      <c r="Z452" t="n">
        <v>246</v>
      </c>
      <c r="AA452" t="n">
        <v>281</v>
      </c>
      <c r="AB452" t="n">
        <v>4</v>
      </c>
      <c r="AC452" t="n">
        <v>4</v>
      </c>
      <c r="AD452" t="n">
        <v>13</v>
      </c>
      <c r="AE452" t="n">
        <v>15</v>
      </c>
      <c r="AF452" t="n">
        <v>3</v>
      </c>
      <c r="AG452" t="n">
        <v>4</v>
      </c>
      <c r="AH452" t="n">
        <v>2</v>
      </c>
      <c r="AI452" t="n">
        <v>4</v>
      </c>
      <c r="AJ452" t="n">
        <v>8</v>
      </c>
      <c r="AK452" t="n">
        <v>9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HYPERLINK("https://creighton-primo.hosted.exlibrisgroup.com/primo-explore/search?tab=default_tab&amp;search_scope=EVERYTHING&amp;vid=01CRU&amp;lang=en_US&amp;offset=0&amp;query=any,contains,991004549639702656","Catalog Record")</f>
        <v/>
      </c>
      <c r="AT452">
        <f>HYPERLINK("http://www.worldcat.org/oclc/28065591","WorldCat Record")</f>
        <v/>
      </c>
      <c r="AU452" t="inlineStr">
        <is>
          <t>3943809116:eng</t>
        </is>
      </c>
      <c r="AV452" t="inlineStr">
        <is>
          <t>28065591</t>
        </is>
      </c>
      <c r="AW452" t="inlineStr">
        <is>
          <t>991004549639702656</t>
        </is>
      </c>
      <c r="AX452" t="inlineStr">
        <is>
          <t>991004549639702656</t>
        </is>
      </c>
      <c r="AY452" t="inlineStr">
        <is>
          <t>2257748130002656</t>
        </is>
      </c>
      <c r="AZ452" t="inlineStr">
        <is>
          <t>BOOK</t>
        </is>
      </c>
      <c r="BB452" t="inlineStr">
        <is>
          <t>9780801429569</t>
        </is>
      </c>
      <c r="BC452" t="inlineStr">
        <is>
          <t>32285005035687</t>
        </is>
      </c>
      <c r="BD452" t="inlineStr">
        <is>
          <t>893343974</t>
        </is>
      </c>
    </row>
    <row r="453">
      <c r="A453" t="inlineStr">
        <is>
          <t>No</t>
        </is>
      </c>
      <c r="B453" t="inlineStr">
        <is>
          <t>P95.45 .M35 2000</t>
        </is>
      </c>
      <c r="C453" t="inlineStr">
        <is>
          <t>0                      P  0095450M  35          2000</t>
        </is>
      </c>
      <c r="D453" t="inlineStr">
        <is>
          <t>Conversation analysis / Numa Markee.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Markee, Numa.</t>
        </is>
      </c>
      <c r="L453" t="inlineStr">
        <is>
          <t>Mahwah, N.J. : L. Erlbaum Associates, c2000.</t>
        </is>
      </c>
      <c r="M453" t="inlineStr">
        <is>
          <t>2000</t>
        </is>
      </c>
      <c r="O453" t="inlineStr">
        <is>
          <t>eng</t>
        </is>
      </c>
      <c r="P453" t="inlineStr">
        <is>
          <t>nju</t>
        </is>
      </c>
      <c r="Q453" t="inlineStr">
        <is>
          <t>Second language acquisition research</t>
        </is>
      </c>
      <c r="R453" t="inlineStr">
        <is>
          <t xml:space="preserve">P  </t>
        </is>
      </c>
      <c r="S453" t="n">
        <v>4</v>
      </c>
      <c r="T453" t="n">
        <v>4</v>
      </c>
      <c r="U453" t="inlineStr">
        <is>
          <t>2009-10-08</t>
        </is>
      </c>
      <c r="V453" t="inlineStr">
        <is>
          <t>2009-10-08</t>
        </is>
      </c>
      <c r="W453" t="inlineStr">
        <is>
          <t>2000-04-11</t>
        </is>
      </c>
      <c r="X453" t="inlineStr">
        <is>
          <t>2000-04-11</t>
        </is>
      </c>
      <c r="Y453" t="n">
        <v>298</v>
      </c>
      <c r="Z453" t="n">
        <v>220</v>
      </c>
      <c r="AA453" t="n">
        <v>921</v>
      </c>
      <c r="AB453" t="n">
        <v>2</v>
      </c>
      <c r="AC453" t="n">
        <v>3</v>
      </c>
      <c r="AD453" t="n">
        <v>12</v>
      </c>
      <c r="AE453" t="n">
        <v>23</v>
      </c>
      <c r="AF453" t="n">
        <v>2</v>
      </c>
      <c r="AG453" t="n">
        <v>10</v>
      </c>
      <c r="AH453" t="n">
        <v>4</v>
      </c>
      <c r="AI453" t="n">
        <v>7</v>
      </c>
      <c r="AJ453" t="n">
        <v>8</v>
      </c>
      <c r="AK453" t="n">
        <v>11</v>
      </c>
      <c r="AL453" t="n">
        <v>1</v>
      </c>
      <c r="AM453" t="n">
        <v>2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HYPERLINK("http://catalog.hathitrust.org/Record/004092605","HathiTrust Record")</f>
        <v/>
      </c>
      <c r="AS453">
        <f>HYPERLINK("https://creighton-primo.hosted.exlibrisgroup.com/primo-explore/search?tab=default_tab&amp;search_scope=EVERYTHING&amp;vid=01CRU&amp;lang=en_US&amp;offset=0&amp;query=any,contains,991003037929702656","Catalog Record")</f>
        <v/>
      </c>
      <c r="AT453">
        <f>HYPERLINK("http://www.worldcat.org/oclc/41940199","WorldCat Record")</f>
        <v/>
      </c>
      <c r="AU453" t="inlineStr">
        <is>
          <t>1001457:eng</t>
        </is>
      </c>
      <c r="AV453" t="inlineStr">
        <is>
          <t>41940199</t>
        </is>
      </c>
      <c r="AW453" t="inlineStr">
        <is>
          <t>991003037929702656</t>
        </is>
      </c>
      <c r="AX453" t="inlineStr">
        <is>
          <t>991003037929702656</t>
        </is>
      </c>
      <c r="AY453" t="inlineStr">
        <is>
          <t>2265938330002656</t>
        </is>
      </c>
      <c r="AZ453" t="inlineStr">
        <is>
          <t>BOOK</t>
        </is>
      </c>
      <c r="BB453" t="inlineStr">
        <is>
          <t>9780805819991</t>
        </is>
      </c>
      <c r="BC453" t="inlineStr">
        <is>
          <t>32285003676771</t>
        </is>
      </c>
      <c r="BD453" t="inlineStr">
        <is>
          <t>893698611</t>
        </is>
      </c>
    </row>
    <row r="454">
      <c r="A454" t="inlineStr">
        <is>
          <t>No</t>
        </is>
      </c>
      <c r="B454" t="inlineStr">
        <is>
          <t>P95.45 .M64 1988</t>
        </is>
      </c>
      <c r="C454" t="inlineStr">
        <is>
          <t>0                      P  0095450M  64          1988</t>
        </is>
      </c>
      <c r="D454" t="inlineStr">
        <is>
          <t>Talking culture : ethnography and conversation analysis / Michael Moerman with an appendix by Michael Moerman and Harvey Sacks.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Moerman, Michael.</t>
        </is>
      </c>
      <c r="L454" t="inlineStr">
        <is>
          <t>Philadelphia : University of Pennsylvania Press, c1988.</t>
        </is>
      </c>
      <c r="M454" t="inlineStr">
        <is>
          <t>1988</t>
        </is>
      </c>
      <c r="O454" t="inlineStr">
        <is>
          <t>eng</t>
        </is>
      </c>
      <c r="P454" t="inlineStr">
        <is>
          <t>pau</t>
        </is>
      </c>
      <c r="Q454" t="inlineStr">
        <is>
          <t>University of Pennsylvania publications in conduct and communication</t>
        </is>
      </c>
      <c r="R454" t="inlineStr">
        <is>
          <t xml:space="preserve">P  </t>
        </is>
      </c>
      <c r="S454" t="n">
        <v>11</v>
      </c>
      <c r="T454" t="n">
        <v>11</v>
      </c>
      <c r="U454" t="inlineStr">
        <is>
          <t>2009-10-29</t>
        </is>
      </c>
      <c r="V454" t="inlineStr">
        <is>
          <t>2009-10-29</t>
        </is>
      </c>
      <c r="W454" t="inlineStr">
        <is>
          <t>1993-03-31</t>
        </is>
      </c>
      <c r="X454" t="inlineStr">
        <is>
          <t>1993-03-31</t>
        </is>
      </c>
      <c r="Y454" t="n">
        <v>611</v>
      </c>
      <c r="Z454" t="n">
        <v>485</v>
      </c>
      <c r="AA454" t="n">
        <v>952</v>
      </c>
      <c r="AB454" t="n">
        <v>3</v>
      </c>
      <c r="AC454" t="n">
        <v>6</v>
      </c>
      <c r="AD454" t="n">
        <v>26</v>
      </c>
      <c r="AE454" t="n">
        <v>46</v>
      </c>
      <c r="AF454" t="n">
        <v>12</v>
      </c>
      <c r="AG454" t="n">
        <v>21</v>
      </c>
      <c r="AH454" t="n">
        <v>6</v>
      </c>
      <c r="AI454" t="n">
        <v>11</v>
      </c>
      <c r="AJ454" t="n">
        <v>15</v>
      </c>
      <c r="AK454" t="n">
        <v>21</v>
      </c>
      <c r="AL454" t="n">
        <v>2</v>
      </c>
      <c r="AM454" t="n">
        <v>5</v>
      </c>
      <c r="AN454" t="n">
        <v>0</v>
      </c>
      <c r="AO454" t="n">
        <v>1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HYPERLINK("http://catalog.hathitrust.org/Record/000875504","HathiTrust Record")</f>
        <v/>
      </c>
      <c r="AS454">
        <f>HYPERLINK("https://creighton-primo.hosted.exlibrisgroup.com/primo-explore/search?tab=default_tab&amp;search_scope=EVERYTHING&amp;vid=01CRU&amp;lang=en_US&amp;offset=0&amp;query=any,contains,991001081259702656","Catalog Record")</f>
        <v/>
      </c>
      <c r="AT454">
        <f>HYPERLINK("http://www.worldcat.org/oclc/16088101","WorldCat Record")</f>
        <v/>
      </c>
      <c r="AU454" t="inlineStr">
        <is>
          <t>11692329:eng</t>
        </is>
      </c>
      <c r="AV454" t="inlineStr">
        <is>
          <t>16088101</t>
        </is>
      </c>
      <c r="AW454" t="inlineStr">
        <is>
          <t>991001081259702656</t>
        </is>
      </c>
      <c r="AX454" t="inlineStr">
        <is>
          <t>991001081259702656</t>
        </is>
      </c>
      <c r="AY454" t="inlineStr">
        <is>
          <t>2254716440002656</t>
        </is>
      </c>
      <c r="AZ454" t="inlineStr">
        <is>
          <t>BOOK</t>
        </is>
      </c>
      <c r="BB454" t="inlineStr">
        <is>
          <t>9780812280722</t>
        </is>
      </c>
      <c r="BC454" t="inlineStr">
        <is>
          <t>32285001612398</t>
        </is>
      </c>
      <c r="BD454" t="inlineStr">
        <is>
          <t>893878600</t>
        </is>
      </c>
    </row>
    <row r="455">
      <c r="A455" t="inlineStr">
        <is>
          <t>No</t>
        </is>
      </c>
      <c r="B455" t="inlineStr">
        <is>
          <t>P95.45 .P77 1995</t>
        </is>
      </c>
      <c r="C455" t="inlineStr">
        <is>
          <t>0                      P  0095450P  77          1995</t>
        </is>
      </c>
      <c r="D455" t="inlineStr">
        <is>
          <t>Conversation analysis : the study of talk-in-interaction / George Psathas.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Psathas, George.</t>
        </is>
      </c>
      <c r="L455" t="inlineStr">
        <is>
          <t>Thousand Oaks, Calif. : Sage, c1995.</t>
        </is>
      </c>
      <c r="M455" t="inlineStr">
        <is>
          <t>1995</t>
        </is>
      </c>
      <c r="O455" t="inlineStr">
        <is>
          <t>eng</t>
        </is>
      </c>
      <c r="P455" t="inlineStr">
        <is>
          <t>cau</t>
        </is>
      </c>
      <c r="Q455" t="inlineStr">
        <is>
          <t>Qualitative research methods ; v. 35</t>
        </is>
      </c>
      <c r="R455" t="inlineStr">
        <is>
          <t xml:space="preserve">P  </t>
        </is>
      </c>
      <c r="S455" t="n">
        <v>7</v>
      </c>
      <c r="T455" t="n">
        <v>7</v>
      </c>
      <c r="U455" t="inlineStr">
        <is>
          <t>2009-04-30</t>
        </is>
      </c>
      <c r="V455" t="inlineStr">
        <is>
          <t>2009-04-30</t>
        </is>
      </c>
      <c r="W455" t="inlineStr">
        <is>
          <t>1996-08-27</t>
        </is>
      </c>
      <c r="X455" t="inlineStr">
        <is>
          <t>1996-08-27</t>
        </is>
      </c>
      <c r="Y455" t="n">
        <v>472</v>
      </c>
      <c r="Z455" t="n">
        <v>296</v>
      </c>
      <c r="AA455" t="n">
        <v>354</v>
      </c>
      <c r="AB455" t="n">
        <v>4</v>
      </c>
      <c r="AC455" t="n">
        <v>4</v>
      </c>
      <c r="AD455" t="n">
        <v>18</v>
      </c>
      <c r="AE455" t="n">
        <v>20</v>
      </c>
      <c r="AF455" t="n">
        <v>6</v>
      </c>
      <c r="AG455" t="n">
        <v>7</v>
      </c>
      <c r="AH455" t="n">
        <v>4</v>
      </c>
      <c r="AI455" t="n">
        <v>5</v>
      </c>
      <c r="AJ455" t="n">
        <v>10</v>
      </c>
      <c r="AK455" t="n">
        <v>10</v>
      </c>
      <c r="AL455" t="n">
        <v>3</v>
      </c>
      <c r="AM455" t="n">
        <v>3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HYPERLINK("http://catalog.hathitrust.org/Record/002956240","HathiTrust Record")</f>
        <v/>
      </c>
      <c r="AS455">
        <f>HYPERLINK("https://creighton-primo.hosted.exlibrisgroup.com/primo-explore/search?tab=default_tab&amp;search_scope=EVERYTHING&amp;vid=01CRU&amp;lang=en_US&amp;offset=0&amp;query=any,contains,991002389149702656","Catalog Record")</f>
        <v/>
      </c>
      <c r="AT455">
        <f>HYPERLINK("http://www.worldcat.org/oclc/31045048","WorldCat Record")</f>
        <v/>
      </c>
      <c r="AU455" t="inlineStr">
        <is>
          <t>836943244:eng</t>
        </is>
      </c>
      <c r="AV455" t="inlineStr">
        <is>
          <t>31045048</t>
        </is>
      </c>
      <c r="AW455" t="inlineStr">
        <is>
          <t>991002389149702656</t>
        </is>
      </c>
      <c r="AX455" t="inlineStr">
        <is>
          <t>991002389149702656</t>
        </is>
      </c>
      <c r="AY455" t="inlineStr">
        <is>
          <t>2262015560002656</t>
        </is>
      </c>
      <c r="AZ455" t="inlineStr">
        <is>
          <t>BOOK</t>
        </is>
      </c>
      <c r="BB455" t="inlineStr">
        <is>
          <t>9780803957466</t>
        </is>
      </c>
      <c r="BC455" t="inlineStr">
        <is>
          <t>32285002292398</t>
        </is>
      </c>
      <c r="BD455" t="inlineStr">
        <is>
          <t>893440099</t>
        </is>
      </c>
    </row>
    <row r="456">
      <c r="A456" t="inlineStr">
        <is>
          <t>No</t>
        </is>
      </c>
      <c r="B456" t="inlineStr">
        <is>
          <t>P95.46 .D844 1995</t>
        </is>
      </c>
      <c r="C456" t="inlineStr">
        <is>
          <t>0                      P  0095460D  844         1995</t>
        </is>
      </c>
      <c r="D456" t="inlineStr">
        <is>
          <t>Listen up : hear what's really being said / Jim Dugger.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Dugger, Jim.</t>
        </is>
      </c>
      <c r="L456" t="inlineStr">
        <is>
          <t>West Des Moines, IA : American Media Publishing [c1995]</t>
        </is>
      </c>
      <c r="M456" t="inlineStr">
        <is>
          <t>1995</t>
        </is>
      </c>
      <c r="O456" t="inlineStr">
        <is>
          <t>eng</t>
        </is>
      </c>
      <c r="P456" t="inlineStr">
        <is>
          <t>iau</t>
        </is>
      </c>
      <c r="Q456" t="inlineStr">
        <is>
          <t>AMI how-to series</t>
        </is>
      </c>
      <c r="R456" t="inlineStr">
        <is>
          <t xml:space="preserve">P  </t>
        </is>
      </c>
      <c r="S456" t="n">
        <v>8</v>
      </c>
      <c r="T456" t="n">
        <v>8</v>
      </c>
      <c r="U456" t="inlineStr">
        <is>
          <t>2006-12-07</t>
        </is>
      </c>
      <c r="V456" t="inlineStr">
        <is>
          <t>2006-12-07</t>
        </is>
      </c>
      <c r="W456" t="inlineStr">
        <is>
          <t>1999-11-04</t>
        </is>
      </c>
      <c r="X456" t="inlineStr">
        <is>
          <t>1999-11-04</t>
        </is>
      </c>
      <c r="Y456" t="n">
        <v>82</v>
      </c>
      <c r="Z456" t="n">
        <v>68</v>
      </c>
      <c r="AA456" t="n">
        <v>196</v>
      </c>
      <c r="AB456" t="n">
        <v>1</v>
      </c>
      <c r="AC456" t="n">
        <v>2</v>
      </c>
      <c r="AD456" t="n">
        <v>0</v>
      </c>
      <c r="AE456" t="n">
        <v>4</v>
      </c>
      <c r="AF456" t="n">
        <v>0</v>
      </c>
      <c r="AG456" t="n">
        <v>3</v>
      </c>
      <c r="AH456" t="n">
        <v>0</v>
      </c>
      <c r="AI456" t="n">
        <v>0</v>
      </c>
      <c r="AJ456" t="n">
        <v>0</v>
      </c>
      <c r="AK456" t="n">
        <v>1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HYPERLINK("http://catalog.hathitrust.org/Record/007040483","HathiTrust Record")</f>
        <v/>
      </c>
      <c r="AS456">
        <f>HYPERLINK("https://creighton-primo.hosted.exlibrisgroup.com/primo-explore/search?tab=default_tab&amp;search_scope=EVERYTHING&amp;vid=01CRU&amp;lang=en_US&amp;offset=0&amp;query=any,contains,991002551339702656","Catalog Record")</f>
        <v/>
      </c>
      <c r="AT456">
        <f>HYPERLINK("http://www.worldcat.org/oclc/33157404","WorldCat Record")</f>
        <v/>
      </c>
      <c r="AU456" t="inlineStr">
        <is>
          <t>23476483:eng</t>
        </is>
      </c>
      <c r="AV456" t="inlineStr">
        <is>
          <t>33157404</t>
        </is>
      </c>
      <c r="AW456" t="inlineStr">
        <is>
          <t>991002551339702656</t>
        </is>
      </c>
      <c r="AX456" t="inlineStr">
        <is>
          <t>991002551339702656</t>
        </is>
      </c>
      <c r="AY456" t="inlineStr">
        <is>
          <t>2258854640002656</t>
        </is>
      </c>
      <c r="AZ456" t="inlineStr">
        <is>
          <t>BOOK</t>
        </is>
      </c>
      <c r="BB456" t="inlineStr">
        <is>
          <t>9781884926402</t>
        </is>
      </c>
      <c r="BC456" t="inlineStr">
        <is>
          <t>32285003563607</t>
        </is>
      </c>
      <c r="BD456" t="inlineStr">
        <is>
          <t>893421517</t>
        </is>
      </c>
    </row>
    <row r="457">
      <c r="A457" t="inlineStr">
        <is>
          <t>No</t>
        </is>
      </c>
      <c r="B457" t="inlineStr">
        <is>
          <t>P95.52 .D55 1990</t>
        </is>
      </c>
      <c r="C457" t="inlineStr">
        <is>
          <t>0                      P  0095520D  55          1990</t>
        </is>
      </c>
      <c r="D457" t="inlineStr">
        <is>
          <t>The practice of questioning / J.T. Dillon.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Dillon, J. T.</t>
        </is>
      </c>
      <c r="L457" t="inlineStr">
        <is>
          <t>London ; New York : Routledge, 1990.</t>
        </is>
      </c>
      <c r="M457" t="inlineStr">
        <is>
          <t>1990</t>
        </is>
      </c>
      <c r="O457" t="inlineStr">
        <is>
          <t>eng</t>
        </is>
      </c>
      <c r="P457" t="inlineStr">
        <is>
          <t>enk</t>
        </is>
      </c>
      <c r="Q457" t="inlineStr">
        <is>
          <t>International series on communication skills</t>
        </is>
      </c>
      <c r="R457" t="inlineStr">
        <is>
          <t xml:space="preserve">P  </t>
        </is>
      </c>
      <c r="S457" t="n">
        <v>2</v>
      </c>
      <c r="T457" t="n">
        <v>2</v>
      </c>
      <c r="U457" t="inlineStr">
        <is>
          <t>2009-04-30</t>
        </is>
      </c>
      <c r="V457" t="inlineStr">
        <is>
          <t>2009-04-30</t>
        </is>
      </c>
      <c r="W457" t="inlineStr">
        <is>
          <t>1992-06-22</t>
        </is>
      </c>
      <c r="X457" t="inlineStr">
        <is>
          <t>1992-06-22</t>
        </is>
      </c>
      <c r="Y457" t="n">
        <v>422</v>
      </c>
      <c r="Z457" t="n">
        <v>235</v>
      </c>
      <c r="AA457" t="n">
        <v>240</v>
      </c>
      <c r="AB457" t="n">
        <v>4</v>
      </c>
      <c r="AC457" t="n">
        <v>4</v>
      </c>
      <c r="AD457" t="n">
        <v>13</v>
      </c>
      <c r="AE457" t="n">
        <v>13</v>
      </c>
      <c r="AF457" t="n">
        <v>2</v>
      </c>
      <c r="AG457" t="n">
        <v>2</v>
      </c>
      <c r="AH457" t="n">
        <v>2</v>
      </c>
      <c r="AI457" t="n">
        <v>2</v>
      </c>
      <c r="AJ457" t="n">
        <v>7</v>
      </c>
      <c r="AK457" t="n">
        <v>7</v>
      </c>
      <c r="AL457" t="n">
        <v>3</v>
      </c>
      <c r="AM457" t="n">
        <v>3</v>
      </c>
      <c r="AN457" t="n">
        <v>1</v>
      </c>
      <c r="AO457" t="n">
        <v>1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HYPERLINK("https://creighton-primo.hosted.exlibrisgroup.com/primo-explore/search?tab=default_tab&amp;search_scope=EVERYTHING&amp;vid=01CRU&amp;lang=en_US&amp;offset=0&amp;query=any,contains,991001474609702656","Catalog Record")</f>
        <v/>
      </c>
      <c r="AT457">
        <f>HYPERLINK("http://www.worldcat.org/oclc/19555622","WorldCat Record")</f>
        <v/>
      </c>
      <c r="AU457" t="inlineStr">
        <is>
          <t>21189774:eng</t>
        </is>
      </c>
      <c r="AV457" t="inlineStr">
        <is>
          <t>19555622</t>
        </is>
      </c>
      <c r="AW457" t="inlineStr">
        <is>
          <t>991001474609702656</t>
        </is>
      </c>
      <c r="AX457" t="inlineStr">
        <is>
          <t>991001474609702656</t>
        </is>
      </c>
      <c r="AY457" t="inlineStr">
        <is>
          <t>2271650280002656</t>
        </is>
      </c>
      <c r="AZ457" t="inlineStr">
        <is>
          <t>BOOK</t>
        </is>
      </c>
      <c r="BB457" t="inlineStr">
        <is>
          <t>9780415043793</t>
        </is>
      </c>
      <c r="BC457" t="inlineStr">
        <is>
          <t>32285001155141</t>
        </is>
      </c>
      <c r="BD457" t="inlineStr">
        <is>
          <t>893897808</t>
        </is>
      </c>
    </row>
    <row r="458">
      <c r="A458" t="inlineStr">
        <is>
          <t>No</t>
        </is>
      </c>
      <c r="B458" t="inlineStr">
        <is>
          <t>P95.54 .C67 2006</t>
        </is>
      </c>
      <c r="C458" t="inlineStr">
        <is>
          <t>0                      P  0095540C  67          2006</t>
        </is>
      </c>
      <c r="D458" t="inlineStr">
        <is>
          <t>Opposing hate speech / Anthony Cortese ; foreword by Richard Delgado.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Cortese, Anthony Joseph Paul.</t>
        </is>
      </c>
      <c r="L458" t="inlineStr">
        <is>
          <t>Westport, Conn. : Praeger Publishers, 2006.</t>
        </is>
      </c>
      <c r="M458" t="inlineStr">
        <is>
          <t>2006</t>
        </is>
      </c>
      <c r="O458" t="inlineStr">
        <is>
          <t>eng</t>
        </is>
      </c>
      <c r="P458" t="inlineStr">
        <is>
          <t>ctu</t>
        </is>
      </c>
      <c r="R458" t="inlineStr">
        <is>
          <t xml:space="preserve">P  </t>
        </is>
      </c>
      <c r="S458" t="n">
        <v>4</v>
      </c>
      <c r="T458" t="n">
        <v>4</v>
      </c>
      <c r="U458" t="inlineStr">
        <is>
          <t>2007-12-09</t>
        </is>
      </c>
      <c r="V458" t="inlineStr">
        <is>
          <t>2007-12-09</t>
        </is>
      </c>
      <c r="W458" t="inlineStr">
        <is>
          <t>2006-01-19</t>
        </is>
      </c>
      <c r="X458" t="inlineStr">
        <is>
          <t>2006-01-19</t>
        </is>
      </c>
      <c r="Y458" t="n">
        <v>518</v>
      </c>
      <c r="Z458" t="n">
        <v>465</v>
      </c>
      <c r="AA458" t="n">
        <v>503</v>
      </c>
      <c r="AB458" t="n">
        <v>5</v>
      </c>
      <c r="AC458" t="n">
        <v>5</v>
      </c>
      <c r="AD458" t="n">
        <v>22</v>
      </c>
      <c r="AE458" t="n">
        <v>23</v>
      </c>
      <c r="AF458" t="n">
        <v>6</v>
      </c>
      <c r="AG458" t="n">
        <v>7</v>
      </c>
      <c r="AH458" t="n">
        <v>5</v>
      </c>
      <c r="AI458" t="n">
        <v>6</v>
      </c>
      <c r="AJ458" t="n">
        <v>9</v>
      </c>
      <c r="AK458" t="n">
        <v>9</v>
      </c>
      <c r="AL458" t="n">
        <v>4</v>
      </c>
      <c r="AM458" t="n">
        <v>4</v>
      </c>
      <c r="AN458" t="n">
        <v>2</v>
      </c>
      <c r="AO458" t="n">
        <v>2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HYPERLINK("https://creighton-primo.hosted.exlibrisgroup.com/primo-explore/search?tab=default_tab&amp;search_scope=EVERYTHING&amp;vid=01CRU&amp;lang=en_US&amp;offset=0&amp;query=any,contains,991004708389702656","Catalog Record")</f>
        <v/>
      </c>
      <c r="AT458">
        <f>HYPERLINK("http://www.worldcat.org/oclc/60839350","WorldCat Record")</f>
        <v/>
      </c>
      <c r="AU458" t="inlineStr">
        <is>
          <t>2387:eng</t>
        </is>
      </c>
      <c r="AV458" t="inlineStr">
        <is>
          <t>60839350</t>
        </is>
      </c>
      <c r="AW458" t="inlineStr">
        <is>
          <t>991004708389702656</t>
        </is>
      </c>
      <c r="AX458" t="inlineStr">
        <is>
          <t>991004708389702656</t>
        </is>
      </c>
      <c r="AY458" t="inlineStr">
        <is>
          <t>2267801400002656</t>
        </is>
      </c>
      <c r="AZ458" t="inlineStr">
        <is>
          <t>BOOK</t>
        </is>
      </c>
      <c r="BB458" t="inlineStr">
        <is>
          <t>9780275984274</t>
        </is>
      </c>
      <c r="BC458" t="inlineStr">
        <is>
          <t>32285005155824</t>
        </is>
      </c>
      <c r="BD458" t="inlineStr">
        <is>
          <t>893430409</t>
        </is>
      </c>
    </row>
    <row r="459">
      <c r="A459" t="inlineStr">
        <is>
          <t>No</t>
        </is>
      </c>
      <c r="B459" t="inlineStr">
        <is>
          <t>P95.54 .H38 1995</t>
        </is>
      </c>
      <c r="C459" t="inlineStr">
        <is>
          <t>0                      P  0095540H  38          1995</t>
        </is>
      </c>
      <c r="D459" t="inlineStr">
        <is>
          <t>Hate speech / Rita Kirk Whillock, David Slayden, editors.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Thousand Oaks, Calif. : Sage Publications, c1995.</t>
        </is>
      </c>
      <c r="M459" t="inlineStr">
        <is>
          <t>1995</t>
        </is>
      </c>
      <c r="O459" t="inlineStr">
        <is>
          <t>eng</t>
        </is>
      </c>
      <c r="P459" t="inlineStr">
        <is>
          <t>cau</t>
        </is>
      </c>
      <c r="R459" t="inlineStr">
        <is>
          <t xml:space="preserve">P  </t>
        </is>
      </c>
      <c r="S459" t="n">
        <v>18</v>
      </c>
      <c r="T459" t="n">
        <v>18</v>
      </c>
      <c r="U459" t="inlineStr">
        <is>
          <t>2007-12-09</t>
        </is>
      </c>
      <c r="V459" t="inlineStr">
        <is>
          <t>2007-12-09</t>
        </is>
      </c>
      <c r="W459" t="inlineStr">
        <is>
          <t>1996-11-18</t>
        </is>
      </c>
      <c r="X459" t="inlineStr">
        <is>
          <t>1996-11-18</t>
        </is>
      </c>
      <c r="Y459" t="n">
        <v>538</v>
      </c>
      <c r="Z459" t="n">
        <v>437</v>
      </c>
      <c r="AA459" t="n">
        <v>439</v>
      </c>
      <c r="AB459" t="n">
        <v>4</v>
      </c>
      <c r="AC459" t="n">
        <v>4</v>
      </c>
      <c r="AD459" t="n">
        <v>31</v>
      </c>
      <c r="AE459" t="n">
        <v>31</v>
      </c>
      <c r="AF459" t="n">
        <v>9</v>
      </c>
      <c r="AG459" t="n">
        <v>9</v>
      </c>
      <c r="AH459" t="n">
        <v>9</v>
      </c>
      <c r="AI459" t="n">
        <v>9</v>
      </c>
      <c r="AJ459" t="n">
        <v>15</v>
      </c>
      <c r="AK459" t="n">
        <v>15</v>
      </c>
      <c r="AL459" t="n">
        <v>3</v>
      </c>
      <c r="AM459" t="n">
        <v>3</v>
      </c>
      <c r="AN459" t="n">
        <v>3</v>
      </c>
      <c r="AO459" t="n">
        <v>3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HYPERLINK("http://catalog.hathitrust.org/Record/003013473","HathiTrust Record")</f>
        <v/>
      </c>
      <c r="AS459">
        <f>HYPERLINK("https://creighton-primo.hosted.exlibrisgroup.com/primo-explore/search?tab=default_tab&amp;search_scope=EVERYTHING&amp;vid=01CRU&amp;lang=en_US&amp;offset=0&amp;query=any,contains,991005421429702656","Catalog Record")</f>
        <v/>
      </c>
      <c r="AT459">
        <f>HYPERLINK("http://www.worldcat.org/oclc/32590695","WorldCat Record")</f>
        <v/>
      </c>
      <c r="AU459" t="inlineStr">
        <is>
          <t>352310747:eng</t>
        </is>
      </c>
      <c r="AV459" t="inlineStr">
        <is>
          <t>32590695</t>
        </is>
      </c>
      <c r="AW459" t="inlineStr">
        <is>
          <t>991005421429702656</t>
        </is>
      </c>
      <c r="AX459" t="inlineStr">
        <is>
          <t>991005421429702656</t>
        </is>
      </c>
      <c r="AY459" t="inlineStr">
        <is>
          <t>2272301320002656</t>
        </is>
      </c>
      <c r="AZ459" t="inlineStr">
        <is>
          <t>BOOK</t>
        </is>
      </c>
      <c r="BB459" t="inlineStr">
        <is>
          <t>9780803972087</t>
        </is>
      </c>
      <c r="BC459" t="inlineStr">
        <is>
          <t>32285002373925</t>
        </is>
      </c>
      <c r="BD459" t="inlineStr">
        <is>
          <t>893896434</t>
        </is>
      </c>
    </row>
    <row r="460">
      <c r="A460" t="inlineStr">
        <is>
          <t>No</t>
        </is>
      </c>
      <c r="B460" t="inlineStr">
        <is>
          <t>P95.55 .F413 1983</t>
        </is>
      </c>
      <c r="C460" t="inlineStr">
        <is>
          <t>0                      P  0095550F  413         1983</t>
        </is>
      </c>
      <c r="D460" t="inlineStr">
        <is>
          <t>The literary speech act : Don Juan with J.L. Austin, or seduction in two languages / Shoshana Felman ; translated by Catherine Porter.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Felman, Shoshana.</t>
        </is>
      </c>
      <c r="L460" t="inlineStr">
        <is>
          <t>Ithaca, N.Y. : Cornell University Press, 1983.</t>
        </is>
      </c>
      <c r="M460" t="inlineStr">
        <is>
          <t>1983</t>
        </is>
      </c>
      <c r="O460" t="inlineStr">
        <is>
          <t>eng</t>
        </is>
      </c>
      <c r="P460" t="inlineStr">
        <is>
          <t>nyu</t>
        </is>
      </c>
      <c r="R460" t="inlineStr">
        <is>
          <t xml:space="preserve">P  </t>
        </is>
      </c>
      <c r="S460" t="n">
        <v>4</v>
      </c>
      <c r="T460" t="n">
        <v>4</v>
      </c>
      <c r="U460" t="inlineStr">
        <is>
          <t>2004-04-02</t>
        </is>
      </c>
      <c r="V460" t="inlineStr">
        <is>
          <t>2004-04-02</t>
        </is>
      </c>
      <c r="W460" t="inlineStr">
        <is>
          <t>1993-03-31</t>
        </is>
      </c>
      <c r="X460" t="inlineStr">
        <is>
          <t>1993-03-31</t>
        </is>
      </c>
      <c r="Y460" t="n">
        <v>378</v>
      </c>
      <c r="Z460" t="n">
        <v>319</v>
      </c>
      <c r="AA460" t="n">
        <v>673</v>
      </c>
      <c r="AB460" t="n">
        <v>3</v>
      </c>
      <c r="AC460" t="n">
        <v>18</v>
      </c>
      <c r="AD460" t="n">
        <v>21</v>
      </c>
      <c r="AE460" t="n">
        <v>36</v>
      </c>
      <c r="AF460" t="n">
        <v>7</v>
      </c>
      <c r="AG460" t="n">
        <v>11</v>
      </c>
      <c r="AH460" t="n">
        <v>6</v>
      </c>
      <c r="AI460" t="n">
        <v>9</v>
      </c>
      <c r="AJ460" t="n">
        <v>14</v>
      </c>
      <c r="AK460" t="n">
        <v>15</v>
      </c>
      <c r="AL460" t="n">
        <v>2</v>
      </c>
      <c r="AM460" t="n">
        <v>10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HYPERLINK("http://catalog.hathitrust.org/Record/000158217","HathiTrust Record")</f>
        <v/>
      </c>
      <c r="AS460">
        <f>HYPERLINK("https://creighton-primo.hosted.exlibrisgroup.com/primo-explore/search?tab=default_tab&amp;search_scope=EVERYTHING&amp;vid=01CRU&amp;lang=en_US&amp;offset=0&amp;query=any,contains,991000248259702656","Catalog Record")</f>
        <v/>
      </c>
      <c r="AT460">
        <f>HYPERLINK("http://www.worldcat.org/oclc/9731848","WorldCat Record")</f>
        <v/>
      </c>
      <c r="AU460" t="inlineStr">
        <is>
          <t>1058324:eng</t>
        </is>
      </c>
      <c r="AV460" t="inlineStr">
        <is>
          <t>9731848</t>
        </is>
      </c>
      <c r="AW460" t="inlineStr">
        <is>
          <t>991000248259702656</t>
        </is>
      </c>
      <c r="AX460" t="inlineStr">
        <is>
          <t>991000248259702656</t>
        </is>
      </c>
      <c r="AY460" t="inlineStr">
        <is>
          <t>2272350060002656</t>
        </is>
      </c>
      <c r="AZ460" t="inlineStr">
        <is>
          <t>BOOK</t>
        </is>
      </c>
      <c r="BB460" t="inlineStr">
        <is>
          <t>9780801414589</t>
        </is>
      </c>
      <c r="BC460" t="inlineStr">
        <is>
          <t>32285001612414</t>
        </is>
      </c>
      <c r="BD460" t="inlineStr">
        <is>
          <t>893614048</t>
        </is>
      </c>
    </row>
    <row r="461">
      <c r="A461" t="inlineStr">
        <is>
          <t>No</t>
        </is>
      </c>
      <c r="B461" t="inlineStr">
        <is>
          <t>P95.8 .D394 2000</t>
        </is>
      </c>
      <c r="C461" t="inlineStr">
        <is>
          <t>0                      P  0095800D  394         2000</t>
        </is>
      </c>
      <c r="D461" t="inlineStr">
        <is>
          <t>Democracy and the media : a comparative perspective / edited by Richard Gunther, Anthony Mughan.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Cambridge ; New York : Cambridge University Press, 2000.</t>
        </is>
      </c>
      <c r="M461" t="inlineStr">
        <is>
          <t>2000</t>
        </is>
      </c>
      <c r="O461" t="inlineStr">
        <is>
          <t>eng</t>
        </is>
      </c>
      <c r="P461" t="inlineStr">
        <is>
          <t>enk</t>
        </is>
      </c>
      <c r="Q461" t="inlineStr">
        <is>
          <t>Communication, society, and politics</t>
        </is>
      </c>
      <c r="R461" t="inlineStr">
        <is>
          <t xml:space="preserve">P  </t>
        </is>
      </c>
      <c r="S461" t="n">
        <v>3</v>
      </c>
      <c r="T461" t="n">
        <v>3</v>
      </c>
      <c r="U461" t="inlineStr">
        <is>
          <t>2007-10-14</t>
        </is>
      </c>
      <c r="V461" t="inlineStr">
        <is>
          <t>2007-10-14</t>
        </is>
      </c>
      <c r="W461" t="inlineStr">
        <is>
          <t>2002-03-21</t>
        </is>
      </c>
      <c r="X461" t="inlineStr">
        <is>
          <t>2002-03-21</t>
        </is>
      </c>
      <c r="Y461" t="n">
        <v>598</v>
      </c>
      <c r="Z461" t="n">
        <v>414</v>
      </c>
      <c r="AA461" t="n">
        <v>425</v>
      </c>
      <c r="AB461" t="n">
        <v>4</v>
      </c>
      <c r="AC461" t="n">
        <v>4</v>
      </c>
      <c r="AD461" t="n">
        <v>24</v>
      </c>
      <c r="AE461" t="n">
        <v>24</v>
      </c>
      <c r="AF461" t="n">
        <v>7</v>
      </c>
      <c r="AG461" t="n">
        <v>7</v>
      </c>
      <c r="AH461" t="n">
        <v>5</v>
      </c>
      <c r="AI461" t="n">
        <v>5</v>
      </c>
      <c r="AJ461" t="n">
        <v>12</v>
      </c>
      <c r="AK461" t="n">
        <v>12</v>
      </c>
      <c r="AL461" t="n">
        <v>3</v>
      </c>
      <c r="AM461" t="n">
        <v>3</v>
      </c>
      <c r="AN461" t="n">
        <v>2</v>
      </c>
      <c r="AO461" t="n">
        <v>2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HYPERLINK("https://creighton-primo.hosted.exlibrisgroup.com/primo-explore/search?tab=default_tab&amp;search_scope=EVERYTHING&amp;vid=01CRU&amp;lang=en_US&amp;offset=0&amp;query=any,contains,991003760289702656","Catalog Record")</f>
        <v/>
      </c>
      <c r="AT461">
        <f>HYPERLINK("http://www.worldcat.org/oclc/42717268","WorldCat Record")</f>
        <v/>
      </c>
      <c r="AU461" t="inlineStr">
        <is>
          <t>864865021:eng</t>
        </is>
      </c>
      <c r="AV461" t="inlineStr">
        <is>
          <t>42717268</t>
        </is>
      </c>
      <c r="AW461" t="inlineStr">
        <is>
          <t>991003760289702656</t>
        </is>
      </c>
      <c r="AX461" t="inlineStr">
        <is>
          <t>991003760289702656</t>
        </is>
      </c>
      <c r="AY461" t="inlineStr">
        <is>
          <t>2261078500002656</t>
        </is>
      </c>
      <c r="AZ461" t="inlineStr">
        <is>
          <t>BOOK</t>
        </is>
      </c>
      <c r="BB461" t="inlineStr">
        <is>
          <t>9780521771801</t>
        </is>
      </c>
      <c r="BC461" t="inlineStr">
        <is>
          <t>32285004464045</t>
        </is>
      </c>
      <c r="BD461" t="inlineStr">
        <is>
          <t>893705597</t>
        </is>
      </c>
    </row>
    <row r="462">
      <c r="A462" t="inlineStr">
        <is>
          <t>No</t>
        </is>
      </c>
      <c r="B462" t="inlineStr">
        <is>
          <t>P95.8 .H33 2006</t>
        </is>
      </c>
      <c r="C462" t="inlineStr">
        <is>
          <t>0                      P  0095800H  33          2006</t>
        </is>
      </c>
      <c r="D462" t="inlineStr">
        <is>
          <t>Remaking media : the struggle to democratize public communication / Robert A. Hackett and William K. Carroll.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Hackett, Robert A.</t>
        </is>
      </c>
      <c r="L462" t="inlineStr">
        <is>
          <t>New York ; London : Routledge, 2006.</t>
        </is>
      </c>
      <c r="M462" t="inlineStr">
        <is>
          <t>2006</t>
        </is>
      </c>
      <c r="O462" t="inlineStr">
        <is>
          <t>eng</t>
        </is>
      </c>
      <c r="P462" t="inlineStr">
        <is>
          <t>nyu</t>
        </is>
      </c>
      <c r="Q462" t="inlineStr">
        <is>
          <t>Communication and society</t>
        </is>
      </c>
      <c r="R462" t="inlineStr">
        <is>
          <t xml:space="preserve">P  </t>
        </is>
      </c>
      <c r="S462" t="n">
        <v>1</v>
      </c>
      <c r="T462" t="n">
        <v>1</v>
      </c>
      <c r="U462" t="inlineStr">
        <is>
          <t>2008-08-12</t>
        </is>
      </c>
      <c r="V462" t="inlineStr">
        <is>
          <t>2008-08-12</t>
        </is>
      </c>
      <c r="W462" t="inlineStr">
        <is>
          <t>2008-08-12</t>
        </is>
      </c>
      <c r="X462" t="inlineStr">
        <is>
          <t>2008-08-12</t>
        </is>
      </c>
      <c r="Y462" t="n">
        <v>318</v>
      </c>
      <c r="Z462" t="n">
        <v>191</v>
      </c>
      <c r="AA462" t="n">
        <v>228</v>
      </c>
      <c r="AB462" t="n">
        <v>3</v>
      </c>
      <c r="AC462" t="n">
        <v>3</v>
      </c>
      <c r="AD462" t="n">
        <v>8</v>
      </c>
      <c r="AE462" t="n">
        <v>8</v>
      </c>
      <c r="AF462" t="n">
        <v>2</v>
      </c>
      <c r="AG462" t="n">
        <v>2</v>
      </c>
      <c r="AH462" t="n">
        <v>1</v>
      </c>
      <c r="AI462" t="n">
        <v>1</v>
      </c>
      <c r="AJ462" t="n">
        <v>4</v>
      </c>
      <c r="AK462" t="n">
        <v>4</v>
      </c>
      <c r="AL462" t="n">
        <v>2</v>
      </c>
      <c r="AM462" t="n">
        <v>2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HYPERLINK("https://creighton-primo.hosted.exlibrisgroup.com/primo-explore/search?tab=default_tab&amp;search_scope=EVERYTHING&amp;vid=01CRU&amp;lang=en_US&amp;offset=0&amp;query=any,contains,991005055809702656","Catalog Record")</f>
        <v/>
      </c>
      <c r="AT462">
        <f>HYPERLINK("http://www.worldcat.org/oclc/62326728","WorldCat Record")</f>
        <v/>
      </c>
      <c r="AU462" t="inlineStr">
        <is>
          <t>864083941:eng</t>
        </is>
      </c>
      <c r="AV462" t="inlineStr">
        <is>
          <t>62326728</t>
        </is>
      </c>
      <c r="AW462" t="inlineStr">
        <is>
          <t>991005055809702656</t>
        </is>
      </c>
      <c r="AX462" t="inlineStr">
        <is>
          <t>991005055809702656</t>
        </is>
      </c>
      <c r="AY462" t="inlineStr">
        <is>
          <t>2272219650002656</t>
        </is>
      </c>
      <c r="AZ462" t="inlineStr">
        <is>
          <t>BOOK</t>
        </is>
      </c>
      <c r="BB462" t="inlineStr">
        <is>
          <t>9780203969922</t>
        </is>
      </c>
      <c r="BC462" t="inlineStr">
        <is>
          <t>32285005453047</t>
        </is>
      </c>
      <c r="BD462" t="inlineStr">
        <is>
          <t>893628492</t>
        </is>
      </c>
    </row>
    <row r="463">
      <c r="A463" t="inlineStr">
        <is>
          <t>No</t>
        </is>
      </c>
      <c r="B463" t="inlineStr">
        <is>
          <t>P95.8 .M384 2001</t>
        </is>
      </c>
      <c r="C463" t="inlineStr">
        <is>
          <t>0                      P  0095800M  384         2001</t>
        </is>
      </c>
      <c r="D463" t="inlineStr">
        <is>
          <t>Media and globalization : why the state matters / edited by Nancy Morris and Silvio Waisbord ; epilogue by Kaarle Nordenstreng.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L463" t="inlineStr">
        <is>
          <t>Lanham, MD : Rowman &amp; Littlefield, c2001.</t>
        </is>
      </c>
      <c r="M463" t="inlineStr">
        <is>
          <t>2001</t>
        </is>
      </c>
      <c r="O463" t="inlineStr">
        <is>
          <t>eng</t>
        </is>
      </c>
      <c r="P463" t="inlineStr">
        <is>
          <t>mdu</t>
        </is>
      </c>
      <c r="R463" t="inlineStr">
        <is>
          <t xml:space="preserve">P  </t>
        </is>
      </c>
      <c r="S463" t="n">
        <v>2</v>
      </c>
      <c r="T463" t="n">
        <v>2</v>
      </c>
      <c r="U463" t="inlineStr">
        <is>
          <t>2006-02-10</t>
        </is>
      </c>
      <c r="V463" t="inlineStr">
        <is>
          <t>2006-02-10</t>
        </is>
      </c>
      <c r="W463" t="inlineStr">
        <is>
          <t>2001-10-01</t>
        </is>
      </c>
      <c r="X463" t="inlineStr">
        <is>
          <t>2001-10-01</t>
        </is>
      </c>
      <c r="Y463" t="n">
        <v>448</v>
      </c>
      <c r="Z463" t="n">
        <v>347</v>
      </c>
      <c r="AA463" t="n">
        <v>352</v>
      </c>
      <c r="AB463" t="n">
        <v>3</v>
      </c>
      <c r="AC463" t="n">
        <v>3</v>
      </c>
      <c r="AD463" t="n">
        <v>24</v>
      </c>
      <c r="AE463" t="n">
        <v>24</v>
      </c>
      <c r="AF463" t="n">
        <v>11</v>
      </c>
      <c r="AG463" t="n">
        <v>11</v>
      </c>
      <c r="AH463" t="n">
        <v>5</v>
      </c>
      <c r="AI463" t="n">
        <v>5</v>
      </c>
      <c r="AJ463" t="n">
        <v>11</v>
      </c>
      <c r="AK463" t="n">
        <v>11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HYPERLINK("http://catalog.hathitrust.org/Record/004178045","HathiTrust Record")</f>
        <v/>
      </c>
      <c r="AS463">
        <f>HYPERLINK("https://creighton-primo.hosted.exlibrisgroup.com/primo-explore/search?tab=default_tab&amp;search_scope=EVERYTHING&amp;vid=01CRU&amp;lang=en_US&amp;offset=0&amp;query=any,contains,991003598919702656","Catalog Record")</f>
        <v/>
      </c>
      <c r="AT463">
        <f>HYPERLINK("http://www.worldcat.org/oclc/45804815","WorldCat Record")</f>
        <v/>
      </c>
      <c r="AU463" t="inlineStr">
        <is>
          <t>890378108:eng</t>
        </is>
      </c>
      <c r="AV463" t="inlineStr">
        <is>
          <t>45804815</t>
        </is>
      </c>
      <c r="AW463" t="inlineStr">
        <is>
          <t>991003598919702656</t>
        </is>
      </c>
      <c r="AX463" t="inlineStr">
        <is>
          <t>991003598919702656</t>
        </is>
      </c>
      <c r="AY463" t="inlineStr">
        <is>
          <t>2257832670002656</t>
        </is>
      </c>
      <c r="AZ463" t="inlineStr">
        <is>
          <t>BOOK</t>
        </is>
      </c>
      <c r="BB463" t="inlineStr">
        <is>
          <t>9780742510296</t>
        </is>
      </c>
      <c r="BC463" t="inlineStr">
        <is>
          <t>32285004393251</t>
        </is>
      </c>
      <c r="BD463" t="inlineStr">
        <is>
          <t>893686702</t>
        </is>
      </c>
    </row>
    <row r="464">
      <c r="A464" t="inlineStr">
        <is>
          <t>No</t>
        </is>
      </c>
      <c r="B464" t="inlineStr">
        <is>
          <t>P95.8 .N56 1992</t>
        </is>
      </c>
      <c r="C464" t="inlineStr">
        <is>
          <t>0                      P  0095800N  56          1992</t>
        </is>
      </c>
      <c r="D464" t="inlineStr">
        <is>
          <t>The political pundits / Dan Nimmo, James E. Combs.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Nimmo, Dan D.</t>
        </is>
      </c>
      <c r="L464" t="inlineStr">
        <is>
          <t>New York : Praeger, 1992.</t>
        </is>
      </c>
      <c r="M464" t="inlineStr">
        <is>
          <t>1992</t>
        </is>
      </c>
      <c r="O464" t="inlineStr">
        <is>
          <t>eng</t>
        </is>
      </c>
      <c r="P464" t="inlineStr">
        <is>
          <t>nyu</t>
        </is>
      </c>
      <c r="Q464" t="inlineStr">
        <is>
          <t>Praeger series in political communication</t>
        </is>
      </c>
      <c r="R464" t="inlineStr">
        <is>
          <t xml:space="preserve">P  </t>
        </is>
      </c>
      <c r="S464" t="n">
        <v>5</v>
      </c>
      <c r="T464" t="n">
        <v>5</v>
      </c>
      <c r="U464" t="inlineStr">
        <is>
          <t>2007-11-29</t>
        </is>
      </c>
      <c r="V464" t="inlineStr">
        <is>
          <t>2007-11-29</t>
        </is>
      </c>
      <c r="W464" t="inlineStr">
        <is>
          <t>1993-01-14</t>
        </is>
      </c>
      <c r="X464" t="inlineStr">
        <is>
          <t>1993-01-14</t>
        </is>
      </c>
      <c r="Y464" t="n">
        <v>431</v>
      </c>
      <c r="Z464" t="n">
        <v>368</v>
      </c>
      <c r="AA464" t="n">
        <v>370</v>
      </c>
      <c r="AB464" t="n">
        <v>4</v>
      </c>
      <c r="AC464" t="n">
        <v>4</v>
      </c>
      <c r="AD464" t="n">
        <v>24</v>
      </c>
      <c r="AE464" t="n">
        <v>24</v>
      </c>
      <c r="AF464" t="n">
        <v>10</v>
      </c>
      <c r="AG464" t="n">
        <v>10</v>
      </c>
      <c r="AH464" t="n">
        <v>7</v>
      </c>
      <c r="AI464" t="n">
        <v>7</v>
      </c>
      <c r="AJ464" t="n">
        <v>11</v>
      </c>
      <c r="AK464" t="n">
        <v>11</v>
      </c>
      <c r="AL464" t="n">
        <v>3</v>
      </c>
      <c r="AM464" t="n">
        <v>3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HYPERLINK("http://catalog.hathitrust.org/Record/002557490","HathiTrust Record")</f>
        <v/>
      </c>
      <c r="AS464">
        <f>HYPERLINK("https://creighton-primo.hosted.exlibrisgroup.com/primo-explore/search?tab=default_tab&amp;search_scope=EVERYTHING&amp;vid=01CRU&amp;lang=en_US&amp;offset=0&amp;query=any,contains,991001939119702656","Catalog Record")</f>
        <v/>
      </c>
      <c r="AT464">
        <f>HYPERLINK("http://www.worldcat.org/oclc/24502560","WorldCat Record")</f>
        <v/>
      </c>
      <c r="AU464" t="inlineStr">
        <is>
          <t>2567491:eng</t>
        </is>
      </c>
      <c r="AV464" t="inlineStr">
        <is>
          <t>24502560</t>
        </is>
      </c>
      <c r="AW464" t="inlineStr">
        <is>
          <t>991001939119702656</t>
        </is>
      </c>
      <c r="AX464" t="inlineStr">
        <is>
          <t>991001939119702656</t>
        </is>
      </c>
      <c r="AY464" t="inlineStr">
        <is>
          <t>2266608550002656</t>
        </is>
      </c>
      <c r="AZ464" t="inlineStr">
        <is>
          <t>BOOK</t>
        </is>
      </c>
      <c r="BB464" t="inlineStr">
        <is>
          <t>9780275935412</t>
        </is>
      </c>
      <c r="BC464" t="inlineStr">
        <is>
          <t>32285001446003</t>
        </is>
      </c>
      <c r="BD464" t="inlineStr">
        <is>
          <t>893621735</t>
        </is>
      </c>
    </row>
    <row r="465">
      <c r="A465" t="inlineStr">
        <is>
          <t>No</t>
        </is>
      </c>
      <c r="B465" t="inlineStr">
        <is>
          <t>P95.8 .P645 1996</t>
        </is>
      </c>
      <c r="C465" t="inlineStr">
        <is>
          <t>0                      P  0095800P  645         1996</t>
        </is>
      </c>
      <c r="D465" t="inlineStr">
        <is>
          <t>Political persuasion and attitude change / edited by Diana C. Mutz, Paul M. Sniderman, and Richard A. Brody.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Ann Arbor : University of Michigan Press, c1996.</t>
        </is>
      </c>
      <c r="M465" t="inlineStr">
        <is>
          <t>1996</t>
        </is>
      </c>
      <c r="O465" t="inlineStr">
        <is>
          <t>eng</t>
        </is>
      </c>
      <c r="P465" t="inlineStr">
        <is>
          <t>miu</t>
        </is>
      </c>
      <c r="R465" t="inlineStr">
        <is>
          <t xml:space="preserve">P  </t>
        </is>
      </c>
      <c r="S465" t="n">
        <v>3</v>
      </c>
      <c r="T465" t="n">
        <v>3</v>
      </c>
      <c r="U465" t="inlineStr">
        <is>
          <t>2003-11-15</t>
        </is>
      </c>
      <c r="V465" t="inlineStr">
        <is>
          <t>2003-11-15</t>
        </is>
      </c>
      <c r="W465" t="inlineStr">
        <is>
          <t>1997-05-19</t>
        </is>
      </c>
      <c r="X465" t="inlineStr">
        <is>
          <t>1997-05-19</t>
        </is>
      </c>
      <c r="Y465" t="n">
        <v>535</v>
      </c>
      <c r="Z465" t="n">
        <v>457</v>
      </c>
      <c r="AA465" t="n">
        <v>458</v>
      </c>
      <c r="AB465" t="n">
        <v>6</v>
      </c>
      <c r="AC465" t="n">
        <v>6</v>
      </c>
      <c r="AD465" t="n">
        <v>32</v>
      </c>
      <c r="AE465" t="n">
        <v>32</v>
      </c>
      <c r="AF465" t="n">
        <v>12</v>
      </c>
      <c r="AG465" t="n">
        <v>12</v>
      </c>
      <c r="AH465" t="n">
        <v>9</v>
      </c>
      <c r="AI465" t="n">
        <v>9</v>
      </c>
      <c r="AJ465" t="n">
        <v>13</v>
      </c>
      <c r="AK465" t="n">
        <v>13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HYPERLINK("http://catalog.hathitrust.org/Record/003092945","HathiTrust Record")</f>
        <v/>
      </c>
      <c r="AS465">
        <f>HYPERLINK("https://creighton-primo.hosted.exlibrisgroup.com/primo-explore/search?tab=default_tab&amp;search_scope=EVERYTHING&amp;vid=01CRU&amp;lang=en_US&amp;offset=0&amp;query=any,contains,991002615189702656","Catalog Record")</f>
        <v/>
      </c>
      <c r="AT465">
        <f>HYPERLINK("http://www.worldcat.org/oclc/34283061","WorldCat Record")</f>
        <v/>
      </c>
      <c r="AU465" t="inlineStr">
        <is>
          <t>351154318:eng</t>
        </is>
      </c>
      <c r="AV465" t="inlineStr">
        <is>
          <t>34283061</t>
        </is>
      </c>
      <c r="AW465" t="inlineStr">
        <is>
          <t>991002615189702656</t>
        </is>
      </c>
      <c r="AX465" t="inlineStr">
        <is>
          <t>991002615189702656</t>
        </is>
      </c>
      <c r="AY465" t="inlineStr">
        <is>
          <t>2257497310002656</t>
        </is>
      </c>
      <c r="AZ465" t="inlineStr">
        <is>
          <t>BOOK</t>
        </is>
      </c>
      <c r="BB465" t="inlineStr">
        <is>
          <t>9780472065554</t>
        </is>
      </c>
      <c r="BC465" t="inlineStr">
        <is>
          <t>32285002609385</t>
        </is>
      </c>
      <c r="BD465" t="inlineStr">
        <is>
          <t>893245395</t>
        </is>
      </c>
    </row>
    <row r="466">
      <c r="A466" t="inlineStr">
        <is>
          <t>No</t>
        </is>
      </c>
      <c r="B466" t="inlineStr">
        <is>
          <t>P95.8 .P74 1997</t>
        </is>
      </c>
      <c r="C466" t="inlineStr">
        <is>
          <t>0                      P  0095800P  74          1997</t>
        </is>
      </c>
      <c r="D466" t="inlineStr">
        <is>
          <t>Press freedom and development : a research guide and selected bibliography / compiled by Clement E. Asante ; foreword by Everett M. Rogers.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Westport, Conn. : Greenwood Press, 1997.</t>
        </is>
      </c>
      <c r="M466" t="inlineStr">
        <is>
          <t>1997</t>
        </is>
      </c>
      <c r="O466" t="inlineStr">
        <is>
          <t>eng</t>
        </is>
      </c>
      <c r="P466" t="inlineStr">
        <is>
          <t>ctu</t>
        </is>
      </c>
      <c r="Q466" t="inlineStr">
        <is>
          <t>Bibliographies and indexes in mass media and communications, 1041-8350 ; no. 11</t>
        </is>
      </c>
      <c r="R466" t="inlineStr">
        <is>
          <t xml:space="preserve">P  </t>
        </is>
      </c>
      <c r="S466" t="n">
        <v>1</v>
      </c>
      <c r="T466" t="n">
        <v>1</v>
      </c>
      <c r="U466" t="inlineStr">
        <is>
          <t>2010-03-30</t>
        </is>
      </c>
      <c r="V466" t="inlineStr">
        <is>
          <t>2010-03-30</t>
        </is>
      </c>
      <c r="W466" t="inlineStr">
        <is>
          <t>1999-04-22</t>
        </is>
      </c>
      <c r="X466" t="inlineStr">
        <is>
          <t>1999-04-22</t>
        </is>
      </c>
      <c r="Y466" t="n">
        <v>263</v>
      </c>
      <c r="Z466" t="n">
        <v>210</v>
      </c>
      <c r="AA466" t="n">
        <v>215</v>
      </c>
      <c r="AB466" t="n">
        <v>3</v>
      </c>
      <c r="AC466" t="n">
        <v>3</v>
      </c>
      <c r="AD466" t="n">
        <v>17</v>
      </c>
      <c r="AE466" t="n">
        <v>17</v>
      </c>
      <c r="AF466" t="n">
        <v>6</v>
      </c>
      <c r="AG466" t="n">
        <v>6</v>
      </c>
      <c r="AH466" t="n">
        <v>3</v>
      </c>
      <c r="AI466" t="n">
        <v>3</v>
      </c>
      <c r="AJ466" t="n">
        <v>11</v>
      </c>
      <c r="AK466" t="n">
        <v>11</v>
      </c>
      <c r="AL466" t="n">
        <v>2</v>
      </c>
      <c r="AM466" t="n">
        <v>2</v>
      </c>
      <c r="AN466" t="n">
        <v>1</v>
      </c>
      <c r="AO466" t="n">
        <v>1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HYPERLINK("https://creighton-primo.hosted.exlibrisgroup.com/primo-explore/search?tab=default_tab&amp;search_scope=EVERYTHING&amp;vid=01CRU&amp;lang=en_US&amp;offset=0&amp;query=any,contains,991002815599702656","Catalog Record")</f>
        <v/>
      </c>
      <c r="AT466">
        <f>HYPERLINK("http://www.worldcat.org/oclc/36977297","WorldCat Record")</f>
        <v/>
      </c>
      <c r="AU466" t="inlineStr">
        <is>
          <t>836961988:eng</t>
        </is>
      </c>
      <c r="AV466" t="inlineStr">
        <is>
          <t>36977297</t>
        </is>
      </c>
      <c r="AW466" t="inlineStr">
        <is>
          <t>991002815599702656</t>
        </is>
      </c>
      <c r="AX466" t="inlineStr">
        <is>
          <t>991002815599702656</t>
        </is>
      </c>
      <c r="AY466" t="inlineStr">
        <is>
          <t>2259004590002656</t>
        </is>
      </c>
      <c r="AZ466" t="inlineStr">
        <is>
          <t>BOOK</t>
        </is>
      </c>
      <c r="BB466" t="inlineStr">
        <is>
          <t>9780313299940</t>
        </is>
      </c>
      <c r="BC466" t="inlineStr">
        <is>
          <t>32285003554929</t>
        </is>
      </c>
      <c r="BD466" t="inlineStr">
        <is>
          <t>893867743</t>
        </is>
      </c>
    </row>
    <row r="467">
      <c r="A467" t="inlineStr">
        <is>
          <t>No</t>
        </is>
      </c>
      <c r="B467" t="inlineStr">
        <is>
          <t>P95.8 .P756 2007</t>
        </is>
      </c>
      <c r="C467" t="inlineStr">
        <is>
          <t>0                      P  0095800P  756         2007</t>
        </is>
      </c>
      <c r="D467" t="inlineStr">
        <is>
          <t>Post-broadcast democracy : how media choice increases inequality in political involvement and polarizes elections / Markus Prior.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Prior, Markus, 1974-</t>
        </is>
      </c>
      <c r="L467" t="inlineStr">
        <is>
          <t>New York : Cambridge University Press, 2007.</t>
        </is>
      </c>
      <c r="M467" t="inlineStr">
        <is>
          <t>2007</t>
        </is>
      </c>
      <c r="O467" t="inlineStr">
        <is>
          <t>eng</t>
        </is>
      </c>
      <c r="P467" t="inlineStr">
        <is>
          <t>nyu</t>
        </is>
      </c>
      <c r="Q467" t="inlineStr">
        <is>
          <t>Cambridge studies in public opinion and political psychology</t>
        </is>
      </c>
      <c r="R467" t="inlineStr">
        <is>
          <t xml:space="preserve">P  </t>
        </is>
      </c>
      <c r="S467" t="n">
        <v>1</v>
      </c>
      <c r="T467" t="n">
        <v>1</v>
      </c>
      <c r="U467" t="inlineStr">
        <is>
          <t>2010-10-29</t>
        </is>
      </c>
      <c r="V467" t="inlineStr">
        <is>
          <t>2010-10-29</t>
        </is>
      </c>
      <c r="W467" t="inlineStr">
        <is>
          <t>2008-06-05</t>
        </is>
      </c>
      <c r="X467" t="inlineStr">
        <is>
          <t>2008-06-05</t>
        </is>
      </c>
      <c r="Y467" t="n">
        <v>616</v>
      </c>
      <c r="Z467" t="n">
        <v>525</v>
      </c>
      <c r="AA467" t="n">
        <v>678</v>
      </c>
      <c r="AB467" t="n">
        <v>4</v>
      </c>
      <c r="AC467" t="n">
        <v>4</v>
      </c>
      <c r="AD467" t="n">
        <v>34</v>
      </c>
      <c r="AE467" t="n">
        <v>34</v>
      </c>
      <c r="AF467" t="n">
        <v>18</v>
      </c>
      <c r="AG467" t="n">
        <v>18</v>
      </c>
      <c r="AH467" t="n">
        <v>8</v>
      </c>
      <c r="AI467" t="n">
        <v>8</v>
      </c>
      <c r="AJ467" t="n">
        <v>14</v>
      </c>
      <c r="AK467" t="n">
        <v>14</v>
      </c>
      <c r="AL467" t="n">
        <v>3</v>
      </c>
      <c r="AM467" t="n">
        <v>3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HYPERLINK("https://creighton-primo.hosted.exlibrisgroup.com/primo-explore/search?tab=default_tab&amp;search_scope=EVERYTHING&amp;vid=01CRU&amp;lang=en_US&amp;offset=0&amp;query=any,contains,991005212029702656","Catalog Record")</f>
        <v/>
      </c>
      <c r="AT467">
        <f>HYPERLINK("http://www.worldcat.org/oclc/71173667","WorldCat Record")</f>
        <v/>
      </c>
      <c r="AU467" t="inlineStr">
        <is>
          <t>863406024:eng</t>
        </is>
      </c>
      <c r="AV467" t="inlineStr">
        <is>
          <t>71173667</t>
        </is>
      </c>
      <c r="AW467" t="inlineStr">
        <is>
          <t>991005212029702656</t>
        </is>
      </c>
      <c r="AX467" t="inlineStr">
        <is>
          <t>991005212029702656</t>
        </is>
      </c>
      <c r="AY467" t="inlineStr">
        <is>
          <t>2260344150002656</t>
        </is>
      </c>
      <c r="AZ467" t="inlineStr">
        <is>
          <t>BOOK</t>
        </is>
      </c>
      <c r="BB467" t="inlineStr">
        <is>
          <t>9780521675338</t>
        </is>
      </c>
      <c r="BC467" t="inlineStr">
        <is>
          <t>32285005443055</t>
        </is>
      </c>
      <c r="BD467" t="inlineStr">
        <is>
          <t>893877129</t>
        </is>
      </c>
    </row>
    <row r="468">
      <c r="A468" t="inlineStr">
        <is>
          <t>No</t>
        </is>
      </c>
      <c r="B468" t="inlineStr">
        <is>
          <t>P95.8 .T44 1999</t>
        </is>
      </c>
      <c r="C468" t="inlineStr">
        <is>
          <t>0                      P  0095800T  44          1999</t>
        </is>
      </c>
      <c r="D468" t="inlineStr">
        <is>
          <t>Global communication and world politics : domination, development, and discourse / Majid Tehranian.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Tehranian, Majid.</t>
        </is>
      </c>
      <c r="L468" t="inlineStr">
        <is>
          <t>Boulder, Colo. : Lynne Rienner Publishers, 1999.</t>
        </is>
      </c>
      <c r="M468" t="inlineStr">
        <is>
          <t>1999</t>
        </is>
      </c>
      <c r="O468" t="inlineStr">
        <is>
          <t>eng</t>
        </is>
      </c>
      <c r="P468" t="inlineStr">
        <is>
          <t>cou</t>
        </is>
      </c>
      <c r="R468" t="inlineStr">
        <is>
          <t xml:space="preserve">P  </t>
        </is>
      </c>
      <c r="S468" t="n">
        <v>4</v>
      </c>
      <c r="T468" t="n">
        <v>4</v>
      </c>
      <c r="U468" t="inlineStr">
        <is>
          <t>2010-03-30</t>
        </is>
      </c>
      <c r="V468" t="inlineStr">
        <is>
          <t>2010-03-30</t>
        </is>
      </c>
      <c r="W468" t="inlineStr">
        <is>
          <t>1999-08-12</t>
        </is>
      </c>
      <c r="X468" t="inlineStr">
        <is>
          <t>1999-08-12</t>
        </is>
      </c>
      <c r="Y468" t="n">
        <v>450</v>
      </c>
      <c r="Z468" t="n">
        <v>301</v>
      </c>
      <c r="AA468" t="n">
        <v>303</v>
      </c>
      <c r="AB468" t="n">
        <v>3</v>
      </c>
      <c r="AC468" t="n">
        <v>3</v>
      </c>
      <c r="AD468" t="n">
        <v>20</v>
      </c>
      <c r="AE468" t="n">
        <v>20</v>
      </c>
      <c r="AF468" t="n">
        <v>7</v>
      </c>
      <c r="AG468" t="n">
        <v>7</v>
      </c>
      <c r="AH468" t="n">
        <v>7</v>
      </c>
      <c r="AI468" t="n">
        <v>7</v>
      </c>
      <c r="AJ468" t="n">
        <v>9</v>
      </c>
      <c r="AK468" t="n">
        <v>9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HYPERLINK("http://catalog.hathitrust.org/Record/004032566","HathiTrust Record")</f>
        <v/>
      </c>
      <c r="AS468">
        <f>HYPERLINK("https://creighton-primo.hosted.exlibrisgroup.com/primo-explore/search?tab=default_tab&amp;search_scope=EVERYTHING&amp;vid=01CRU&amp;lang=en_US&amp;offset=0&amp;query=any,contains,991002979049702656","Catalog Record")</f>
        <v/>
      </c>
      <c r="AT468">
        <f>HYPERLINK("http://www.worldcat.org/oclc/40043556","WorldCat Record")</f>
        <v/>
      </c>
      <c r="AU468" t="inlineStr">
        <is>
          <t>837001052:eng</t>
        </is>
      </c>
      <c r="AV468" t="inlineStr">
        <is>
          <t>40043556</t>
        </is>
      </c>
      <c r="AW468" t="inlineStr">
        <is>
          <t>991002979049702656</t>
        </is>
      </c>
      <c r="AX468" t="inlineStr">
        <is>
          <t>991002979049702656</t>
        </is>
      </c>
      <c r="AY468" t="inlineStr">
        <is>
          <t>2268062620002656</t>
        </is>
      </c>
      <c r="AZ468" t="inlineStr">
        <is>
          <t>BOOK</t>
        </is>
      </c>
      <c r="BB468" t="inlineStr">
        <is>
          <t>9781555873738</t>
        </is>
      </c>
      <c r="BC468" t="inlineStr">
        <is>
          <t>32285003581591</t>
        </is>
      </c>
      <c r="BD468" t="inlineStr">
        <is>
          <t>893422028</t>
        </is>
      </c>
    </row>
    <row r="469">
      <c r="A469" t="inlineStr">
        <is>
          <t>No</t>
        </is>
      </c>
      <c r="B469" t="inlineStr">
        <is>
          <t>P95.815 .F47 1999</t>
        </is>
      </c>
      <c r="C469" t="inlineStr">
        <is>
          <t>0                      P  0095815F  47          1999</t>
        </is>
      </c>
      <c r="D469" t="inlineStr">
        <is>
          <t>Communication planning : an integrated approach / Sherry Devereaux Ferguson.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Ferguson, Sherry Devereaux.</t>
        </is>
      </c>
      <c r="L469" t="inlineStr">
        <is>
          <t>Thousand Oaks : Sage, c1999.</t>
        </is>
      </c>
      <c r="M469" t="inlineStr">
        <is>
          <t>1999</t>
        </is>
      </c>
      <c r="O469" t="inlineStr">
        <is>
          <t>eng</t>
        </is>
      </c>
      <c r="P469" t="inlineStr">
        <is>
          <t>cau</t>
        </is>
      </c>
      <c r="Q469" t="inlineStr">
        <is>
          <t>Sage series in public relations ; v. 1</t>
        </is>
      </c>
      <c r="R469" t="inlineStr">
        <is>
          <t xml:space="preserve">P  </t>
        </is>
      </c>
      <c r="S469" t="n">
        <v>4</v>
      </c>
      <c r="T469" t="n">
        <v>4</v>
      </c>
      <c r="U469" t="inlineStr">
        <is>
          <t>2003-05-30</t>
        </is>
      </c>
      <c r="V469" t="inlineStr">
        <is>
          <t>2003-05-30</t>
        </is>
      </c>
      <c r="W469" t="inlineStr">
        <is>
          <t>2000-10-26</t>
        </is>
      </c>
      <c r="X469" t="inlineStr">
        <is>
          <t>2000-10-26</t>
        </is>
      </c>
      <c r="Y469" t="n">
        <v>346</v>
      </c>
      <c r="Z469" t="n">
        <v>247</v>
      </c>
      <c r="AA469" t="n">
        <v>313</v>
      </c>
      <c r="AB469" t="n">
        <v>3</v>
      </c>
      <c r="AC469" t="n">
        <v>3</v>
      </c>
      <c r="AD469" t="n">
        <v>18</v>
      </c>
      <c r="AE469" t="n">
        <v>22</v>
      </c>
      <c r="AF469" t="n">
        <v>8</v>
      </c>
      <c r="AG469" t="n">
        <v>10</v>
      </c>
      <c r="AH469" t="n">
        <v>4</v>
      </c>
      <c r="AI469" t="n">
        <v>6</v>
      </c>
      <c r="AJ469" t="n">
        <v>8</v>
      </c>
      <c r="AK469" t="n">
        <v>9</v>
      </c>
      <c r="AL469" t="n">
        <v>2</v>
      </c>
      <c r="AM469" t="n">
        <v>2</v>
      </c>
      <c r="AN469" t="n">
        <v>0</v>
      </c>
      <c r="AO469" t="n">
        <v>0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HYPERLINK("https://creighton-primo.hosted.exlibrisgroup.com/primo-explore/search?tab=default_tab&amp;search_scope=EVERYTHING&amp;vid=01CRU&amp;lang=en_US&amp;offset=0&amp;query=any,contains,991003244729702656","Catalog Record")</f>
        <v/>
      </c>
      <c r="AT469">
        <f>HYPERLINK("http://www.worldcat.org/oclc/40830047","WorldCat Record")</f>
        <v/>
      </c>
      <c r="AU469" t="inlineStr">
        <is>
          <t>25787220:eng</t>
        </is>
      </c>
      <c r="AV469" t="inlineStr">
        <is>
          <t>40830047</t>
        </is>
      </c>
      <c r="AW469" t="inlineStr">
        <is>
          <t>991003244729702656</t>
        </is>
      </c>
      <c r="AX469" t="inlineStr">
        <is>
          <t>991003244729702656</t>
        </is>
      </c>
      <c r="AY469" t="inlineStr">
        <is>
          <t>2256129940002656</t>
        </is>
      </c>
      <c r="AZ469" t="inlineStr">
        <is>
          <t>BOOK</t>
        </is>
      </c>
      <c r="BB469" t="inlineStr">
        <is>
          <t>9780761913139</t>
        </is>
      </c>
      <c r="BC469" t="inlineStr">
        <is>
          <t>32285004261052</t>
        </is>
      </c>
      <c r="BD469" t="inlineStr">
        <is>
          <t>893780760</t>
        </is>
      </c>
    </row>
    <row r="470">
      <c r="A470" t="inlineStr">
        <is>
          <t>No</t>
        </is>
      </c>
      <c r="B470" t="inlineStr">
        <is>
          <t>P95.82.A4 M4 2002</t>
        </is>
      </c>
      <c r="C470" t="inlineStr">
        <is>
          <t>0                      P  0095820A  4                  M  4           2002</t>
        </is>
      </c>
      <c r="D470" t="inlineStr">
        <is>
          <t>Media and democracy in Africa / Goran Hyden, Michael Leslie, and Folu F. Ogundimu, editors.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L470" t="inlineStr">
        <is>
          <t>New Brunswick, N.J. : Transaction Publishers ; Uppsala : Nordiska Afrikainstitutet, c2002.</t>
        </is>
      </c>
      <c r="M470" t="inlineStr">
        <is>
          <t>2002</t>
        </is>
      </c>
      <c r="O470" t="inlineStr">
        <is>
          <t>eng</t>
        </is>
      </c>
      <c r="P470" t="inlineStr">
        <is>
          <t>nju</t>
        </is>
      </c>
      <c r="R470" t="inlineStr">
        <is>
          <t xml:space="preserve">P  </t>
        </is>
      </c>
      <c r="S470" t="n">
        <v>2</v>
      </c>
      <c r="T470" t="n">
        <v>2</v>
      </c>
      <c r="U470" t="inlineStr">
        <is>
          <t>2004-11-17</t>
        </is>
      </c>
      <c r="V470" t="inlineStr">
        <is>
          <t>2004-11-17</t>
        </is>
      </c>
      <c r="W470" t="inlineStr">
        <is>
          <t>2004-11-17</t>
        </is>
      </c>
      <c r="X470" t="inlineStr">
        <is>
          <t>2004-11-17</t>
        </is>
      </c>
      <c r="Y470" t="n">
        <v>257</v>
      </c>
      <c r="Z470" t="n">
        <v>211</v>
      </c>
      <c r="AA470" t="n">
        <v>233</v>
      </c>
      <c r="AB470" t="n">
        <v>3</v>
      </c>
      <c r="AC470" t="n">
        <v>3</v>
      </c>
      <c r="AD470" t="n">
        <v>14</v>
      </c>
      <c r="AE470" t="n">
        <v>14</v>
      </c>
      <c r="AF470" t="n">
        <v>5</v>
      </c>
      <c r="AG470" t="n">
        <v>5</v>
      </c>
      <c r="AH470" t="n">
        <v>4</v>
      </c>
      <c r="AI470" t="n">
        <v>4</v>
      </c>
      <c r="AJ470" t="n">
        <v>6</v>
      </c>
      <c r="AK470" t="n">
        <v>6</v>
      </c>
      <c r="AL470" t="n">
        <v>2</v>
      </c>
      <c r="AM470" t="n">
        <v>2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HYPERLINK("http://catalog.hathitrust.org/Record/004288659","HathiTrust Record")</f>
        <v/>
      </c>
      <c r="AS470">
        <f>HYPERLINK("https://creighton-primo.hosted.exlibrisgroup.com/primo-explore/search?tab=default_tab&amp;search_scope=EVERYTHING&amp;vid=01CRU&amp;lang=en_US&amp;offset=0&amp;query=any,contains,991004368159702656","Catalog Record")</f>
        <v/>
      </c>
      <c r="AT470">
        <f>HYPERLINK("http://www.worldcat.org/oclc/50022678","WorldCat Record")</f>
        <v/>
      </c>
      <c r="AU470" t="inlineStr">
        <is>
          <t>349986950:eng</t>
        </is>
      </c>
      <c r="AV470" t="inlineStr">
        <is>
          <t>50022678</t>
        </is>
      </c>
      <c r="AW470" t="inlineStr">
        <is>
          <t>991004368159702656</t>
        </is>
      </c>
      <c r="AX470" t="inlineStr">
        <is>
          <t>991004368159702656</t>
        </is>
      </c>
      <c r="AY470" t="inlineStr">
        <is>
          <t>2258190730002656</t>
        </is>
      </c>
      <c r="AZ470" t="inlineStr">
        <is>
          <t>BOOK</t>
        </is>
      </c>
      <c r="BB470" t="inlineStr">
        <is>
          <t>9780765801487</t>
        </is>
      </c>
      <c r="BC470" t="inlineStr">
        <is>
          <t>32285005010961</t>
        </is>
      </c>
      <c r="BD470" t="inlineStr">
        <is>
          <t>893259642</t>
        </is>
      </c>
    </row>
    <row r="471">
      <c r="A471" t="inlineStr">
        <is>
          <t>No</t>
        </is>
      </c>
      <c r="B471" t="inlineStr">
        <is>
          <t>P95.82.G7 N438 1996</t>
        </is>
      </c>
      <c r="C471" t="inlineStr">
        <is>
          <t>0                      P  0095820G  7                  N  438         1996</t>
        </is>
      </c>
      <c r="D471" t="inlineStr">
        <is>
          <t>The communication of politics / Ralph Negrine.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Negrine, Ralph M.</t>
        </is>
      </c>
      <c r="L471" t="inlineStr">
        <is>
          <t>London ; New York : Sage, 1996.</t>
        </is>
      </c>
      <c r="M471" t="inlineStr">
        <is>
          <t>1996</t>
        </is>
      </c>
      <c r="O471" t="inlineStr">
        <is>
          <t>eng</t>
        </is>
      </c>
      <c r="P471" t="inlineStr">
        <is>
          <t>enk</t>
        </is>
      </c>
      <c r="R471" t="inlineStr">
        <is>
          <t xml:space="preserve">P  </t>
        </is>
      </c>
      <c r="S471" t="n">
        <v>2</v>
      </c>
      <c r="T471" t="n">
        <v>2</v>
      </c>
      <c r="U471" t="inlineStr">
        <is>
          <t>2005-10-27</t>
        </is>
      </c>
      <c r="V471" t="inlineStr">
        <is>
          <t>2005-10-27</t>
        </is>
      </c>
      <c r="W471" t="inlineStr">
        <is>
          <t>1997-01-15</t>
        </is>
      </c>
      <c r="X471" t="inlineStr">
        <is>
          <t>1997-01-15</t>
        </is>
      </c>
      <c r="Y471" t="n">
        <v>345</v>
      </c>
      <c r="Z471" t="n">
        <v>208</v>
      </c>
      <c r="AA471" t="n">
        <v>209</v>
      </c>
      <c r="AB471" t="n">
        <v>2</v>
      </c>
      <c r="AC471" t="n">
        <v>2</v>
      </c>
      <c r="AD471" t="n">
        <v>14</v>
      </c>
      <c r="AE471" t="n">
        <v>14</v>
      </c>
      <c r="AF471" t="n">
        <v>8</v>
      </c>
      <c r="AG471" t="n">
        <v>8</v>
      </c>
      <c r="AH471" t="n">
        <v>4</v>
      </c>
      <c r="AI471" t="n">
        <v>4</v>
      </c>
      <c r="AJ471" t="n">
        <v>8</v>
      </c>
      <c r="AK471" t="n">
        <v>8</v>
      </c>
      <c r="AL471" t="n">
        <v>1</v>
      </c>
      <c r="AM471" t="n">
        <v>1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HYPERLINK("http://catalog.hathitrust.org/Record/003112728","HathiTrust Record")</f>
        <v/>
      </c>
      <c r="AS471">
        <f>HYPERLINK("https://creighton-primo.hosted.exlibrisgroup.com/primo-explore/search?tab=default_tab&amp;search_scope=EVERYTHING&amp;vid=01CRU&amp;lang=en_US&amp;offset=0&amp;query=any,contains,991002758239702656","Catalog Record")</f>
        <v/>
      </c>
      <c r="AT471">
        <f>HYPERLINK("http://www.worldcat.org/oclc/36177835","WorldCat Record")</f>
        <v/>
      </c>
      <c r="AU471" t="inlineStr">
        <is>
          <t>41223670:eng</t>
        </is>
      </c>
      <c r="AV471" t="inlineStr">
        <is>
          <t>36177835</t>
        </is>
      </c>
      <c r="AW471" t="inlineStr">
        <is>
          <t>991002758239702656</t>
        </is>
      </c>
      <c r="AX471" t="inlineStr">
        <is>
          <t>991002758239702656</t>
        </is>
      </c>
      <c r="AY471" t="inlineStr">
        <is>
          <t>2265049100002656</t>
        </is>
      </c>
      <c r="AZ471" t="inlineStr">
        <is>
          <t>BOOK</t>
        </is>
      </c>
      <c r="BB471" t="inlineStr">
        <is>
          <t>9780803977396</t>
        </is>
      </c>
      <c r="BC471" t="inlineStr">
        <is>
          <t>32285002408127</t>
        </is>
      </c>
      <c r="BD471" t="inlineStr">
        <is>
          <t>893773991</t>
        </is>
      </c>
    </row>
    <row r="472">
      <c r="A472" t="inlineStr">
        <is>
          <t>No</t>
        </is>
      </c>
      <c r="B472" t="inlineStr">
        <is>
          <t>P95.82.S65 S5 1994</t>
        </is>
      </c>
      <c r="C472" t="inlineStr">
        <is>
          <t>0                      P  0095820S  65                 S  5           1994</t>
        </is>
      </c>
      <c r="D472" t="inlineStr">
        <is>
          <t>Dismantling utopia : how information ended the Soviet Union / Scott Shane.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Shane, Scott, 1954-</t>
        </is>
      </c>
      <c r="L472" t="inlineStr">
        <is>
          <t>Chicago : I.R. Dee, 1994.</t>
        </is>
      </c>
      <c r="M472" t="inlineStr">
        <is>
          <t>1994</t>
        </is>
      </c>
      <c r="O472" t="inlineStr">
        <is>
          <t>eng</t>
        </is>
      </c>
      <c r="P472" t="inlineStr">
        <is>
          <t>ilu</t>
        </is>
      </c>
      <c r="R472" t="inlineStr">
        <is>
          <t xml:space="preserve">P  </t>
        </is>
      </c>
      <c r="S472" t="n">
        <v>28</v>
      </c>
      <c r="T472" t="n">
        <v>28</v>
      </c>
      <c r="U472" t="inlineStr">
        <is>
          <t>2003-11-21</t>
        </is>
      </c>
      <c r="V472" t="inlineStr">
        <is>
          <t>2003-11-21</t>
        </is>
      </c>
      <c r="W472" t="inlineStr">
        <is>
          <t>1994-08-03</t>
        </is>
      </c>
      <c r="X472" t="inlineStr">
        <is>
          <t>1994-08-03</t>
        </is>
      </c>
      <c r="Y472" t="n">
        <v>471</v>
      </c>
      <c r="Z472" t="n">
        <v>410</v>
      </c>
      <c r="AA472" t="n">
        <v>465</v>
      </c>
      <c r="AB472" t="n">
        <v>3</v>
      </c>
      <c r="AC472" t="n">
        <v>3</v>
      </c>
      <c r="AD472" t="n">
        <v>14</v>
      </c>
      <c r="AE472" t="n">
        <v>15</v>
      </c>
      <c r="AF472" t="n">
        <v>3</v>
      </c>
      <c r="AG472" t="n">
        <v>3</v>
      </c>
      <c r="AH472" t="n">
        <v>5</v>
      </c>
      <c r="AI472" t="n">
        <v>5</v>
      </c>
      <c r="AJ472" t="n">
        <v>7</v>
      </c>
      <c r="AK472" t="n">
        <v>8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HYPERLINK("http://catalog.hathitrust.org/Record/002866981","HathiTrust Record")</f>
        <v/>
      </c>
      <c r="AS472">
        <f>HYPERLINK("https://creighton-primo.hosted.exlibrisgroup.com/primo-explore/search?tab=default_tab&amp;search_scope=EVERYTHING&amp;vid=01CRU&amp;lang=en_US&amp;offset=0&amp;query=any,contains,991002279299702656","Catalog Record")</f>
        <v/>
      </c>
      <c r="AT472">
        <f>HYPERLINK("http://www.worldcat.org/oclc/29563843","WorldCat Record")</f>
        <v/>
      </c>
      <c r="AU472" t="inlineStr">
        <is>
          <t>31358310:eng</t>
        </is>
      </c>
      <c r="AV472" t="inlineStr">
        <is>
          <t>29563843</t>
        </is>
      </c>
      <c r="AW472" t="inlineStr">
        <is>
          <t>991002279299702656</t>
        </is>
      </c>
      <c r="AX472" t="inlineStr">
        <is>
          <t>991002279299702656</t>
        </is>
      </c>
      <c r="AY472" t="inlineStr">
        <is>
          <t>2263562750002656</t>
        </is>
      </c>
      <c r="AZ472" t="inlineStr">
        <is>
          <t>BOOK</t>
        </is>
      </c>
      <c r="BB472" t="inlineStr">
        <is>
          <t>9781566630481</t>
        </is>
      </c>
      <c r="BC472" t="inlineStr">
        <is>
          <t>32285001941037</t>
        </is>
      </c>
      <c r="BD472" t="inlineStr">
        <is>
          <t>893226651</t>
        </is>
      </c>
    </row>
    <row r="473">
      <c r="A473" t="inlineStr">
        <is>
          <t>No</t>
        </is>
      </c>
      <c r="B473" t="inlineStr">
        <is>
          <t>P95.82.U6 C64 2007</t>
        </is>
      </c>
      <c r="C473" t="inlineStr">
        <is>
          <t>0                      P  0095820U  6                  C  64          2007</t>
        </is>
      </c>
      <c r="D473" t="inlineStr">
        <is>
          <t>The last days of democracy : how big media and power-hungry government are turning America into a dictatorship / Elliot D. Cohen &amp; Bruce W. Fraser.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Cohen, Elliot D.</t>
        </is>
      </c>
      <c r="L473" t="inlineStr">
        <is>
          <t>Amherst, N.Y. : Prometheus Books, 2007.</t>
        </is>
      </c>
      <c r="M473" t="inlineStr">
        <is>
          <t>2007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P  </t>
        </is>
      </c>
      <c r="S473" t="n">
        <v>1</v>
      </c>
      <c r="T473" t="n">
        <v>1</v>
      </c>
      <c r="U473" t="inlineStr">
        <is>
          <t>2008-07-30</t>
        </is>
      </c>
      <c r="V473" t="inlineStr">
        <is>
          <t>2008-07-30</t>
        </is>
      </c>
      <c r="W473" t="inlineStr">
        <is>
          <t>2008-07-30</t>
        </is>
      </c>
      <c r="X473" t="inlineStr">
        <is>
          <t>2008-07-30</t>
        </is>
      </c>
      <c r="Y473" t="n">
        <v>296</v>
      </c>
      <c r="Z473" t="n">
        <v>256</v>
      </c>
      <c r="AA473" t="n">
        <v>262</v>
      </c>
      <c r="AB473" t="n">
        <v>2</v>
      </c>
      <c r="AC473" t="n">
        <v>2</v>
      </c>
      <c r="AD473" t="n">
        <v>12</v>
      </c>
      <c r="AE473" t="n">
        <v>12</v>
      </c>
      <c r="AF473" t="n">
        <v>2</v>
      </c>
      <c r="AG473" t="n">
        <v>2</v>
      </c>
      <c r="AH473" t="n">
        <v>3</v>
      </c>
      <c r="AI473" t="n">
        <v>3</v>
      </c>
      <c r="AJ473" t="n">
        <v>8</v>
      </c>
      <c r="AK473" t="n">
        <v>8</v>
      </c>
      <c r="AL473" t="n">
        <v>1</v>
      </c>
      <c r="AM473" t="n">
        <v>1</v>
      </c>
      <c r="AN473" t="n">
        <v>1</v>
      </c>
      <c r="AO473" t="n">
        <v>1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HYPERLINK("http://catalog.hathitrust.org/Record/005565286","HathiTrust Record")</f>
        <v/>
      </c>
      <c r="AS473">
        <f>HYPERLINK("https://creighton-primo.hosted.exlibrisgroup.com/primo-explore/search?tab=default_tab&amp;search_scope=EVERYTHING&amp;vid=01CRU&amp;lang=en_US&amp;offset=0&amp;query=any,contains,991005108939702656","Catalog Record")</f>
        <v/>
      </c>
      <c r="AT473">
        <f>HYPERLINK("http://www.worldcat.org/oclc/79256742","WorldCat Record")</f>
        <v/>
      </c>
      <c r="AU473" t="inlineStr">
        <is>
          <t>306691360:eng</t>
        </is>
      </c>
      <c r="AV473" t="inlineStr">
        <is>
          <t>79256742</t>
        </is>
      </c>
      <c r="AW473" t="inlineStr">
        <is>
          <t>991005108939702656</t>
        </is>
      </c>
      <c r="AX473" t="inlineStr">
        <is>
          <t>991005108939702656</t>
        </is>
      </c>
      <c r="AY473" t="inlineStr">
        <is>
          <t>2259053840002656</t>
        </is>
      </c>
      <c r="AZ473" t="inlineStr">
        <is>
          <t>BOOK</t>
        </is>
      </c>
      <c r="BB473" t="inlineStr">
        <is>
          <t>9781591025047</t>
        </is>
      </c>
      <c r="BC473" t="inlineStr">
        <is>
          <t>32285005451397</t>
        </is>
      </c>
      <c r="BD473" t="inlineStr">
        <is>
          <t>893713458</t>
        </is>
      </c>
    </row>
    <row r="474">
      <c r="A474" t="inlineStr">
        <is>
          <t>No</t>
        </is>
      </c>
      <c r="B474" t="inlineStr">
        <is>
          <t>P95.82.U6 C73 2006</t>
        </is>
      </c>
      <c r="C474" t="inlineStr">
        <is>
          <t>0                      P  0095820U  6                  C  73          2006</t>
        </is>
      </c>
      <c r="D474" t="inlineStr">
        <is>
          <t>Attack the messenger : how politicians turn you against the media / Craig Crawford.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Crawford, Craig, 1956-</t>
        </is>
      </c>
      <c r="L474" t="inlineStr">
        <is>
          <t>Lanham, MD : Rowman &amp; Littlefield Publishers, Inc., 2006.</t>
        </is>
      </c>
      <c r="M474" t="inlineStr">
        <is>
          <t>2006</t>
        </is>
      </c>
      <c r="O474" t="inlineStr">
        <is>
          <t>eng</t>
        </is>
      </c>
      <c r="P474" t="inlineStr">
        <is>
          <t>mdu</t>
        </is>
      </c>
      <c r="Q474" t="inlineStr">
        <is>
          <t>American political challenges</t>
        </is>
      </c>
      <c r="R474" t="inlineStr">
        <is>
          <t xml:space="preserve">P  </t>
        </is>
      </c>
      <c r="S474" t="n">
        <v>1</v>
      </c>
      <c r="T474" t="n">
        <v>1</v>
      </c>
      <c r="U474" t="inlineStr">
        <is>
          <t>2005-11-30</t>
        </is>
      </c>
      <c r="V474" t="inlineStr">
        <is>
          <t>2005-11-30</t>
        </is>
      </c>
      <c r="W474" t="inlineStr">
        <is>
          <t>2005-11-30</t>
        </is>
      </c>
      <c r="X474" t="inlineStr">
        <is>
          <t>2005-11-30</t>
        </is>
      </c>
      <c r="Y474" t="n">
        <v>551</v>
      </c>
      <c r="Z474" t="n">
        <v>499</v>
      </c>
      <c r="AA474" t="n">
        <v>535</v>
      </c>
      <c r="AB474" t="n">
        <v>4</v>
      </c>
      <c r="AC474" t="n">
        <v>4</v>
      </c>
      <c r="AD474" t="n">
        <v>23</v>
      </c>
      <c r="AE474" t="n">
        <v>24</v>
      </c>
      <c r="AF474" t="n">
        <v>11</v>
      </c>
      <c r="AG474" t="n">
        <v>12</v>
      </c>
      <c r="AH474" t="n">
        <v>7</v>
      </c>
      <c r="AI474" t="n">
        <v>7</v>
      </c>
      <c r="AJ474" t="n">
        <v>9</v>
      </c>
      <c r="AK474" t="n">
        <v>9</v>
      </c>
      <c r="AL474" t="n">
        <v>3</v>
      </c>
      <c r="AM474" t="n">
        <v>3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HYPERLINK("http://catalog.hathitrust.org/Record/005079711","HathiTrust Record")</f>
        <v/>
      </c>
      <c r="AS474">
        <f>HYPERLINK("https://creighton-primo.hosted.exlibrisgroup.com/primo-explore/search?tab=default_tab&amp;search_scope=EVERYTHING&amp;vid=01CRU&amp;lang=en_US&amp;offset=0&amp;query=any,contains,991004682719702656","Catalog Record")</f>
        <v/>
      </c>
      <c r="AT474">
        <f>HYPERLINK("http://www.worldcat.org/oclc/57506756","WorldCat Record")</f>
        <v/>
      </c>
      <c r="AU474" t="inlineStr">
        <is>
          <t>42719819:eng</t>
        </is>
      </c>
      <c r="AV474" t="inlineStr">
        <is>
          <t>57506756</t>
        </is>
      </c>
      <c r="AW474" t="inlineStr">
        <is>
          <t>991004682719702656</t>
        </is>
      </c>
      <c r="AX474" t="inlineStr">
        <is>
          <t>991004682719702656</t>
        </is>
      </c>
      <c r="AY474" t="inlineStr">
        <is>
          <t>2258509680002656</t>
        </is>
      </c>
      <c r="AZ474" t="inlineStr">
        <is>
          <t>BOOK</t>
        </is>
      </c>
      <c r="BB474" t="inlineStr">
        <is>
          <t>9780742538160</t>
        </is>
      </c>
      <c r="BC474" t="inlineStr">
        <is>
          <t>32285005149579</t>
        </is>
      </c>
      <c r="BD474" t="inlineStr">
        <is>
          <t>893507113</t>
        </is>
      </c>
    </row>
    <row r="475">
      <c r="A475" t="inlineStr">
        <is>
          <t>No</t>
        </is>
      </c>
      <c r="B475" t="inlineStr">
        <is>
          <t>P95.82.U6 D64 1997</t>
        </is>
      </c>
      <c r="C475" t="inlineStr">
        <is>
          <t>0                      P  0095820U  6                  D  64          1997</t>
        </is>
      </c>
      <c r="D475" t="inlineStr">
        <is>
          <t>Do the media govern? : politicians, voters, and reporters in America / Shanto Iyengar, Richard Reeves, editors.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Thousand Oaks, Calif. : Sage, c1997.</t>
        </is>
      </c>
      <c r="M475" t="inlineStr">
        <is>
          <t>1997</t>
        </is>
      </c>
      <c r="O475" t="inlineStr">
        <is>
          <t>eng</t>
        </is>
      </c>
      <c r="P475" t="inlineStr">
        <is>
          <t>cau</t>
        </is>
      </c>
      <c r="R475" t="inlineStr">
        <is>
          <t xml:space="preserve">P  </t>
        </is>
      </c>
      <c r="S475" t="n">
        <v>11</v>
      </c>
      <c r="T475" t="n">
        <v>11</v>
      </c>
      <c r="U475" t="inlineStr">
        <is>
          <t>2003-09-24</t>
        </is>
      </c>
      <c r="V475" t="inlineStr">
        <is>
          <t>2003-09-24</t>
        </is>
      </c>
      <c r="W475" t="inlineStr">
        <is>
          <t>1997-03-18</t>
        </is>
      </c>
      <c r="X475" t="inlineStr">
        <is>
          <t>1997-03-18</t>
        </is>
      </c>
      <c r="Y475" t="n">
        <v>876</v>
      </c>
      <c r="Z475" t="n">
        <v>718</v>
      </c>
      <c r="AA475" t="n">
        <v>720</v>
      </c>
      <c r="AB475" t="n">
        <v>8</v>
      </c>
      <c r="AC475" t="n">
        <v>8</v>
      </c>
      <c r="AD475" t="n">
        <v>40</v>
      </c>
      <c r="AE475" t="n">
        <v>40</v>
      </c>
      <c r="AF475" t="n">
        <v>19</v>
      </c>
      <c r="AG475" t="n">
        <v>19</v>
      </c>
      <c r="AH475" t="n">
        <v>7</v>
      </c>
      <c r="AI475" t="n">
        <v>7</v>
      </c>
      <c r="AJ475" t="n">
        <v>14</v>
      </c>
      <c r="AK475" t="n">
        <v>14</v>
      </c>
      <c r="AL475" t="n">
        <v>7</v>
      </c>
      <c r="AM475" t="n">
        <v>7</v>
      </c>
      <c r="AN475" t="n">
        <v>1</v>
      </c>
      <c r="AO475" t="n">
        <v>1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HYPERLINK("http://catalog.hathitrust.org/Record/003140035","HathiTrust Record")</f>
        <v/>
      </c>
      <c r="AS475">
        <f>HYPERLINK("https://creighton-primo.hosted.exlibrisgroup.com/primo-explore/search?tab=default_tab&amp;search_scope=EVERYTHING&amp;vid=01CRU&amp;lang=en_US&amp;offset=0&amp;query=any,contains,991002690239702656","Catalog Record")</f>
        <v/>
      </c>
      <c r="AT475">
        <f>HYPERLINK("http://www.worldcat.org/oclc/35145708","WorldCat Record")</f>
        <v/>
      </c>
      <c r="AU475" t="inlineStr">
        <is>
          <t>807498808:eng</t>
        </is>
      </c>
      <c r="AV475" t="inlineStr">
        <is>
          <t>35145708</t>
        </is>
      </c>
      <c r="AW475" t="inlineStr">
        <is>
          <t>991002690239702656</t>
        </is>
      </c>
      <c r="AX475" t="inlineStr">
        <is>
          <t>991002690239702656</t>
        </is>
      </c>
      <c r="AY475" t="inlineStr">
        <is>
          <t>2263584030002656</t>
        </is>
      </c>
      <c r="AZ475" t="inlineStr">
        <is>
          <t>BOOK</t>
        </is>
      </c>
      <c r="BB475" t="inlineStr">
        <is>
          <t>9780803956056</t>
        </is>
      </c>
      <c r="BC475" t="inlineStr">
        <is>
          <t>32285002443793</t>
        </is>
      </c>
      <c r="BD475" t="inlineStr">
        <is>
          <t>893597760</t>
        </is>
      </c>
    </row>
    <row r="476">
      <c r="A476" t="inlineStr">
        <is>
          <t>No</t>
        </is>
      </c>
      <c r="B476" t="inlineStr">
        <is>
          <t>P95.82.U6 E95 1994</t>
        </is>
      </c>
      <c r="C476" t="inlineStr">
        <is>
          <t>0                      P  0095820U  6                  E  95          1994</t>
        </is>
      </c>
      <c r="D476" t="inlineStr">
        <is>
          <t>The politics of the mass media / Calvin F. Exoo.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Exoo, Calvin F.</t>
        </is>
      </c>
      <c r="L476" t="inlineStr">
        <is>
          <t>Minneapolis/St. Paul : West Pub. Co., c1994.</t>
        </is>
      </c>
      <c r="M476" t="inlineStr">
        <is>
          <t>1994</t>
        </is>
      </c>
      <c r="O476" t="inlineStr">
        <is>
          <t>eng</t>
        </is>
      </c>
      <c r="P476" t="inlineStr">
        <is>
          <t>mnu</t>
        </is>
      </c>
      <c r="R476" t="inlineStr">
        <is>
          <t xml:space="preserve">P  </t>
        </is>
      </c>
      <c r="S476" t="n">
        <v>8</v>
      </c>
      <c r="T476" t="n">
        <v>8</v>
      </c>
      <c r="U476" t="inlineStr">
        <is>
          <t>2006-03-02</t>
        </is>
      </c>
      <c r="V476" t="inlineStr">
        <is>
          <t>2006-03-02</t>
        </is>
      </c>
      <c r="W476" t="inlineStr">
        <is>
          <t>1996-04-01</t>
        </is>
      </c>
      <c r="X476" t="inlineStr">
        <is>
          <t>1996-04-01</t>
        </is>
      </c>
      <c r="Y476" t="n">
        <v>147</v>
      </c>
      <c r="Z476" t="n">
        <v>126</v>
      </c>
      <c r="AA476" t="n">
        <v>126</v>
      </c>
      <c r="AB476" t="n">
        <v>1</v>
      </c>
      <c r="AC476" t="n">
        <v>1</v>
      </c>
      <c r="AD476" t="n">
        <v>11</v>
      </c>
      <c r="AE476" t="n">
        <v>11</v>
      </c>
      <c r="AF476" t="n">
        <v>5</v>
      </c>
      <c r="AG476" t="n">
        <v>5</v>
      </c>
      <c r="AH476" t="n">
        <v>2</v>
      </c>
      <c r="AI476" t="n">
        <v>2</v>
      </c>
      <c r="AJ476" t="n">
        <v>8</v>
      </c>
      <c r="AK476" t="n">
        <v>8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HYPERLINK("https://creighton-primo.hosted.exlibrisgroup.com/primo-explore/search?tab=default_tab&amp;search_scope=EVERYTHING&amp;vid=01CRU&amp;lang=en_US&amp;offset=0&amp;query=any,contains,991002239349702656","Catalog Record")</f>
        <v/>
      </c>
      <c r="AT476">
        <f>HYPERLINK("http://www.worldcat.org/oclc/28888648","WorldCat Record")</f>
        <v/>
      </c>
      <c r="AU476" t="inlineStr">
        <is>
          <t>31511321:eng</t>
        </is>
      </c>
      <c r="AV476" t="inlineStr">
        <is>
          <t>28888648</t>
        </is>
      </c>
      <c r="AW476" t="inlineStr">
        <is>
          <t>991002239349702656</t>
        </is>
      </c>
      <c r="AX476" t="inlineStr">
        <is>
          <t>991002239349702656</t>
        </is>
      </c>
      <c r="AY476" t="inlineStr">
        <is>
          <t>2264069830002656</t>
        </is>
      </c>
      <c r="AZ476" t="inlineStr">
        <is>
          <t>BOOK</t>
        </is>
      </c>
      <c r="BB476" t="inlineStr">
        <is>
          <t>9780314028914</t>
        </is>
      </c>
      <c r="BC476" t="inlineStr">
        <is>
          <t>32285002148871</t>
        </is>
      </c>
      <c r="BD476" t="inlineStr">
        <is>
          <t>893226607</t>
        </is>
      </c>
    </row>
    <row r="477">
      <c r="A477" t="inlineStr">
        <is>
          <t>No</t>
        </is>
      </c>
      <c r="B477" t="inlineStr">
        <is>
          <t>P95.82.U6 I5 1995</t>
        </is>
      </c>
      <c r="C477" t="inlineStr">
        <is>
          <t>0                      P  0095820U  6                  I  5           1995</t>
        </is>
      </c>
      <c r="D477" t="inlineStr">
        <is>
          <t>In "media" res : readings in mass media and American politics / edited by Jan P. Vermeer.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York : McGraw-Hill, c1995.</t>
        </is>
      </c>
      <c r="M477" t="inlineStr">
        <is>
          <t>1995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P  </t>
        </is>
      </c>
      <c r="S477" t="n">
        <v>7</v>
      </c>
      <c r="T477" t="n">
        <v>7</v>
      </c>
      <c r="U477" t="inlineStr">
        <is>
          <t>2008-04-23</t>
        </is>
      </c>
      <c r="V477" t="inlineStr">
        <is>
          <t>2008-04-23</t>
        </is>
      </c>
      <c r="W477" t="inlineStr">
        <is>
          <t>1998-05-19</t>
        </is>
      </c>
      <c r="X477" t="inlineStr">
        <is>
          <t>1998-05-19</t>
        </is>
      </c>
      <c r="Y477" t="n">
        <v>77</v>
      </c>
      <c r="Z477" t="n">
        <v>64</v>
      </c>
      <c r="AA477" t="n">
        <v>65</v>
      </c>
      <c r="AB477" t="n">
        <v>2</v>
      </c>
      <c r="AC477" t="n">
        <v>2</v>
      </c>
      <c r="AD477" t="n">
        <v>2</v>
      </c>
      <c r="AE477" t="n">
        <v>2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n">
        <v>1</v>
      </c>
      <c r="AM477" t="n">
        <v>1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HYPERLINK("http://catalog.hathitrust.org/Record/006953220","HathiTrust Record")</f>
        <v/>
      </c>
      <c r="AS477">
        <f>HYPERLINK("https://creighton-primo.hosted.exlibrisgroup.com/primo-explore/search?tab=default_tab&amp;search_scope=EVERYTHING&amp;vid=01CRU&amp;lang=en_US&amp;offset=0&amp;query=any,contains,991002348379702656","Catalog Record")</f>
        <v/>
      </c>
      <c r="AT477">
        <f>HYPERLINK("http://www.worldcat.org/oclc/30593473","WorldCat Record")</f>
        <v/>
      </c>
      <c r="AU477" t="inlineStr">
        <is>
          <t>836900905:eng</t>
        </is>
      </c>
      <c r="AV477" t="inlineStr">
        <is>
          <t>30593473</t>
        </is>
      </c>
      <c r="AW477" t="inlineStr">
        <is>
          <t>991002348379702656</t>
        </is>
      </c>
      <c r="AX477" t="inlineStr">
        <is>
          <t>991002348379702656</t>
        </is>
      </c>
      <c r="AY477" t="inlineStr">
        <is>
          <t>2263298270002656</t>
        </is>
      </c>
      <c r="AZ477" t="inlineStr">
        <is>
          <t>BOOK</t>
        </is>
      </c>
      <c r="BB477" t="inlineStr">
        <is>
          <t>9780070674677</t>
        </is>
      </c>
      <c r="BC477" t="inlineStr">
        <is>
          <t>32285003410288</t>
        </is>
      </c>
      <c r="BD477" t="inlineStr">
        <is>
          <t>893245060</t>
        </is>
      </c>
    </row>
    <row r="478">
      <c r="A478" t="inlineStr">
        <is>
          <t>No</t>
        </is>
      </c>
      <c r="B478" t="inlineStr">
        <is>
          <t>P95.82.U6 K47 1995</t>
        </is>
      </c>
      <c r="C478" t="inlineStr">
        <is>
          <t>0                      P  0095820U  6                  K  47          1995</t>
        </is>
      </c>
      <c r="D478" t="inlineStr">
        <is>
          <t>Remote &amp; controlled : media politics in a cynical age / Matthew Robert Kerbel.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Kerbel, Matthew Robert, 1958-</t>
        </is>
      </c>
      <c r="L478" t="inlineStr">
        <is>
          <t>Boulder : Westview Press, c1995.</t>
        </is>
      </c>
      <c r="M478" t="inlineStr">
        <is>
          <t>1995</t>
        </is>
      </c>
      <c r="O478" t="inlineStr">
        <is>
          <t>eng</t>
        </is>
      </c>
      <c r="P478" t="inlineStr">
        <is>
          <t>cou</t>
        </is>
      </c>
      <c r="R478" t="inlineStr">
        <is>
          <t xml:space="preserve">P  </t>
        </is>
      </c>
      <c r="S478" t="n">
        <v>2</v>
      </c>
      <c r="T478" t="n">
        <v>2</v>
      </c>
      <c r="U478" t="inlineStr">
        <is>
          <t>2007-10-14</t>
        </is>
      </c>
      <c r="V478" t="inlineStr">
        <is>
          <t>2007-10-14</t>
        </is>
      </c>
      <c r="W478" t="inlineStr">
        <is>
          <t>1996-02-29</t>
        </is>
      </c>
      <c r="X478" t="inlineStr">
        <is>
          <t>1996-02-29</t>
        </is>
      </c>
      <c r="Y478" t="n">
        <v>443</v>
      </c>
      <c r="Z478" t="n">
        <v>365</v>
      </c>
      <c r="AA478" t="n">
        <v>487</v>
      </c>
      <c r="AB478" t="n">
        <v>2</v>
      </c>
      <c r="AC478" t="n">
        <v>3</v>
      </c>
      <c r="AD478" t="n">
        <v>19</v>
      </c>
      <c r="AE478" t="n">
        <v>28</v>
      </c>
      <c r="AF478" t="n">
        <v>6</v>
      </c>
      <c r="AG478" t="n">
        <v>11</v>
      </c>
      <c r="AH478" t="n">
        <v>7</v>
      </c>
      <c r="AI478" t="n">
        <v>9</v>
      </c>
      <c r="AJ478" t="n">
        <v>10</v>
      </c>
      <c r="AK478" t="n">
        <v>14</v>
      </c>
      <c r="AL478" t="n">
        <v>1</v>
      </c>
      <c r="AM478" t="n">
        <v>2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HYPERLINK("http://catalog.hathitrust.org/Record/003002616","HathiTrust Record")</f>
        <v/>
      </c>
      <c r="AS478">
        <f>HYPERLINK("https://creighton-primo.hosted.exlibrisgroup.com/primo-explore/search?tab=default_tab&amp;search_scope=EVERYTHING&amp;vid=01CRU&amp;lang=en_US&amp;offset=0&amp;query=any,contains,991002476129702656","Catalog Record")</f>
        <v/>
      </c>
      <c r="AT478">
        <f>HYPERLINK("http://www.worldcat.org/oclc/32239529","WorldCat Record")</f>
        <v/>
      </c>
      <c r="AU478" t="inlineStr">
        <is>
          <t>801356652:eng</t>
        </is>
      </c>
      <c r="AV478" t="inlineStr">
        <is>
          <t>32239529</t>
        </is>
      </c>
      <c r="AW478" t="inlineStr">
        <is>
          <t>991002476129702656</t>
        </is>
      </c>
      <c r="AX478" t="inlineStr">
        <is>
          <t>991002476129702656</t>
        </is>
      </c>
      <c r="AY478" t="inlineStr">
        <is>
          <t>2266537450002656</t>
        </is>
      </c>
      <c r="AZ478" t="inlineStr">
        <is>
          <t>BOOK</t>
        </is>
      </c>
      <c r="BB478" t="inlineStr">
        <is>
          <t>9780813325927</t>
        </is>
      </c>
      <c r="BC478" t="inlineStr">
        <is>
          <t>32285002138807</t>
        </is>
      </c>
      <c r="BD478" t="inlineStr">
        <is>
          <t>893510785</t>
        </is>
      </c>
    </row>
    <row r="479">
      <c r="A479" t="inlineStr">
        <is>
          <t>No</t>
        </is>
      </c>
      <c r="B479" t="inlineStr">
        <is>
          <t>P95.82.U6 M43 1990</t>
        </is>
      </c>
      <c r="C479" t="inlineStr">
        <is>
          <t>0                      P  0095820U  6                  M  43          1990</t>
        </is>
      </c>
      <c r="D479" t="inlineStr">
        <is>
          <t>The Media and foreign policy / edited by Simon Serfaty.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L479" t="inlineStr">
        <is>
          <t>New York : St. Martin's Press in association with Foreign Policy Institute, Paul H. Nitze School of Advanced International Studies, Johns Hopkins University, 1990.</t>
        </is>
      </c>
      <c r="M479" t="inlineStr">
        <is>
          <t>1990</t>
        </is>
      </c>
      <c r="O479" t="inlineStr">
        <is>
          <t>eng</t>
        </is>
      </c>
      <c r="P479" t="inlineStr">
        <is>
          <t>nyu</t>
        </is>
      </c>
      <c r="R479" t="inlineStr">
        <is>
          <t xml:space="preserve">P  </t>
        </is>
      </c>
      <c r="S479" t="n">
        <v>8</v>
      </c>
      <c r="T479" t="n">
        <v>8</v>
      </c>
      <c r="U479" t="inlineStr">
        <is>
          <t>2003-02-24</t>
        </is>
      </c>
      <c r="V479" t="inlineStr">
        <is>
          <t>2003-02-24</t>
        </is>
      </c>
      <c r="W479" t="inlineStr">
        <is>
          <t>1991-04-10</t>
        </is>
      </c>
      <c r="X479" t="inlineStr">
        <is>
          <t>1991-04-10</t>
        </is>
      </c>
      <c r="Y479" t="n">
        <v>326</v>
      </c>
      <c r="Z479" t="n">
        <v>280</v>
      </c>
      <c r="AA479" t="n">
        <v>382</v>
      </c>
      <c r="AB479" t="n">
        <v>3</v>
      </c>
      <c r="AC479" t="n">
        <v>3</v>
      </c>
      <c r="AD479" t="n">
        <v>15</v>
      </c>
      <c r="AE479" t="n">
        <v>19</v>
      </c>
      <c r="AF479" t="n">
        <v>6</v>
      </c>
      <c r="AG479" t="n">
        <v>8</v>
      </c>
      <c r="AH479" t="n">
        <v>3</v>
      </c>
      <c r="AI479" t="n">
        <v>4</v>
      </c>
      <c r="AJ479" t="n">
        <v>7</v>
      </c>
      <c r="AK479" t="n">
        <v>9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HYPERLINK("https://creighton-primo.hosted.exlibrisgroup.com/primo-explore/search?tab=default_tab&amp;search_scope=EVERYTHING&amp;vid=01CRU&amp;lang=en_US&amp;offset=0&amp;query=any,contains,991001632899702656","Catalog Record")</f>
        <v/>
      </c>
      <c r="AT479">
        <f>HYPERLINK("http://www.worldcat.org/oclc/20932219","WorldCat Record")</f>
        <v/>
      </c>
      <c r="AU479" t="inlineStr">
        <is>
          <t>55286028:eng</t>
        </is>
      </c>
      <c r="AV479" t="inlineStr">
        <is>
          <t>20932219</t>
        </is>
      </c>
      <c r="AW479" t="inlineStr">
        <is>
          <t>991001632899702656</t>
        </is>
      </c>
      <c r="AX479" t="inlineStr">
        <is>
          <t>991001632899702656</t>
        </is>
      </c>
      <c r="AY479" t="inlineStr">
        <is>
          <t>2265588990002656</t>
        </is>
      </c>
      <c r="AZ479" t="inlineStr">
        <is>
          <t>BOOK</t>
        </is>
      </c>
      <c r="BB479" t="inlineStr">
        <is>
          <t>9780312045289</t>
        </is>
      </c>
      <c r="BC479" t="inlineStr">
        <is>
          <t>32285000567205</t>
        </is>
      </c>
      <c r="BD479" t="inlineStr">
        <is>
          <t>893529055</t>
        </is>
      </c>
    </row>
    <row r="480">
      <c r="A480" t="inlineStr">
        <is>
          <t>No</t>
        </is>
      </c>
      <c r="B480" t="inlineStr">
        <is>
          <t>P95.82.U6 N53 2005</t>
        </is>
      </c>
      <c r="C480" t="inlineStr">
        <is>
          <t>0                      P  0095820U  6                  N  53          2005</t>
        </is>
      </c>
      <c r="D480" t="inlineStr">
        <is>
          <t>Tragedy and farce : how the American media sell wars, spin elections, and destroy democracy / John Nichols and Robert W. McChesney ; with illustrations by Tom Tomorrow.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Nichols, John, 1959-</t>
        </is>
      </c>
      <c r="L480" t="inlineStr">
        <is>
          <t>New York : New Press : Distributed by W.W. Norton, 2005.</t>
        </is>
      </c>
      <c r="M480" t="inlineStr">
        <is>
          <t>2005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P  </t>
        </is>
      </c>
      <c r="S480" t="n">
        <v>6</v>
      </c>
      <c r="T480" t="n">
        <v>6</v>
      </c>
      <c r="U480" t="inlineStr">
        <is>
          <t>2007-11-11</t>
        </is>
      </c>
      <c r="V480" t="inlineStr">
        <is>
          <t>2007-11-11</t>
        </is>
      </c>
      <c r="W480" t="inlineStr">
        <is>
          <t>2005-12-19</t>
        </is>
      </c>
      <c r="X480" t="inlineStr">
        <is>
          <t>2005-12-19</t>
        </is>
      </c>
      <c r="Y480" t="n">
        <v>753</v>
      </c>
      <c r="Z480" t="n">
        <v>668</v>
      </c>
      <c r="AA480" t="n">
        <v>680</v>
      </c>
      <c r="AB480" t="n">
        <v>8</v>
      </c>
      <c r="AC480" t="n">
        <v>8</v>
      </c>
      <c r="AD480" t="n">
        <v>26</v>
      </c>
      <c r="AE480" t="n">
        <v>26</v>
      </c>
      <c r="AF480" t="n">
        <v>7</v>
      </c>
      <c r="AG480" t="n">
        <v>7</v>
      </c>
      <c r="AH480" t="n">
        <v>7</v>
      </c>
      <c r="AI480" t="n">
        <v>7</v>
      </c>
      <c r="AJ480" t="n">
        <v>11</v>
      </c>
      <c r="AK480" t="n">
        <v>11</v>
      </c>
      <c r="AL480" t="n">
        <v>5</v>
      </c>
      <c r="AM480" t="n">
        <v>5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HYPERLINK("https://creighton-primo.hosted.exlibrisgroup.com/primo-explore/search?tab=default_tab&amp;search_scope=EVERYTHING&amp;vid=01CRU&amp;lang=en_US&amp;offset=0&amp;query=any,contains,991004701489702656","Catalog Record")</f>
        <v/>
      </c>
      <c r="AT480">
        <f>HYPERLINK("http://www.worldcat.org/oclc/60644867","WorldCat Record")</f>
        <v/>
      </c>
      <c r="AU480" t="inlineStr">
        <is>
          <t>796385731:eng</t>
        </is>
      </c>
      <c r="AV480" t="inlineStr">
        <is>
          <t>60644867</t>
        </is>
      </c>
      <c r="AW480" t="inlineStr">
        <is>
          <t>991004701489702656</t>
        </is>
      </c>
      <c r="AX480" t="inlineStr">
        <is>
          <t>991004701489702656</t>
        </is>
      </c>
      <c r="AY480" t="inlineStr">
        <is>
          <t>2266904090002656</t>
        </is>
      </c>
      <c r="AZ480" t="inlineStr">
        <is>
          <t>BOOK</t>
        </is>
      </c>
      <c r="BB480" t="inlineStr">
        <is>
          <t>9781595580160</t>
        </is>
      </c>
      <c r="BC480" t="inlineStr">
        <is>
          <t>32285005153043</t>
        </is>
      </c>
      <c r="BD480" t="inlineStr">
        <is>
          <t>893526408</t>
        </is>
      </c>
    </row>
    <row r="481">
      <c r="A481" t="inlineStr">
        <is>
          <t>No</t>
        </is>
      </c>
      <c r="B481" t="inlineStr">
        <is>
          <t>P95.82.U6 P34 1996</t>
        </is>
      </c>
      <c r="C481" t="inlineStr">
        <is>
          <t>0                      P  0095820U  6                  P  34          1996</t>
        </is>
      </c>
      <c r="D481" t="inlineStr">
        <is>
          <t>Who deliberates? : mass media in modern democracy / Benjamin I. Page.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Page, Benjamin I.</t>
        </is>
      </c>
      <c r="L481" t="inlineStr">
        <is>
          <t>Chicago : University of Chicago Press, 1996.</t>
        </is>
      </c>
      <c r="M481" t="inlineStr">
        <is>
          <t>1996</t>
        </is>
      </c>
      <c r="O481" t="inlineStr">
        <is>
          <t>eng</t>
        </is>
      </c>
      <c r="P481" t="inlineStr">
        <is>
          <t>ilu</t>
        </is>
      </c>
      <c r="Q481" t="inlineStr">
        <is>
          <t>American politics and political economy</t>
        </is>
      </c>
      <c r="R481" t="inlineStr">
        <is>
          <t xml:space="preserve">P  </t>
        </is>
      </c>
      <c r="S481" t="n">
        <v>7</v>
      </c>
      <c r="T481" t="n">
        <v>7</v>
      </c>
      <c r="U481" t="inlineStr">
        <is>
          <t>2009-10-15</t>
        </is>
      </c>
      <c r="V481" t="inlineStr">
        <is>
          <t>2009-10-15</t>
        </is>
      </c>
      <c r="W481" t="inlineStr">
        <is>
          <t>1996-09-11</t>
        </is>
      </c>
      <c r="X481" t="inlineStr">
        <is>
          <t>1996-09-11</t>
        </is>
      </c>
      <c r="Y481" t="n">
        <v>821</v>
      </c>
      <c r="Z481" t="n">
        <v>699</v>
      </c>
      <c r="AA481" t="n">
        <v>703</v>
      </c>
      <c r="AB481" t="n">
        <v>4</v>
      </c>
      <c r="AC481" t="n">
        <v>4</v>
      </c>
      <c r="AD481" t="n">
        <v>39</v>
      </c>
      <c r="AE481" t="n">
        <v>39</v>
      </c>
      <c r="AF481" t="n">
        <v>18</v>
      </c>
      <c r="AG481" t="n">
        <v>18</v>
      </c>
      <c r="AH481" t="n">
        <v>9</v>
      </c>
      <c r="AI481" t="n">
        <v>9</v>
      </c>
      <c r="AJ481" t="n">
        <v>17</v>
      </c>
      <c r="AK481" t="n">
        <v>17</v>
      </c>
      <c r="AL481" t="n">
        <v>3</v>
      </c>
      <c r="AM481" t="n">
        <v>3</v>
      </c>
      <c r="AN481" t="n">
        <v>2</v>
      </c>
      <c r="AO481" t="n">
        <v>2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HYPERLINK("https://creighton-primo.hosted.exlibrisgroup.com/primo-explore/search?tab=default_tab&amp;search_scope=EVERYTHING&amp;vid=01CRU&amp;lang=en_US&amp;offset=0&amp;query=any,contains,991002591439702656","Catalog Record")</f>
        <v/>
      </c>
      <c r="AT481">
        <f>HYPERLINK("http://www.worldcat.org/oclc/33948797","WorldCat Record")</f>
        <v/>
      </c>
      <c r="AU481" t="inlineStr">
        <is>
          <t>864088639:eng</t>
        </is>
      </c>
      <c r="AV481" t="inlineStr">
        <is>
          <t>33948797</t>
        </is>
      </c>
      <c r="AW481" t="inlineStr">
        <is>
          <t>991002591439702656</t>
        </is>
      </c>
      <c r="AX481" t="inlineStr">
        <is>
          <t>991002591439702656</t>
        </is>
      </c>
      <c r="AY481" t="inlineStr">
        <is>
          <t>2260864150002656</t>
        </is>
      </c>
      <c r="AZ481" t="inlineStr">
        <is>
          <t>BOOK</t>
        </is>
      </c>
      <c r="BB481" t="inlineStr">
        <is>
          <t>9780226644721</t>
        </is>
      </c>
      <c r="BC481" t="inlineStr">
        <is>
          <t>32285002316924</t>
        </is>
      </c>
      <c r="BD481" t="inlineStr">
        <is>
          <t>893867427</t>
        </is>
      </c>
    </row>
    <row r="482">
      <c r="A482" t="inlineStr">
        <is>
          <t>No</t>
        </is>
      </c>
      <c r="B482" t="inlineStr">
        <is>
          <t>P95.82.U6 S74 2003</t>
        </is>
      </c>
      <c r="C482" t="inlineStr">
        <is>
          <t>0                      P  0095820U  6                  S  74          2003</t>
        </is>
      </c>
      <c r="D482" t="inlineStr">
        <is>
          <t>Media and politics in America : a reference handbook / Guido H. Stempel III.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Stempel, Guido H. (Guido Hermann), 1928-</t>
        </is>
      </c>
      <c r="L482" t="inlineStr">
        <is>
          <t>Santa Barbara, Calif. : ABC-CLIO, c2003.</t>
        </is>
      </c>
      <c r="M482" t="inlineStr">
        <is>
          <t>2003</t>
        </is>
      </c>
      <c r="O482" t="inlineStr">
        <is>
          <t>eng</t>
        </is>
      </c>
      <c r="P482" t="inlineStr">
        <is>
          <t>cau</t>
        </is>
      </c>
      <c r="Q482" t="inlineStr">
        <is>
          <t>Contemporary world issues</t>
        </is>
      </c>
      <c r="R482" t="inlineStr">
        <is>
          <t xml:space="preserve">P  </t>
        </is>
      </c>
      <c r="S482" t="n">
        <v>4</v>
      </c>
      <c r="T482" t="n">
        <v>4</v>
      </c>
      <c r="U482" t="inlineStr">
        <is>
          <t>2006-03-02</t>
        </is>
      </c>
      <c r="V482" t="inlineStr">
        <is>
          <t>2006-03-02</t>
        </is>
      </c>
      <c r="W482" t="inlineStr">
        <is>
          <t>2003-04-23</t>
        </is>
      </c>
      <c r="X482" t="inlineStr">
        <is>
          <t>2003-04-23</t>
        </is>
      </c>
      <c r="Y482" t="n">
        <v>571</v>
      </c>
      <c r="Z482" t="n">
        <v>530</v>
      </c>
      <c r="AA482" t="n">
        <v>897</v>
      </c>
      <c r="AB482" t="n">
        <v>4</v>
      </c>
      <c r="AC482" t="n">
        <v>6</v>
      </c>
      <c r="AD482" t="n">
        <v>19</v>
      </c>
      <c r="AE482" t="n">
        <v>26</v>
      </c>
      <c r="AF482" t="n">
        <v>5</v>
      </c>
      <c r="AG482" t="n">
        <v>9</v>
      </c>
      <c r="AH482" t="n">
        <v>5</v>
      </c>
      <c r="AI482" t="n">
        <v>7</v>
      </c>
      <c r="AJ482" t="n">
        <v>9</v>
      </c>
      <c r="AK482" t="n">
        <v>12</v>
      </c>
      <c r="AL482" t="n">
        <v>3</v>
      </c>
      <c r="AM482" t="n">
        <v>5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HYPERLINK("https://creighton-primo.hosted.exlibrisgroup.com/primo-explore/search?tab=default_tab&amp;search_scope=EVERYTHING&amp;vid=01CRU&amp;lang=en_US&amp;offset=0&amp;query=any,contains,991004038809702656","Catalog Record")</f>
        <v/>
      </c>
      <c r="AT482">
        <f>HYPERLINK("http://www.worldcat.org/oclc/51093301","WorldCat Record")</f>
        <v/>
      </c>
      <c r="AU482" t="inlineStr">
        <is>
          <t>795447842:eng</t>
        </is>
      </c>
      <c r="AV482" t="inlineStr">
        <is>
          <t>51093301</t>
        </is>
      </c>
      <c r="AW482" t="inlineStr">
        <is>
          <t>991004038809702656</t>
        </is>
      </c>
      <c r="AX482" t="inlineStr">
        <is>
          <t>991004038809702656</t>
        </is>
      </c>
      <c r="AY482" t="inlineStr">
        <is>
          <t>2270433550002656</t>
        </is>
      </c>
      <c r="AZ482" t="inlineStr">
        <is>
          <t>BOOK</t>
        </is>
      </c>
      <c r="BB482" t="inlineStr">
        <is>
          <t>9781576078457</t>
        </is>
      </c>
      <c r="BC482" t="inlineStr">
        <is>
          <t>32285004743422</t>
        </is>
      </c>
      <c r="BD482" t="inlineStr">
        <is>
          <t>893531912</t>
        </is>
      </c>
    </row>
    <row r="483">
      <c r="A483" t="inlineStr">
        <is>
          <t>No</t>
        </is>
      </c>
      <c r="B483" t="inlineStr">
        <is>
          <t>P96.A752 U65 1993</t>
        </is>
      </c>
      <c r="C483" t="inlineStr">
        <is>
          <t>0                      P  0096000A  752                U  65          1993</t>
        </is>
      </c>
      <c r="D483" t="inlineStr">
        <is>
          <t>The military and the media : why the press cannot be trusted to cover a war / William V. Kennedy.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Kennedy, William V.</t>
        </is>
      </c>
      <c r="L483" t="inlineStr">
        <is>
          <t>Westport, Conn. : Praeger, c1993.</t>
        </is>
      </c>
      <c r="M483" t="inlineStr">
        <is>
          <t>1993</t>
        </is>
      </c>
      <c r="O483" t="inlineStr">
        <is>
          <t>eng</t>
        </is>
      </c>
      <c r="P483" t="inlineStr">
        <is>
          <t>ctu</t>
        </is>
      </c>
      <c r="R483" t="inlineStr">
        <is>
          <t xml:space="preserve">P  </t>
        </is>
      </c>
      <c r="S483" t="n">
        <v>8</v>
      </c>
      <c r="T483" t="n">
        <v>8</v>
      </c>
      <c r="U483" t="inlineStr">
        <is>
          <t>2007-04-15</t>
        </is>
      </c>
      <c r="V483" t="inlineStr">
        <is>
          <t>2007-04-15</t>
        </is>
      </c>
      <c r="W483" t="inlineStr">
        <is>
          <t>1994-06-27</t>
        </is>
      </c>
      <c r="X483" t="inlineStr">
        <is>
          <t>1994-06-27</t>
        </is>
      </c>
      <c r="Y483" t="n">
        <v>500</v>
      </c>
      <c r="Z483" t="n">
        <v>417</v>
      </c>
      <c r="AA483" t="n">
        <v>423</v>
      </c>
      <c r="AB483" t="n">
        <v>3</v>
      </c>
      <c r="AC483" t="n">
        <v>3</v>
      </c>
      <c r="AD483" t="n">
        <v>26</v>
      </c>
      <c r="AE483" t="n">
        <v>26</v>
      </c>
      <c r="AF483" t="n">
        <v>11</v>
      </c>
      <c r="AG483" t="n">
        <v>11</v>
      </c>
      <c r="AH483" t="n">
        <v>6</v>
      </c>
      <c r="AI483" t="n">
        <v>6</v>
      </c>
      <c r="AJ483" t="n">
        <v>13</v>
      </c>
      <c r="AK483" t="n">
        <v>13</v>
      </c>
      <c r="AL483" t="n">
        <v>2</v>
      </c>
      <c r="AM483" t="n">
        <v>2</v>
      </c>
      <c r="AN483" t="n">
        <v>1</v>
      </c>
      <c r="AO483" t="n">
        <v>1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HYPERLINK("http://catalog.hathitrust.org/Record/002714540","HathiTrust Record")</f>
        <v/>
      </c>
      <c r="AS483">
        <f>HYPERLINK("https://creighton-primo.hosted.exlibrisgroup.com/primo-explore/search?tab=default_tab&amp;search_scope=EVERYTHING&amp;vid=01CRU&amp;lang=en_US&amp;offset=0&amp;query=any,contains,991002150789702656","Catalog Record")</f>
        <v/>
      </c>
      <c r="AT483">
        <f>HYPERLINK("http://www.worldcat.org/oclc/27725861","WorldCat Record")</f>
        <v/>
      </c>
      <c r="AU483" t="inlineStr">
        <is>
          <t>329505:eng</t>
        </is>
      </c>
      <c r="AV483" t="inlineStr">
        <is>
          <t>27725861</t>
        </is>
      </c>
      <c r="AW483" t="inlineStr">
        <is>
          <t>991002150789702656</t>
        </is>
      </c>
      <c r="AX483" t="inlineStr">
        <is>
          <t>991002150789702656</t>
        </is>
      </c>
      <c r="AY483" t="inlineStr">
        <is>
          <t>2265523310002656</t>
        </is>
      </c>
      <c r="AZ483" t="inlineStr">
        <is>
          <t>BOOK</t>
        </is>
      </c>
      <c r="BB483" t="inlineStr">
        <is>
          <t>9780275941918</t>
        </is>
      </c>
      <c r="BC483" t="inlineStr">
        <is>
          <t>32285001898096</t>
        </is>
      </c>
      <c r="BD483" t="inlineStr">
        <is>
          <t>893792081</t>
        </is>
      </c>
    </row>
    <row r="484">
      <c r="A484" t="inlineStr">
        <is>
          <t>No</t>
        </is>
      </c>
      <c r="B484" t="inlineStr">
        <is>
          <t>P96.A83 N48 1991</t>
        </is>
      </c>
      <c r="C484" t="inlineStr">
        <is>
          <t>0                      P  0096000A  83                 N  48          1991</t>
        </is>
      </c>
      <c r="D484" t="inlineStr">
        <is>
          <t>The future of the mass audience / W. Russell Neuman.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Neuman, W. Russell.</t>
        </is>
      </c>
      <c r="L484" t="inlineStr">
        <is>
          <t>Cambridge [England] ; New York : Cambridge University Press, 1991.</t>
        </is>
      </c>
      <c r="M484" t="inlineStr">
        <is>
          <t>1991</t>
        </is>
      </c>
      <c r="O484" t="inlineStr">
        <is>
          <t>eng</t>
        </is>
      </c>
      <c r="P484" t="inlineStr">
        <is>
          <t>enk</t>
        </is>
      </c>
      <c r="R484" t="inlineStr">
        <is>
          <t xml:space="preserve">P  </t>
        </is>
      </c>
      <c r="S484" t="n">
        <v>17</v>
      </c>
      <c r="T484" t="n">
        <v>17</v>
      </c>
      <c r="U484" t="inlineStr">
        <is>
          <t>2001-11-20</t>
        </is>
      </c>
      <c r="V484" t="inlineStr">
        <is>
          <t>2001-11-20</t>
        </is>
      </c>
      <c r="W484" t="inlineStr">
        <is>
          <t>1993-10-12</t>
        </is>
      </c>
      <c r="X484" t="inlineStr">
        <is>
          <t>1993-10-12</t>
        </is>
      </c>
      <c r="Y484" t="n">
        <v>571</v>
      </c>
      <c r="Z484" t="n">
        <v>423</v>
      </c>
      <c r="AA484" t="n">
        <v>427</v>
      </c>
      <c r="AB484" t="n">
        <v>4</v>
      </c>
      <c r="AC484" t="n">
        <v>4</v>
      </c>
      <c r="AD484" t="n">
        <v>25</v>
      </c>
      <c r="AE484" t="n">
        <v>25</v>
      </c>
      <c r="AF484" t="n">
        <v>11</v>
      </c>
      <c r="AG484" t="n">
        <v>11</v>
      </c>
      <c r="AH484" t="n">
        <v>6</v>
      </c>
      <c r="AI484" t="n">
        <v>6</v>
      </c>
      <c r="AJ484" t="n">
        <v>14</v>
      </c>
      <c r="AK484" t="n">
        <v>14</v>
      </c>
      <c r="AL484" t="n">
        <v>3</v>
      </c>
      <c r="AM484" t="n">
        <v>3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HYPERLINK("https://creighton-primo.hosted.exlibrisgroup.com/primo-explore/search?tab=default_tab&amp;search_scope=EVERYTHING&amp;vid=01CRU&amp;lang=en_US&amp;offset=0&amp;query=any,contains,991001874669702656","Catalog Record")</f>
        <v/>
      </c>
      <c r="AT484">
        <f>HYPERLINK("http://www.worldcat.org/oclc/23655201","WorldCat Record")</f>
        <v/>
      </c>
      <c r="AU484" t="inlineStr">
        <is>
          <t>24832773:eng</t>
        </is>
      </c>
      <c r="AV484" t="inlineStr">
        <is>
          <t>23655201</t>
        </is>
      </c>
      <c r="AW484" t="inlineStr">
        <is>
          <t>991001874669702656</t>
        </is>
      </c>
      <c r="AX484" t="inlineStr">
        <is>
          <t>991001874669702656</t>
        </is>
      </c>
      <c r="AY484" t="inlineStr">
        <is>
          <t>2265294740002656</t>
        </is>
      </c>
      <c r="AZ484" t="inlineStr">
        <is>
          <t>BOOK</t>
        </is>
      </c>
      <c r="BB484" t="inlineStr">
        <is>
          <t>9780521424042</t>
        </is>
      </c>
      <c r="BC484" t="inlineStr">
        <is>
          <t>32285001785756</t>
        </is>
      </c>
      <c r="BD484" t="inlineStr">
        <is>
          <t>893426937</t>
        </is>
      </c>
    </row>
    <row r="485">
      <c r="A485" t="inlineStr">
        <is>
          <t>No</t>
        </is>
      </c>
      <c r="B485" t="inlineStr">
        <is>
          <t>P96.A83 R44 1996</t>
        </is>
      </c>
      <c r="C485" t="inlineStr">
        <is>
          <t>0                      P  0096000A  83                 R  44          1996</t>
        </is>
      </c>
      <c r="D485" t="inlineStr">
        <is>
          <t>The media equation : how people treat computers, television, and new media like real people and places / Byron Reeves &amp; Clifford Nass.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Reeves, Byron, 1949-</t>
        </is>
      </c>
      <c r="L485" t="inlineStr">
        <is>
          <t>Stanford, Calif. : Center for the Study of Language and Information ; Cambridge [England] ; New York : Cambridge University Press, 1996.</t>
        </is>
      </c>
      <c r="M485" t="inlineStr">
        <is>
          <t>1996</t>
        </is>
      </c>
      <c r="O485" t="inlineStr">
        <is>
          <t>eng</t>
        </is>
      </c>
      <c r="P485" t="inlineStr">
        <is>
          <t>cau</t>
        </is>
      </c>
      <c r="Q485" t="inlineStr">
        <is>
          <t>CSLI lecture notes ; no. 63</t>
        </is>
      </c>
      <c r="R485" t="inlineStr">
        <is>
          <t xml:space="preserve">P  </t>
        </is>
      </c>
      <c r="S485" t="n">
        <v>4</v>
      </c>
      <c r="T485" t="n">
        <v>4</v>
      </c>
      <c r="U485" t="inlineStr">
        <is>
          <t>2008-12-23</t>
        </is>
      </c>
      <c r="V485" t="inlineStr">
        <is>
          <t>2008-12-23</t>
        </is>
      </c>
      <c r="W485" t="inlineStr">
        <is>
          <t>1996-10-17</t>
        </is>
      </c>
      <c r="X485" t="inlineStr">
        <is>
          <t>1996-10-17</t>
        </is>
      </c>
      <c r="Y485" t="n">
        <v>1075</v>
      </c>
      <c r="Z485" t="n">
        <v>860</v>
      </c>
      <c r="AA485" t="n">
        <v>953</v>
      </c>
      <c r="AB485" t="n">
        <v>6</v>
      </c>
      <c r="AC485" t="n">
        <v>6</v>
      </c>
      <c r="AD485" t="n">
        <v>38</v>
      </c>
      <c r="AE485" t="n">
        <v>41</v>
      </c>
      <c r="AF485" t="n">
        <v>17</v>
      </c>
      <c r="AG485" t="n">
        <v>19</v>
      </c>
      <c r="AH485" t="n">
        <v>5</v>
      </c>
      <c r="AI485" t="n">
        <v>6</v>
      </c>
      <c r="AJ485" t="n">
        <v>18</v>
      </c>
      <c r="AK485" t="n">
        <v>19</v>
      </c>
      <c r="AL485" t="n">
        <v>5</v>
      </c>
      <c r="AM485" t="n">
        <v>5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HYPERLINK("https://creighton-primo.hosted.exlibrisgroup.com/primo-explore/search?tab=default_tab&amp;search_scope=EVERYTHING&amp;vid=01CRU&amp;lang=en_US&amp;offset=0&amp;query=any,contains,991002653189702656","Catalog Record")</f>
        <v/>
      </c>
      <c r="AT485">
        <f>HYPERLINK("http://www.worldcat.org/oclc/34691321","WorldCat Record")</f>
        <v/>
      </c>
      <c r="AU485" t="inlineStr">
        <is>
          <t>807330647:eng</t>
        </is>
      </c>
      <c r="AV485" t="inlineStr">
        <is>
          <t>34691321</t>
        </is>
      </c>
      <c r="AW485" t="inlineStr">
        <is>
          <t>991002653189702656</t>
        </is>
      </c>
      <c r="AX485" t="inlineStr">
        <is>
          <t>991002653189702656</t>
        </is>
      </c>
      <c r="AY485" t="inlineStr">
        <is>
          <t>2258265720002656</t>
        </is>
      </c>
      <c r="AZ485" t="inlineStr">
        <is>
          <t>BOOK</t>
        </is>
      </c>
      <c r="BB485" t="inlineStr">
        <is>
          <t>9781575860527</t>
        </is>
      </c>
      <c r="BC485" t="inlineStr">
        <is>
          <t>32285002366622</t>
        </is>
      </c>
      <c r="BD485" t="inlineStr">
        <is>
          <t>893880215</t>
        </is>
      </c>
    </row>
    <row r="486">
      <c r="A486" t="inlineStr">
        <is>
          <t>No</t>
        </is>
      </c>
      <c r="B486" t="inlineStr">
        <is>
          <t>P96.A83 R47 2003</t>
        </is>
      </c>
      <c r="C486" t="inlineStr">
        <is>
          <t>0                      P  0096000A  83                 R  47          2003</t>
        </is>
      </c>
      <c r="D486" t="inlineStr">
        <is>
          <t>Researching audiences / Kim Schrøder ... [et al.].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London : Arnold ; New York : Distributed in the U.S.A. by Oxford University Press, 2003.</t>
        </is>
      </c>
      <c r="M486" t="inlineStr">
        <is>
          <t>2003</t>
        </is>
      </c>
      <c r="O486" t="inlineStr">
        <is>
          <t>eng</t>
        </is>
      </c>
      <c r="P486" t="inlineStr">
        <is>
          <t>enk</t>
        </is>
      </c>
      <c r="R486" t="inlineStr">
        <is>
          <t xml:space="preserve">P  </t>
        </is>
      </c>
      <c r="S486" t="n">
        <v>1</v>
      </c>
      <c r="T486" t="n">
        <v>1</v>
      </c>
      <c r="U486" t="inlineStr">
        <is>
          <t>2005-08-15</t>
        </is>
      </c>
      <c r="V486" t="inlineStr">
        <is>
          <t>2005-08-15</t>
        </is>
      </c>
      <c r="W486" t="inlineStr">
        <is>
          <t>2005-08-15</t>
        </is>
      </c>
      <c r="X486" t="inlineStr">
        <is>
          <t>2005-08-15</t>
        </is>
      </c>
      <c r="Y486" t="n">
        <v>232</v>
      </c>
      <c r="Z486" t="n">
        <v>104</v>
      </c>
      <c r="AA486" t="n">
        <v>108</v>
      </c>
      <c r="AB486" t="n">
        <v>2</v>
      </c>
      <c r="AC486" t="n">
        <v>2</v>
      </c>
      <c r="AD486" t="n">
        <v>7</v>
      </c>
      <c r="AE486" t="n">
        <v>7</v>
      </c>
      <c r="AF486" t="n">
        <v>4</v>
      </c>
      <c r="AG486" t="n">
        <v>4</v>
      </c>
      <c r="AH486" t="n">
        <v>2</v>
      </c>
      <c r="AI486" t="n">
        <v>2</v>
      </c>
      <c r="AJ486" t="n">
        <v>3</v>
      </c>
      <c r="AK486" t="n">
        <v>3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HYPERLINK("https://creighton-primo.hosted.exlibrisgroup.com/primo-explore/search?tab=default_tab&amp;search_scope=EVERYTHING&amp;vid=01CRU&amp;lang=en_US&amp;offset=0&amp;query=any,contains,991004611529702656","Catalog Record")</f>
        <v/>
      </c>
      <c r="AT486">
        <f>HYPERLINK("http://www.worldcat.org/oclc/52056715","WorldCat Record")</f>
        <v/>
      </c>
      <c r="AU486" t="inlineStr">
        <is>
          <t>682580:eng</t>
        </is>
      </c>
      <c r="AV486" t="inlineStr">
        <is>
          <t>52056715</t>
        </is>
      </c>
      <c r="AW486" t="inlineStr">
        <is>
          <t>991004611529702656</t>
        </is>
      </c>
      <c r="AX486" t="inlineStr">
        <is>
          <t>991004611529702656</t>
        </is>
      </c>
      <c r="AY486" t="inlineStr">
        <is>
          <t>2257072420002656</t>
        </is>
      </c>
      <c r="AZ486" t="inlineStr">
        <is>
          <t>BOOK</t>
        </is>
      </c>
      <c r="BB486" t="inlineStr">
        <is>
          <t>9780340762745</t>
        </is>
      </c>
      <c r="BC486" t="inlineStr">
        <is>
          <t>32285005080410</t>
        </is>
      </c>
      <c r="BD486" t="inlineStr">
        <is>
          <t>893259926</t>
        </is>
      </c>
    </row>
    <row r="487">
      <c r="A487" t="inlineStr">
        <is>
          <t>No</t>
        </is>
      </c>
      <c r="B487" t="inlineStr">
        <is>
          <t>P96.A86 P375 1996</t>
        </is>
      </c>
      <c r="C487" t="inlineStr">
        <is>
          <t>0                      P  0096000A  86                 P  375         1996</t>
        </is>
      </c>
      <c r="D487" t="inlineStr">
        <is>
          <t>Proposal savvy : creating successful proposals for media projects / Elise K. Parsigian.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Parsigian, Elise K.</t>
        </is>
      </c>
      <c r="L487" t="inlineStr">
        <is>
          <t>Thousand Oaks, Calif. : Sage Publications, c1996.</t>
        </is>
      </c>
      <c r="M487" t="inlineStr">
        <is>
          <t>1996</t>
        </is>
      </c>
      <c r="O487" t="inlineStr">
        <is>
          <t>eng</t>
        </is>
      </c>
      <c r="P487" t="inlineStr">
        <is>
          <t>cau</t>
        </is>
      </c>
      <c r="R487" t="inlineStr">
        <is>
          <t xml:space="preserve">P  </t>
        </is>
      </c>
      <c r="S487" t="n">
        <v>5</v>
      </c>
      <c r="T487" t="n">
        <v>5</v>
      </c>
      <c r="U487" t="inlineStr">
        <is>
          <t>2007-03-04</t>
        </is>
      </c>
      <c r="V487" t="inlineStr">
        <is>
          <t>2007-03-04</t>
        </is>
      </c>
      <c r="W487" t="inlineStr">
        <is>
          <t>1997-01-17</t>
        </is>
      </c>
      <c r="X487" t="inlineStr">
        <is>
          <t>1997-01-17</t>
        </is>
      </c>
      <c r="Y487" t="n">
        <v>262</v>
      </c>
      <c r="Z487" t="n">
        <v>208</v>
      </c>
      <c r="AA487" t="n">
        <v>217</v>
      </c>
      <c r="AB487" t="n">
        <v>5</v>
      </c>
      <c r="AC487" t="n">
        <v>5</v>
      </c>
      <c r="AD487" t="n">
        <v>11</v>
      </c>
      <c r="AE487" t="n">
        <v>11</v>
      </c>
      <c r="AF487" t="n">
        <v>2</v>
      </c>
      <c r="AG487" t="n">
        <v>2</v>
      </c>
      <c r="AH487" t="n">
        <v>2</v>
      </c>
      <c r="AI487" t="n">
        <v>2</v>
      </c>
      <c r="AJ487" t="n">
        <v>6</v>
      </c>
      <c r="AK487" t="n">
        <v>6</v>
      </c>
      <c r="AL487" t="n">
        <v>4</v>
      </c>
      <c r="AM487" t="n">
        <v>4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HYPERLINK("http://catalog.hathitrust.org/Record/003062220","HathiTrust Record")</f>
        <v/>
      </c>
      <c r="AS487">
        <f>HYPERLINK("https://creighton-primo.hosted.exlibrisgroup.com/primo-explore/search?tab=default_tab&amp;search_scope=EVERYTHING&amp;vid=01CRU&amp;lang=en_US&amp;offset=0&amp;query=any,contains,991002563719702656","Catalog Record")</f>
        <v/>
      </c>
      <c r="AT487">
        <f>HYPERLINK("http://www.worldcat.org/oclc/33334326","WorldCat Record")</f>
        <v/>
      </c>
      <c r="AU487" t="inlineStr">
        <is>
          <t>38073638:eng</t>
        </is>
      </c>
      <c r="AV487" t="inlineStr">
        <is>
          <t>33334326</t>
        </is>
      </c>
      <c r="AW487" t="inlineStr">
        <is>
          <t>991002563719702656</t>
        </is>
      </c>
      <c r="AX487" t="inlineStr">
        <is>
          <t>991002563719702656</t>
        </is>
      </c>
      <c r="AY487" t="inlineStr">
        <is>
          <t>2259180800002656</t>
        </is>
      </c>
      <c r="AZ487" t="inlineStr">
        <is>
          <t>BOOK</t>
        </is>
      </c>
      <c r="BB487" t="inlineStr">
        <is>
          <t>9780761900269</t>
        </is>
      </c>
      <c r="BC487" t="inlineStr">
        <is>
          <t>32285002409091</t>
        </is>
      </c>
      <c r="BD487" t="inlineStr">
        <is>
          <t>893227000</t>
        </is>
      </c>
    </row>
    <row r="488">
      <c r="A488" t="inlineStr">
        <is>
          <t>No</t>
        </is>
      </c>
      <c r="B488" t="inlineStr">
        <is>
          <t>P96.C4 C58</t>
        </is>
      </c>
      <c r="C488" t="inlineStr">
        <is>
          <t>0                      P  0096000C  4                  C  58</t>
        </is>
      </c>
      <c r="D488" t="inlineStr">
        <is>
          <t>Where do you draw the line? : an exploration into media violence, pornography, and censorship / contributors: Walter Berns [and others]. Edited by Victor B. Cline.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Cline, Victor B. compiler.</t>
        </is>
      </c>
      <c r="L488" t="inlineStr">
        <is>
          <t>[Provo, Utah] : Brigham Young University Press, [1974]</t>
        </is>
      </c>
      <c r="M488" t="inlineStr">
        <is>
          <t>1974</t>
        </is>
      </c>
      <c r="O488" t="inlineStr">
        <is>
          <t>eng</t>
        </is>
      </c>
      <c r="P488" t="inlineStr">
        <is>
          <t>utu</t>
        </is>
      </c>
      <c r="R488" t="inlineStr">
        <is>
          <t xml:space="preserve">P  </t>
        </is>
      </c>
      <c r="S488" t="n">
        <v>18</v>
      </c>
      <c r="T488" t="n">
        <v>18</v>
      </c>
      <c r="U488" t="inlineStr">
        <is>
          <t>2005-03-17</t>
        </is>
      </c>
      <c r="V488" t="inlineStr">
        <is>
          <t>2005-03-17</t>
        </is>
      </c>
      <c r="W488" t="inlineStr">
        <is>
          <t>1993-12-01</t>
        </is>
      </c>
      <c r="X488" t="inlineStr">
        <is>
          <t>1993-12-01</t>
        </is>
      </c>
      <c r="Y488" t="n">
        <v>833</v>
      </c>
      <c r="Z488" t="n">
        <v>742</v>
      </c>
      <c r="AA488" t="n">
        <v>750</v>
      </c>
      <c r="AB488" t="n">
        <v>10</v>
      </c>
      <c r="AC488" t="n">
        <v>10</v>
      </c>
      <c r="AD488" t="n">
        <v>35</v>
      </c>
      <c r="AE488" t="n">
        <v>35</v>
      </c>
      <c r="AF488" t="n">
        <v>12</v>
      </c>
      <c r="AG488" t="n">
        <v>12</v>
      </c>
      <c r="AH488" t="n">
        <v>8</v>
      </c>
      <c r="AI488" t="n">
        <v>8</v>
      </c>
      <c r="AJ488" t="n">
        <v>13</v>
      </c>
      <c r="AK488" t="n">
        <v>13</v>
      </c>
      <c r="AL488" t="n">
        <v>6</v>
      </c>
      <c r="AM488" t="n">
        <v>6</v>
      </c>
      <c r="AN488" t="n">
        <v>3</v>
      </c>
      <c r="AO488" t="n">
        <v>3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HYPERLINK("http://catalog.hathitrust.org/Record/001180876","HathiTrust Record")</f>
        <v/>
      </c>
      <c r="AS488">
        <f>HYPERLINK("https://creighton-primo.hosted.exlibrisgroup.com/primo-explore/search?tab=default_tab&amp;search_scope=EVERYTHING&amp;vid=01CRU&amp;lang=en_US&amp;offset=0&amp;query=any,contains,991003379829702656","Catalog Record")</f>
        <v/>
      </c>
      <c r="AT488">
        <f>HYPERLINK("http://www.worldcat.org/oclc/915900","WorldCat Record")</f>
        <v/>
      </c>
      <c r="AU488" t="inlineStr">
        <is>
          <t>901770945:eng</t>
        </is>
      </c>
      <c r="AV488" t="inlineStr">
        <is>
          <t>915900</t>
        </is>
      </c>
      <c r="AW488" t="inlineStr">
        <is>
          <t>991003379829702656</t>
        </is>
      </c>
      <c r="AX488" t="inlineStr">
        <is>
          <t>991003379829702656</t>
        </is>
      </c>
      <c r="AY488" t="inlineStr">
        <is>
          <t>2264855670002656</t>
        </is>
      </c>
      <c r="AZ488" t="inlineStr">
        <is>
          <t>BOOK</t>
        </is>
      </c>
      <c r="BB488" t="inlineStr">
        <is>
          <t>9780842509862</t>
        </is>
      </c>
      <c r="BC488" t="inlineStr">
        <is>
          <t>32285001805133</t>
        </is>
      </c>
      <c r="BD488" t="inlineStr">
        <is>
          <t>893317941</t>
        </is>
      </c>
    </row>
    <row r="489">
      <c r="A489" t="inlineStr">
        <is>
          <t>No</t>
        </is>
      </c>
      <c r="B489" t="inlineStr">
        <is>
          <t>P96.C42 I733 2006</t>
        </is>
      </c>
      <c r="C489" t="inlineStr">
        <is>
          <t>0                      P  0096000C  42                 I  733         2006</t>
        </is>
      </c>
      <c r="D489" t="inlineStr">
        <is>
          <t>Censorship in the two Irelands, 1922-39 / Peter Martin.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Martin, Peter.</t>
        </is>
      </c>
      <c r="L489" t="inlineStr">
        <is>
          <t>Dublin ; Portland, OR : Irish Academic Press, 2006.</t>
        </is>
      </c>
      <c r="M489" t="inlineStr">
        <is>
          <t>2006</t>
        </is>
      </c>
      <c r="O489" t="inlineStr">
        <is>
          <t>eng</t>
        </is>
      </c>
      <c r="P489" t="inlineStr">
        <is>
          <t xml:space="preserve">ie </t>
        </is>
      </c>
      <c r="R489" t="inlineStr">
        <is>
          <t xml:space="preserve">P  </t>
        </is>
      </c>
      <c r="S489" t="n">
        <v>1</v>
      </c>
      <c r="T489" t="n">
        <v>1</v>
      </c>
      <c r="U489" t="inlineStr">
        <is>
          <t>2008-12-03</t>
        </is>
      </c>
      <c r="V489" t="inlineStr">
        <is>
          <t>2008-12-03</t>
        </is>
      </c>
      <c r="W489" t="inlineStr">
        <is>
          <t>2006-10-30</t>
        </is>
      </c>
      <c r="X489" t="inlineStr">
        <is>
          <t>2006-10-30</t>
        </is>
      </c>
      <c r="Y489" t="n">
        <v>137</v>
      </c>
      <c r="Z489" t="n">
        <v>92</v>
      </c>
      <c r="AA489" t="n">
        <v>93</v>
      </c>
      <c r="AB489" t="n">
        <v>1</v>
      </c>
      <c r="AC489" t="n">
        <v>1</v>
      </c>
      <c r="AD489" t="n">
        <v>10</v>
      </c>
      <c r="AE489" t="n">
        <v>10</v>
      </c>
      <c r="AF489" t="n">
        <v>3</v>
      </c>
      <c r="AG489" t="n">
        <v>3</v>
      </c>
      <c r="AH489" t="n">
        <v>4</v>
      </c>
      <c r="AI489" t="n">
        <v>4</v>
      </c>
      <c r="AJ489" t="n">
        <v>6</v>
      </c>
      <c r="AK489" t="n">
        <v>6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HYPERLINK("https://creighton-primo.hosted.exlibrisgroup.com/primo-explore/search?tab=default_tab&amp;search_scope=EVERYTHING&amp;vid=01CRU&amp;lang=en_US&amp;offset=0&amp;query=any,contains,991004941649702656","Catalog Record")</f>
        <v/>
      </c>
      <c r="AT489">
        <f>HYPERLINK("http://www.worldcat.org/oclc/68963619","WorldCat Record")</f>
        <v/>
      </c>
      <c r="AU489" t="inlineStr">
        <is>
          <t>52313824:eng</t>
        </is>
      </c>
      <c r="AV489" t="inlineStr">
        <is>
          <t>68963619</t>
        </is>
      </c>
      <c r="AW489" t="inlineStr">
        <is>
          <t>991004941649702656</t>
        </is>
      </c>
      <c r="AX489" t="inlineStr">
        <is>
          <t>991004941649702656</t>
        </is>
      </c>
      <c r="AY489" t="inlineStr">
        <is>
          <t>2255537990002656</t>
        </is>
      </c>
      <c r="AZ489" t="inlineStr">
        <is>
          <t>BOOK</t>
        </is>
      </c>
      <c r="BB489" t="inlineStr">
        <is>
          <t>9780716528296</t>
        </is>
      </c>
      <c r="BC489" t="inlineStr">
        <is>
          <t>32285005233662</t>
        </is>
      </c>
      <c r="BD489" t="inlineStr">
        <is>
          <t>893807649</t>
        </is>
      </c>
    </row>
    <row r="490">
      <c r="A490" t="inlineStr">
        <is>
          <t>No</t>
        </is>
      </c>
      <c r="B490" t="inlineStr">
        <is>
          <t>P96.C74 S87 1992</t>
        </is>
      </c>
      <c r="C490" t="inlineStr">
        <is>
          <t>0                      P  0096000C  74                 S  87          1992</t>
        </is>
      </c>
      <c r="D490" t="inlineStr">
        <is>
          <t>Media, crime, and criminal justice : images and realities / Ray Surette.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Surette, Ray.</t>
        </is>
      </c>
      <c r="L490" t="inlineStr">
        <is>
          <t>Pacific Grove, Calif. : Brooks/Cole Pub. Co., c1992.</t>
        </is>
      </c>
      <c r="M490" t="inlineStr">
        <is>
          <t>1992</t>
        </is>
      </c>
      <c r="O490" t="inlineStr">
        <is>
          <t>eng</t>
        </is>
      </c>
      <c r="P490" t="inlineStr">
        <is>
          <t>cau</t>
        </is>
      </c>
      <c r="Q490" t="inlineStr">
        <is>
          <t>Contemporary issues in crime and justice series</t>
        </is>
      </c>
      <c r="R490" t="inlineStr">
        <is>
          <t xml:space="preserve">P  </t>
        </is>
      </c>
      <c r="S490" t="n">
        <v>8</v>
      </c>
      <c r="T490" t="n">
        <v>8</v>
      </c>
      <c r="U490" t="inlineStr">
        <is>
          <t>2002-12-09</t>
        </is>
      </c>
      <c r="V490" t="inlineStr">
        <is>
          <t>2002-12-09</t>
        </is>
      </c>
      <c r="W490" t="inlineStr">
        <is>
          <t>1992-04-13</t>
        </is>
      </c>
      <c r="X490" t="inlineStr">
        <is>
          <t>1992-04-13</t>
        </is>
      </c>
      <c r="Y490" t="n">
        <v>309</v>
      </c>
      <c r="Z490" t="n">
        <v>245</v>
      </c>
      <c r="AA490" t="n">
        <v>533</v>
      </c>
      <c r="AB490" t="n">
        <v>2</v>
      </c>
      <c r="AC490" t="n">
        <v>4</v>
      </c>
      <c r="AD490" t="n">
        <v>14</v>
      </c>
      <c r="AE490" t="n">
        <v>26</v>
      </c>
      <c r="AF490" t="n">
        <v>6</v>
      </c>
      <c r="AG490" t="n">
        <v>11</v>
      </c>
      <c r="AH490" t="n">
        <v>2</v>
      </c>
      <c r="AI490" t="n">
        <v>3</v>
      </c>
      <c r="AJ490" t="n">
        <v>7</v>
      </c>
      <c r="AK490" t="n">
        <v>12</v>
      </c>
      <c r="AL490" t="n">
        <v>1</v>
      </c>
      <c r="AM490" t="n">
        <v>3</v>
      </c>
      <c r="AN490" t="n">
        <v>2</v>
      </c>
      <c r="AO490" t="n">
        <v>2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HYPERLINK("https://creighton-primo.hosted.exlibrisgroup.com/primo-explore/search?tab=default_tab&amp;search_scope=EVERYTHING&amp;vid=01CRU&amp;lang=en_US&amp;offset=0&amp;query=any,contains,991001876909702656","Catalog Record")</f>
        <v/>
      </c>
      <c r="AT490">
        <f>HYPERLINK("http://www.worldcat.org/oclc/23689954","WorldCat Record")</f>
        <v/>
      </c>
      <c r="AU490" t="inlineStr">
        <is>
          <t>836863180:eng</t>
        </is>
      </c>
      <c r="AV490" t="inlineStr">
        <is>
          <t>23689954</t>
        </is>
      </c>
      <c r="AW490" t="inlineStr">
        <is>
          <t>991001876909702656</t>
        </is>
      </c>
      <c r="AX490" t="inlineStr">
        <is>
          <t>991001876909702656</t>
        </is>
      </c>
      <c r="AY490" t="inlineStr">
        <is>
          <t>2265020020002656</t>
        </is>
      </c>
      <c r="AZ490" t="inlineStr">
        <is>
          <t>BOOK</t>
        </is>
      </c>
      <c r="BB490" t="inlineStr">
        <is>
          <t>9780534164409</t>
        </is>
      </c>
      <c r="BC490" t="inlineStr">
        <is>
          <t>32285001009736</t>
        </is>
      </c>
      <c r="BD490" t="inlineStr">
        <is>
          <t>893444835</t>
        </is>
      </c>
    </row>
    <row r="491">
      <c r="A491" t="inlineStr">
        <is>
          <t>No</t>
        </is>
      </c>
      <c r="B491" t="inlineStr">
        <is>
          <t>P96.C742 U63 2001</t>
        </is>
      </c>
      <c r="C491" t="inlineStr">
        <is>
          <t>0                      P  0096000C  742                U  63          2001</t>
        </is>
      </c>
      <c r="D491" t="inlineStr">
        <is>
          <t>Tabloid justice : criminal justice in an age of media frenzy / Richard L. Fox, Robert W. Van Sickel.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Fox, Richard Logan.</t>
        </is>
      </c>
      <c r="L491" t="inlineStr">
        <is>
          <t>Boulder, CO : L. Rienner, 2001.</t>
        </is>
      </c>
      <c r="M491" t="inlineStr">
        <is>
          <t>2001</t>
        </is>
      </c>
      <c r="O491" t="inlineStr">
        <is>
          <t>eng</t>
        </is>
      </c>
      <c r="P491" t="inlineStr">
        <is>
          <t>cou</t>
        </is>
      </c>
      <c r="R491" t="inlineStr">
        <is>
          <t xml:space="preserve">P  </t>
        </is>
      </c>
      <c r="S491" t="n">
        <v>1</v>
      </c>
      <c r="T491" t="n">
        <v>1</v>
      </c>
      <c r="U491" t="inlineStr">
        <is>
          <t>2001-10-30</t>
        </is>
      </c>
      <c r="V491" t="inlineStr">
        <is>
          <t>2001-10-30</t>
        </is>
      </c>
      <c r="W491" t="inlineStr">
        <is>
          <t>2001-10-29</t>
        </is>
      </c>
      <c r="X491" t="inlineStr">
        <is>
          <t>2001-10-29</t>
        </is>
      </c>
      <c r="Y491" t="n">
        <v>833</v>
      </c>
      <c r="Z491" t="n">
        <v>750</v>
      </c>
      <c r="AA491" t="n">
        <v>891</v>
      </c>
      <c r="AB491" t="n">
        <v>5</v>
      </c>
      <c r="AC491" t="n">
        <v>6</v>
      </c>
      <c r="AD491" t="n">
        <v>38</v>
      </c>
      <c r="AE491" t="n">
        <v>44</v>
      </c>
      <c r="AF491" t="n">
        <v>16</v>
      </c>
      <c r="AG491" t="n">
        <v>18</v>
      </c>
      <c r="AH491" t="n">
        <v>10</v>
      </c>
      <c r="AI491" t="n">
        <v>10</v>
      </c>
      <c r="AJ491" t="n">
        <v>16</v>
      </c>
      <c r="AK491" t="n">
        <v>18</v>
      </c>
      <c r="AL491" t="n">
        <v>4</v>
      </c>
      <c r="AM491" t="n">
        <v>5</v>
      </c>
      <c r="AN491" t="n">
        <v>2</v>
      </c>
      <c r="AO491" t="n">
        <v>4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HYPERLINK("https://creighton-primo.hosted.exlibrisgroup.com/primo-explore/search?tab=default_tab&amp;search_scope=EVERYTHING&amp;vid=01CRU&amp;lang=en_US&amp;offset=0&amp;query=any,contains,991003645449702656","Catalog Record")</f>
        <v/>
      </c>
      <c r="AT491">
        <f>HYPERLINK("http://www.worldcat.org/oclc/44268110","WorldCat Record")</f>
        <v/>
      </c>
      <c r="AU491" t="inlineStr">
        <is>
          <t>287834255:eng</t>
        </is>
      </c>
      <c r="AV491" t="inlineStr">
        <is>
          <t>44268110</t>
        </is>
      </c>
      <c r="AW491" t="inlineStr">
        <is>
          <t>991003645449702656</t>
        </is>
      </c>
      <c r="AX491" t="inlineStr">
        <is>
          <t>991003645449702656</t>
        </is>
      </c>
      <c r="AY491" t="inlineStr">
        <is>
          <t>2264410430002656</t>
        </is>
      </c>
      <c r="AZ491" t="inlineStr">
        <is>
          <t>BOOK</t>
        </is>
      </c>
      <c r="BB491" t="inlineStr">
        <is>
          <t>9781555879136</t>
        </is>
      </c>
      <c r="BC491" t="inlineStr">
        <is>
          <t>32285004416144</t>
        </is>
      </c>
      <c r="BD491" t="inlineStr">
        <is>
          <t>893336752</t>
        </is>
      </c>
    </row>
    <row r="492">
      <c r="A492" t="inlineStr">
        <is>
          <t>No</t>
        </is>
      </c>
      <c r="B492" t="inlineStr">
        <is>
          <t>P96.D36 C66 1996</t>
        </is>
      </c>
      <c r="C492" t="inlineStr">
        <is>
          <t>0                      P  0096000D  36                 C  66          1996</t>
        </is>
      </c>
      <c r="D492" t="inlineStr">
        <is>
          <t>Communication and cyberspace : social interaction in an electronic environment / edited by Lance Strate, Ronald Jacobson, Stephanie B. Gibson.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Cresskill, N.J. : Hampton Press, c1996.</t>
        </is>
      </c>
      <c r="M492" t="inlineStr">
        <is>
          <t>1996</t>
        </is>
      </c>
      <c r="O492" t="inlineStr">
        <is>
          <t>eng</t>
        </is>
      </c>
      <c r="P492" t="inlineStr">
        <is>
          <t>nju</t>
        </is>
      </c>
      <c r="Q492" t="inlineStr">
        <is>
          <t>The Hampton Press communication series. Communication and public space</t>
        </is>
      </c>
      <c r="R492" t="inlineStr">
        <is>
          <t xml:space="preserve">P  </t>
        </is>
      </c>
      <c r="S492" t="n">
        <v>9</v>
      </c>
      <c r="T492" t="n">
        <v>9</v>
      </c>
      <c r="U492" t="inlineStr">
        <is>
          <t>2008-02-12</t>
        </is>
      </c>
      <c r="V492" t="inlineStr">
        <is>
          <t>2008-02-12</t>
        </is>
      </c>
      <c r="W492" t="inlineStr">
        <is>
          <t>1996-07-24</t>
        </is>
      </c>
      <c r="X492" t="inlineStr">
        <is>
          <t>1996-07-24</t>
        </is>
      </c>
      <c r="Y492" t="n">
        <v>239</v>
      </c>
      <c r="Z492" t="n">
        <v>180</v>
      </c>
      <c r="AA492" t="n">
        <v>278</v>
      </c>
      <c r="AB492" t="n">
        <v>2</v>
      </c>
      <c r="AC492" t="n">
        <v>2</v>
      </c>
      <c r="AD492" t="n">
        <v>19</v>
      </c>
      <c r="AE492" t="n">
        <v>24</v>
      </c>
      <c r="AF492" t="n">
        <v>7</v>
      </c>
      <c r="AG492" t="n">
        <v>9</v>
      </c>
      <c r="AH492" t="n">
        <v>5</v>
      </c>
      <c r="AI492" t="n">
        <v>7</v>
      </c>
      <c r="AJ492" t="n">
        <v>13</v>
      </c>
      <c r="AK492" t="n">
        <v>16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HYPERLINK("http://catalog.hathitrust.org/Record/003085851","HathiTrust Record")</f>
        <v/>
      </c>
      <c r="AS492">
        <f>HYPERLINK("https://creighton-primo.hosted.exlibrisgroup.com/primo-explore/search?tab=default_tab&amp;search_scope=EVERYTHING&amp;vid=01CRU&amp;lang=en_US&amp;offset=0&amp;query=any,contains,991002630709702656","Catalog Record")</f>
        <v/>
      </c>
      <c r="AT492">
        <f>HYPERLINK("http://www.worldcat.org/oclc/34476850","WorldCat Record")</f>
        <v/>
      </c>
      <c r="AU492" t="inlineStr">
        <is>
          <t>905363659:eng</t>
        </is>
      </c>
      <c r="AV492" t="inlineStr">
        <is>
          <t>34476850</t>
        </is>
      </c>
      <c r="AW492" t="inlineStr">
        <is>
          <t>991002630709702656</t>
        </is>
      </c>
      <c r="AX492" t="inlineStr">
        <is>
          <t>991002630709702656</t>
        </is>
      </c>
      <c r="AY492" t="inlineStr">
        <is>
          <t>2264018340002656</t>
        </is>
      </c>
      <c r="AZ492" t="inlineStr">
        <is>
          <t>BOOK</t>
        </is>
      </c>
      <c r="BB492" t="inlineStr">
        <is>
          <t>9781572730502</t>
        </is>
      </c>
      <c r="BC492" t="inlineStr">
        <is>
          <t>32285002214533</t>
        </is>
      </c>
      <c r="BD492" t="inlineStr">
        <is>
          <t>893892790</t>
        </is>
      </c>
    </row>
    <row r="493">
      <c r="A493" t="inlineStr">
        <is>
          <t>No</t>
        </is>
      </c>
      <c r="B493" t="inlineStr">
        <is>
          <t>P96.D36 C67 1996</t>
        </is>
      </c>
      <c r="C493" t="inlineStr">
        <is>
          <t>0                      P  0096000D  36                 C  67          1996</t>
        </is>
      </c>
      <c r="D493" t="inlineStr">
        <is>
          <t>Computers, communication and mental models / edited by Donald L. Day, Diane K. Kovacs.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London ; Bristol, PA : Taylor &amp; Francis, c1996.</t>
        </is>
      </c>
      <c r="M493" t="inlineStr">
        <is>
          <t>1996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P  </t>
        </is>
      </c>
      <c r="S493" t="n">
        <v>4</v>
      </c>
      <c r="T493" t="n">
        <v>4</v>
      </c>
      <c r="U493" t="inlineStr">
        <is>
          <t>2002-03-21</t>
        </is>
      </c>
      <c r="V493" t="inlineStr">
        <is>
          <t>2002-03-21</t>
        </is>
      </c>
      <c r="W493" t="inlineStr">
        <is>
          <t>1997-03-20</t>
        </is>
      </c>
      <c r="X493" t="inlineStr">
        <is>
          <t>1997-03-20</t>
        </is>
      </c>
      <c r="Y493" t="n">
        <v>160</v>
      </c>
      <c r="Z493" t="n">
        <v>90</v>
      </c>
      <c r="AA493" t="n">
        <v>95</v>
      </c>
      <c r="AB493" t="n">
        <v>1</v>
      </c>
      <c r="AC493" t="n">
        <v>1</v>
      </c>
      <c r="AD493" t="n">
        <v>3</v>
      </c>
      <c r="AE493" t="n">
        <v>3</v>
      </c>
      <c r="AF493" t="n">
        <v>0</v>
      </c>
      <c r="AG493" t="n">
        <v>0</v>
      </c>
      <c r="AH493" t="n">
        <v>1</v>
      </c>
      <c r="AI493" t="n">
        <v>1</v>
      </c>
      <c r="AJ493" t="n">
        <v>2</v>
      </c>
      <c r="AK493" t="n">
        <v>2</v>
      </c>
      <c r="AL493" t="n">
        <v>0</v>
      </c>
      <c r="AM493" t="n">
        <v>0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HYPERLINK("https://creighton-primo.hosted.exlibrisgroup.com/primo-explore/search?tab=default_tab&amp;search_scope=EVERYTHING&amp;vid=01CRU&amp;lang=en_US&amp;offset=0&amp;query=any,contains,991002752579702656","Catalog Record")</f>
        <v/>
      </c>
      <c r="AT493">
        <f>HYPERLINK("http://www.worldcat.org/oclc/36122723","WorldCat Record")</f>
        <v/>
      </c>
      <c r="AU493" t="inlineStr">
        <is>
          <t>353851409:eng</t>
        </is>
      </c>
      <c r="AV493" t="inlineStr">
        <is>
          <t>36122723</t>
        </is>
      </c>
      <c r="AW493" t="inlineStr">
        <is>
          <t>991002752579702656</t>
        </is>
      </c>
      <c r="AX493" t="inlineStr">
        <is>
          <t>991002752579702656</t>
        </is>
      </c>
      <c r="AY493" t="inlineStr">
        <is>
          <t>2258224040002656</t>
        </is>
      </c>
      <c r="AZ493" t="inlineStr">
        <is>
          <t>BOOK</t>
        </is>
      </c>
      <c r="BB493" t="inlineStr">
        <is>
          <t>9780748405435</t>
        </is>
      </c>
      <c r="BC493" t="inlineStr">
        <is>
          <t>32285002475225</t>
        </is>
      </c>
      <c r="BD493" t="inlineStr">
        <is>
          <t>893347883</t>
        </is>
      </c>
    </row>
    <row r="494">
      <c r="A494" t="inlineStr">
        <is>
          <t>No</t>
        </is>
      </c>
      <c r="B494" t="inlineStr">
        <is>
          <t>P96.D36 M85 2007</t>
        </is>
      </c>
      <c r="C494" t="inlineStr">
        <is>
          <t>0                      P  0096000D  36                 M  85          2007</t>
        </is>
      </c>
      <c r="D494" t="inlineStr">
        <is>
          <t>The multilingual Internet : language, culture, and communication online / edited by Brenda Danet and Susan C. Herring.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L494" t="inlineStr">
        <is>
          <t>Oxford ; New York : Oxford University Press, 2007.</t>
        </is>
      </c>
      <c r="M494" t="inlineStr">
        <is>
          <t>2007</t>
        </is>
      </c>
      <c r="O494" t="inlineStr">
        <is>
          <t>eng</t>
        </is>
      </c>
      <c r="P494" t="inlineStr">
        <is>
          <t>enk</t>
        </is>
      </c>
      <c r="R494" t="inlineStr">
        <is>
          <t xml:space="preserve">P  </t>
        </is>
      </c>
      <c r="S494" t="n">
        <v>1</v>
      </c>
      <c r="T494" t="n">
        <v>1</v>
      </c>
      <c r="U494" t="inlineStr">
        <is>
          <t>2009-06-11</t>
        </is>
      </c>
      <c r="V494" t="inlineStr">
        <is>
          <t>2009-06-11</t>
        </is>
      </c>
      <c r="W494" t="inlineStr">
        <is>
          <t>2009-06-11</t>
        </is>
      </c>
      <c r="X494" t="inlineStr">
        <is>
          <t>2009-06-11</t>
        </is>
      </c>
      <c r="Y494" t="n">
        <v>363</v>
      </c>
      <c r="Z494" t="n">
        <v>245</v>
      </c>
      <c r="AA494" t="n">
        <v>385</v>
      </c>
      <c r="AB494" t="n">
        <v>2</v>
      </c>
      <c r="AC494" t="n">
        <v>3</v>
      </c>
      <c r="AD494" t="n">
        <v>16</v>
      </c>
      <c r="AE494" t="n">
        <v>21</v>
      </c>
      <c r="AF494" t="n">
        <v>4</v>
      </c>
      <c r="AG494" t="n">
        <v>4</v>
      </c>
      <c r="AH494" t="n">
        <v>5</v>
      </c>
      <c r="AI494" t="n">
        <v>8</v>
      </c>
      <c r="AJ494" t="n">
        <v>9</v>
      </c>
      <c r="AK494" t="n">
        <v>11</v>
      </c>
      <c r="AL494" t="n">
        <v>1</v>
      </c>
      <c r="AM494" t="n">
        <v>2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HYPERLINK("http://catalog.hathitrust.org/Record/005562075","HathiTrust Record")</f>
        <v/>
      </c>
      <c r="AS494">
        <f>HYPERLINK("https://creighton-primo.hosted.exlibrisgroup.com/primo-explore/search?tab=default_tab&amp;search_scope=EVERYTHING&amp;vid=01CRU&amp;lang=en_US&amp;offset=0&amp;query=any,contains,991005321499702656","Catalog Record")</f>
        <v/>
      </c>
      <c r="AT494">
        <f>HYPERLINK("http://www.worldcat.org/oclc/67405669","WorldCat Record")</f>
        <v/>
      </c>
      <c r="AU494" t="inlineStr">
        <is>
          <t>1064349111:eng</t>
        </is>
      </c>
      <c r="AV494" t="inlineStr">
        <is>
          <t>67405669</t>
        </is>
      </c>
      <c r="AW494" t="inlineStr">
        <is>
          <t>991005321499702656</t>
        </is>
      </c>
      <c r="AX494" t="inlineStr">
        <is>
          <t>991005321499702656</t>
        </is>
      </c>
      <c r="AY494" t="inlineStr">
        <is>
          <t>2267041120002656</t>
        </is>
      </c>
      <c r="AZ494" t="inlineStr">
        <is>
          <t>BOOK</t>
        </is>
      </c>
      <c r="BB494" t="inlineStr">
        <is>
          <t>9780195304794</t>
        </is>
      </c>
      <c r="BC494" t="inlineStr">
        <is>
          <t>32285005534648</t>
        </is>
      </c>
      <c r="BD494" t="inlineStr">
        <is>
          <t>893896226</t>
        </is>
      </c>
    </row>
    <row r="495">
      <c r="A495" t="inlineStr">
        <is>
          <t>No</t>
        </is>
      </c>
      <c r="B495" t="inlineStr">
        <is>
          <t>P96.E25 C76 2006</t>
        </is>
      </c>
      <c r="C495" t="inlineStr">
        <is>
          <t>0                      P  0096000E  25                 C  76          2006</t>
        </is>
      </c>
      <c r="D495" t="inlineStr">
        <is>
          <t>The business of media : corporate media and the public interest / David Croteau, William Hoynes.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Croteau, David.</t>
        </is>
      </c>
      <c r="L495" t="inlineStr">
        <is>
          <t>Thousand Oaks, Calif. : Pine Forge Press, c2006.</t>
        </is>
      </c>
      <c r="M495" t="inlineStr">
        <is>
          <t>2006</t>
        </is>
      </c>
      <c r="N495" t="inlineStr">
        <is>
          <t>2nd ed.</t>
        </is>
      </c>
      <c r="O495" t="inlineStr">
        <is>
          <t>eng</t>
        </is>
      </c>
      <c r="P495" t="inlineStr">
        <is>
          <t>cau</t>
        </is>
      </c>
      <c r="R495" t="inlineStr">
        <is>
          <t xml:space="preserve">P  </t>
        </is>
      </c>
      <c r="S495" t="n">
        <v>4</v>
      </c>
      <c r="T495" t="n">
        <v>4</v>
      </c>
      <c r="U495" t="inlineStr">
        <is>
          <t>2009-04-27</t>
        </is>
      </c>
      <c r="V495" t="inlineStr">
        <is>
          <t>2009-04-27</t>
        </is>
      </c>
      <c r="W495" t="inlineStr">
        <is>
          <t>2006-07-20</t>
        </is>
      </c>
      <c r="X495" t="inlineStr">
        <is>
          <t>2006-07-20</t>
        </is>
      </c>
      <c r="Y495" t="n">
        <v>379</v>
      </c>
      <c r="Z495" t="n">
        <v>250</v>
      </c>
      <c r="AA495" t="n">
        <v>500</v>
      </c>
      <c r="AB495" t="n">
        <v>3</v>
      </c>
      <c r="AC495" t="n">
        <v>6</v>
      </c>
      <c r="AD495" t="n">
        <v>18</v>
      </c>
      <c r="AE495" t="n">
        <v>33</v>
      </c>
      <c r="AF495" t="n">
        <v>7</v>
      </c>
      <c r="AG495" t="n">
        <v>14</v>
      </c>
      <c r="AH495" t="n">
        <v>5</v>
      </c>
      <c r="AI495" t="n">
        <v>7</v>
      </c>
      <c r="AJ495" t="n">
        <v>9</v>
      </c>
      <c r="AK495" t="n">
        <v>16</v>
      </c>
      <c r="AL495" t="n">
        <v>2</v>
      </c>
      <c r="AM495" t="n">
        <v>5</v>
      </c>
      <c r="AN495" t="n">
        <v>0</v>
      </c>
      <c r="AO495" t="n">
        <v>0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HYPERLINK("https://creighton-primo.hosted.exlibrisgroup.com/primo-explore/search?tab=default_tab&amp;search_scope=EVERYTHING&amp;vid=01CRU&amp;lang=en_US&amp;offset=0&amp;query=any,contains,991004850349702656","Catalog Record")</f>
        <v/>
      </c>
      <c r="AT495">
        <f>HYPERLINK("http://www.worldcat.org/oclc/58451697","WorldCat Record")</f>
        <v/>
      </c>
      <c r="AU495" t="inlineStr">
        <is>
          <t>2984808:eng</t>
        </is>
      </c>
      <c r="AV495" t="inlineStr">
        <is>
          <t>58451697</t>
        </is>
      </c>
      <c r="AW495" t="inlineStr">
        <is>
          <t>991004850349702656</t>
        </is>
      </c>
      <c r="AX495" t="inlineStr">
        <is>
          <t>991004850349702656</t>
        </is>
      </c>
      <c r="AY495" t="inlineStr">
        <is>
          <t>2268270170002656</t>
        </is>
      </c>
      <c r="AZ495" t="inlineStr">
        <is>
          <t>BOOK</t>
        </is>
      </c>
      <c r="BB495" t="inlineStr">
        <is>
          <t>9781412913157</t>
        </is>
      </c>
      <c r="BC495" t="inlineStr">
        <is>
          <t>32285005196042</t>
        </is>
      </c>
      <c r="BD495" t="inlineStr">
        <is>
          <t>893807536</t>
        </is>
      </c>
    </row>
    <row r="496">
      <c r="A496" t="inlineStr">
        <is>
          <t>No</t>
        </is>
      </c>
      <c r="B496" t="inlineStr">
        <is>
          <t>P96.E25 T86 2004</t>
        </is>
      </c>
      <c r="C496" t="inlineStr">
        <is>
          <t>0                      P  0096000E  25                 T  86          2004</t>
        </is>
      </c>
      <c r="D496" t="inlineStr">
        <is>
          <t>Media monoliths : how great media brands thrive and survive / Mark Tungate.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Tungate, Mark, 1967-</t>
        </is>
      </c>
      <c r="L496" t="inlineStr">
        <is>
          <t>London ; Sterling, VA : Kogan Page, 2004.</t>
        </is>
      </c>
      <c r="M496" t="inlineStr">
        <is>
          <t>2004</t>
        </is>
      </c>
      <c r="O496" t="inlineStr">
        <is>
          <t>eng</t>
        </is>
      </c>
      <c r="P496" t="inlineStr">
        <is>
          <t>enk</t>
        </is>
      </c>
      <c r="R496" t="inlineStr">
        <is>
          <t xml:space="preserve">P  </t>
        </is>
      </c>
      <c r="S496" t="n">
        <v>1</v>
      </c>
      <c r="T496" t="n">
        <v>1</v>
      </c>
      <c r="U496" t="inlineStr">
        <is>
          <t>2006-02-21</t>
        </is>
      </c>
      <c r="V496" t="inlineStr">
        <is>
          <t>2006-02-21</t>
        </is>
      </c>
      <c r="W496" t="inlineStr">
        <is>
          <t>2006-02-21</t>
        </is>
      </c>
      <c r="X496" t="inlineStr">
        <is>
          <t>2006-02-21</t>
        </is>
      </c>
      <c r="Y496" t="n">
        <v>526</v>
      </c>
      <c r="Z496" t="n">
        <v>414</v>
      </c>
      <c r="AA496" t="n">
        <v>644</v>
      </c>
      <c r="AB496" t="n">
        <v>5</v>
      </c>
      <c r="AC496" t="n">
        <v>7</v>
      </c>
      <c r="AD496" t="n">
        <v>23</v>
      </c>
      <c r="AE496" t="n">
        <v>27</v>
      </c>
      <c r="AF496" t="n">
        <v>9</v>
      </c>
      <c r="AG496" t="n">
        <v>11</v>
      </c>
      <c r="AH496" t="n">
        <v>6</v>
      </c>
      <c r="AI496" t="n">
        <v>7</v>
      </c>
      <c r="AJ496" t="n">
        <v>10</v>
      </c>
      <c r="AK496" t="n">
        <v>10</v>
      </c>
      <c r="AL496" t="n">
        <v>4</v>
      </c>
      <c r="AM496" t="n">
        <v>6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HYPERLINK("http://catalog.hathitrust.org/Record/004741611","HathiTrust Record")</f>
        <v/>
      </c>
      <c r="AS496">
        <f>HYPERLINK("https://creighton-primo.hosted.exlibrisgroup.com/primo-explore/search?tab=default_tab&amp;search_scope=EVERYTHING&amp;vid=01CRU&amp;lang=en_US&amp;offset=0&amp;query=any,contains,991004725429702656","Catalog Record")</f>
        <v/>
      </c>
      <c r="AT496">
        <f>HYPERLINK("http://www.worldcat.org/oclc/54753502","WorldCat Record")</f>
        <v/>
      </c>
      <c r="AU496" t="inlineStr">
        <is>
          <t>793951148:eng</t>
        </is>
      </c>
      <c r="AV496" t="inlineStr">
        <is>
          <t>54753502</t>
        </is>
      </c>
      <c r="AW496" t="inlineStr">
        <is>
          <t>991004725429702656</t>
        </is>
      </c>
      <c r="AX496" t="inlineStr">
        <is>
          <t>991004725429702656</t>
        </is>
      </c>
      <c r="AY496" t="inlineStr">
        <is>
          <t>2272201660002656</t>
        </is>
      </c>
      <c r="AZ496" t="inlineStr">
        <is>
          <t>BOOK</t>
        </is>
      </c>
      <c r="BB496" t="inlineStr">
        <is>
          <t>9780749441081</t>
        </is>
      </c>
      <c r="BC496" t="inlineStr">
        <is>
          <t>32285005159396</t>
        </is>
      </c>
      <c r="BD496" t="inlineStr">
        <is>
          <t>893810663</t>
        </is>
      </c>
    </row>
    <row r="497">
      <c r="A497" t="inlineStr">
        <is>
          <t>No</t>
        </is>
      </c>
      <c r="B497" t="inlineStr">
        <is>
          <t>P96.E25 W524 2004</t>
        </is>
      </c>
      <c r="C497" t="inlineStr">
        <is>
          <t>0                      P  0096000E  25                 W  524         2004</t>
        </is>
      </c>
      <c r="D497" t="inlineStr">
        <is>
          <t>Who owns the media? : global trends and local resistances / edited by Pradip N. Thomas and Zaharom Nain ; with a foreword by Peter Golding.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L497" t="inlineStr">
        <is>
          <t>London ; New York : Zed Books ; Penang, Malaysia : Southbound ; New York : Distributed exclusively in the U.S. by Palgrave, 2004.</t>
        </is>
      </c>
      <c r="M497" t="inlineStr">
        <is>
          <t>2004</t>
        </is>
      </c>
      <c r="O497" t="inlineStr">
        <is>
          <t>eng</t>
        </is>
      </c>
      <c r="P497" t="inlineStr">
        <is>
          <t>enk</t>
        </is>
      </c>
      <c r="R497" t="inlineStr">
        <is>
          <t xml:space="preserve">P  </t>
        </is>
      </c>
      <c r="S497" t="n">
        <v>2</v>
      </c>
      <c r="T497" t="n">
        <v>2</v>
      </c>
      <c r="U497" t="inlineStr">
        <is>
          <t>2009-02-24</t>
        </is>
      </c>
      <c r="V497" t="inlineStr">
        <is>
          <t>2009-02-24</t>
        </is>
      </c>
      <c r="W497" t="inlineStr">
        <is>
          <t>2007-02-27</t>
        </is>
      </c>
      <c r="X497" t="inlineStr">
        <is>
          <t>2007-02-27</t>
        </is>
      </c>
      <c r="Y497" t="n">
        <v>449</v>
      </c>
      <c r="Z497" t="n">
        <v>312</v>
      </c>
      <c r="AA497" t="n">
        <v>325</v>
      </c>
      <c r="AB497" t="n">
        <v>3</v>
      </c>
      <c r="AC497" t="n">
        <v>3</v>
      </c>
      <c r="AD497" t="n">
        <v>21</v>
      </c>
      <c r="AE497" t="n">
        <v>21</v>
      </c>
      <c r="AF497" t="n">
        <v>9</v>
      </c>
      <c r="AG497" t="n">
        <v>9</v>
      </c>
      <c r="AH497" t="n">
        <v>7</v>
      </c>
      <c r="AI497" t="n">
        <v>7</v>
      </c>
      <c r="AJ497" t="n">
        <v>8</v>
      </c>
      <c r="AK497" t="n">
        <v>8</v>
      </c>
      <c r="AL497" t="n">
        <v>2</v>
      </c>
      <c r="AM497" t="n">
        <v>2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HYPERLINK("http://catalog.hathitrust.org/Record/005033992","HathiTrust Record")</f>
        <v/>
      </c>
      <c r="AS497">
        <f>HYPERLINK("https://creighton-primo.hosted.exlibrisgroup.com/primo-explore/search?tab=default_tab&amp;search_scope=EVERYTHING&amp;vid=01CRU&amp;lang=en_US&amp;offset=0&amp;query=any,contains,991005036599702656","Catalog Record")</f>
        <v/>
      </c>
      <c r="AT497">
        <f>HYPERLINK("http://www.worldcat.org/oclc/53476479","WorldCat Record")</f>
        <v/>
      </c>
      <c r="AU497" t="inlineStr">
        <is>
          <t>837652667:eng</t>
        </is>
      </c>
      <c r="AV497" t="inlineStr">
        <is>
          <t>53476479</t>
        </is>
      </c>
      <c r="AW497" t="inlineStr">
        <is>
          <t>991005036599702656</t>
        </is>
      </c>
      <c r="AX497" t="inlineStr">
        <is>
          <t>991005036599702656</t>
        </is>
      </c>
      <c r="AY497" t="inlineStr">
        <is>
          <t>2269009120002656</t>
        </is>
      </c>
      <c r="AZ497" t="inlineStr">
        <is>
          <t>BOOK</t>
        </is>
      </c>
      <c r="BB497" t="inlineStr">
        <is>
          <t>9781842774687</t>
        </is>
      </c>
      <c r="BC497" t="inlineStr">
        <is>
          <t>32285005279681</t>
        </is>
      </c>
      <c r="BD497" t="inlineStr">
        <is>
          <t>893722713</t>
        </is>
      </c>
    </row>
    <row r="498">
      <c r="A498" t="inlineStr">
        <is>
          <t>No</t>
        </is>
      </c>
      <c r="B498" t="inlineStr">
        <is>
          <t>P96.E252 U627 1995</t>
        </is>
      </c>
      <c r="C498" t="inlineStr">
        <is>
          <t>0                      P  0096000E  252                U  627         1995</t>
        </is>
      </c>
      <c r="D498" t="inlineStr">
        <is>
          <t>Commercial culture : the media system and the public interest / Leo Bogart.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Bogart, Leo.</t>
        </is>
      </c>
      <c r="L498" t="inlineStr">
        <is>
          <t>New York : Oxford University Press, 1995.</t>
        </is>
      </c>
      <c r="M498" t="inlineStr">
        <is>
          <t>1995</t>
        </is>
      </c>
      <c r="O498" t="inlineStr">
        <is>
          <t>eng</t>
        </is>
      </c>
      <c r="P498" t="inlineStr">
        <is>
          <t>nyu</t>
        </is>
      </c>
      <c r="R498" t="inlineStr">
        <is>
          <t xml:space="preserve">P  </t>
        </is>
      </c>
      <c r="S498" t="n">
        <v>9</v>
      </c>
      <c r="T498" t="n">
        <v>9</v>
      </c>
      <c r="U498" t="inlineStr">
        <is>
          <t>2004-03-21</t>
        </is>
      </c>
      <c r="V498" t="inlineStr">
        <is>
          <t>2004-03-21</t>
        </is>
      </c>
      <c r="W498" t="inlineStr">
        <is>
          <t>1995-05-17</t>
        </is>
      </c>
      <c r="X498" t="inlineStr">
        <is>
          <t>1995-05-17</t>
        </is>
      </c>
      <c r="Y498" t="n">
        <v>700</v>
      </c>
      <c r="Z498" t="n">
        <v>568</v>
      </c>
      <c r="AA498" t="n">
        <v>627</v>
      </c>
      <c r="AB498" t="n">
        <v>7</v>
      </c>
      <c r="AC498" t="n">
        <v>7</v>
      </c>
      <c r="AD498" t="n">
        <v>34</v>
      </c>
      <c r="AE498" t="n">
        <v>36</v>
      </c>
      <c r="AF498" t="n">
        <v>13</v>
      </c>
      <c r="AG498" t="n">
        <v>15</v>
      </c>
      <c r="AH498" t="n">
        <v>6</v>
      </c>
      <c r="AI498" t="n">
        <v>6</v>
      </c>
      <c r="AJ498" t="n">
        <v>16</v>
      </c>
      <c r="AK498" t="n">
        <v>16</v>
      </c>
      <c r="AL498" t="n">
        <v>6</v>
      </c>
      <c r="AM498" t="n">
        <v>6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HYPERLINK("https://creighton-primo.hosted.exlibrisgroup.com/primo-explore/search?tab=default_tab&amp;search_scope=EVERYTHING&amp;vid=01CRU&amp;lang=en_US&amp;offset=0&amp;query=any,contains,991002307009702656","Catalog Record")</f>
        <v/>
      </c>
      <c r="AT498">
        <f>HYPERLINK("http://www.worldcat.org/oclc/29912482","WorldCat Record")</f>
        <v/>
      </c>
      <c r="AU498" t="inlineStr">
        <is>
          <t>836751441:eng</t>
        </is>
      </c>
      <c r="AV498" t="inlineStr">
        <is>
          <t>29912482</t>
        </is>
      </c>
      <c r="AW498" t="inlineStr">
        <is>
          <t>991002307009702656</t>
        </is>
      </c>
      <c r="AX498" t="inlineStr">
        <is>
          <t>991002307009702656</t>
        </is>
      </c>
      <c r="AY498" t="inlineStr">
        <is>
          <t>2255567260002656</t>
        </is>
      </c>
      <c r="AZ498" t="inlineStr">
        <is>
          <t>BOOK</t>
        </is>
      </c>
      <c r="BB498" t="inlineStr">
        <is>
          <t>9780195090987</t>
        </is>
      </c>
      <c r="BC498" t="inlineStr">
        <is>
          <t>32285002045440</t>
        </is>
      </c>
      <c r="BD498" t="inlineStr">
        <is>
          <t>893603439</t>
        </is>
      </c>
    </row>
    <row r="499">
      <c r="A499" t="inlineStr">
        <is>
          <t>No</t>
        </is>
      </c>
      <c r="B499" t="inlineStr">
        <is>
          <t>P96.E252 U655 1994</t>
        </is>
      </c>
      <c r="C499" t="inlineStr">
        <is>
          <t>0                      P  0096000E  252                U  655         1994</t>
        </is>
      </c>
      <c r="D499" t="inlineStr">
        <is>
          <t>Networks of power : corporate TV's threat to democracy / by Dennis W. Mazzocco ; foreword by Herbert I. Schiller.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Mazzocco, Dennis W.</t>
        </is>
      </c>
      <c r="L499" t="inlineStr">
        <is>
          <t>Boston, MA : South End Press, c1994.</t>
        </is>
      </c>
      <c r="M499" t="inlineStr">
        <is>
          <t>1994</t>
        </is>
      </c>
      <c r="O499" t="inlineStr">
        <is>
          <t>eng</t>
        </is>
      </c>
      <c r="P499" t="inlineStr">
        <is>
          <t>mau</t>
        </is>
      </c>
      <c r="R499" t="inlineStr">
        <is>
          <t xml:space="preserve">P  </t>
        </is>
      </c>
      <c r="S499" t="n">
        <v>6</v>
      </c>
      <c r="T499" t="n">
        <v>6</v>
      </c>
      <c r="U499" t="inlineStr">
        <is>
          <t>2002-11-12</t>
        </is>
      </c>
      <c r="V499" t="inlineStr">
        <is>
          <t>2002-11-12</t>
        </is>
      </c>
      <c r="W499" t="inlineStr">
        <is>
          <t>1995-01-23</t>
        </is>
      </c>
      <c r="X499" t="inlineStr">
        <is>
          <t>1995-01-23</t>
        </is>
      </c>
      <c r="Y499" t="n">
        <v>559</v>
      </c>
      <c r="Z499" t="n">
        <v>495</v>
      </c>
      <c r="AA499" t="n">
        <v>509</v>
      </c>
      <c r="AB499" t="n">
        <v>7</v>
      </c>
      <c r="AC499" t="n">
        <v>7</v>
      </c>
      <c r="AD499" t="n">
        <v>30</v>
      </c>
      <c r="AE499" t="n">
        <v>31</v>
      </c>
      <c r="AF499" t="n">
        <v>13</v>
      </c>
      <c r="AG499" t="n">
        <v>13</v>
      </c>
      <c r="AH499" t="n">
        <v>5</v>
      </c>
      <c r="AI499" t="n">
        <v>6</v>
      </c>
      <c r="AJ499" t="n">
        <v>13</v>
      </c>
      <c r="AK499" t="n">
        <v>13</v>
      </c>
      <c r="AL499" t="n">
        <v>6</v>
      </c>
      <c r="AM499" t="n">
        <v>6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HYPERLINK("http://catalog.hathitrust.org/Record/002893737","HathiTrust Record")</f>
        <v/>
      </c>
      <c r="AS499">
        <f>HYPERLINK("https://creighton-primo.hosted.exlibrisgroup.com/primo-explore/search?tab=default_tab&amp;search_scope=EVERYTHING&amp;vid=01CRU&amp;lang=en_US&amp;offset=0&amp;query=any,contains,991002311889702656","Catalog Record")</f>
        <v/>
      </c>
      <c r="AT499">
        <f>HYPERLINK("http://www.worldcat.org/oclc/30026495","WorldCat Record")</f>
        <v/>
      </c>
      <c r="AU499" t="inlineStr">
        <is>
          <t>367521358:eng</t>
        </is>
      </c>
      <c r="AV499" t="inlineStr">
        <is>
          <t>30026495</t>
        </is>
      </c>
      <c r="AW499" t="inlineStr">
        <is>
          <t>991002311889702656</t>
        </is>
      </c>
      <c r="AX499" t="inlineStr">
        <is>
          <t>991002311889702656</t>
        </is>
      </c>
      <c r="AY499" t="inlineStr">
        <is>
          <t>2261974500002656</t>
        </is>
      </c>
      <c r="AZ499" t="inlineStr">
        <is>
          <t>BOOK</t>
        </is>
      </c>
      <c r="BB499" t="inlineStr">
        <is>
          <t>9780896084728</t>
        </is>
      </c>
      <c r="BC499" t="inlineStr">
        <is>
          <t>32285001994663</t>
        </is>
      </c>
      <c r="BD499" t="inlineStr">
        <is>
          <t>893603444</t>
        </is>
      </c>
    </row>
    <row r="500">
      <c r="A500" t="inlineStr">
        <is>
          <t>No</t>
        </is>
      </c>
      <c r="B500" t="inlineStr">
        <is>
          <t>P96.E252 U66 1995</t>
        </is>
      </c>
      <c r="C500" t="inlineStr">
        <is>
          <t>0                      P  0096000E  252                U  66          1995</t>
        </is>
      </c>
      <c r="D500" t="inlineStr">
        <is>
          <t>Megamedia shakeout : the inside story of the leaders and the losers in the exploding communications industry / Kevin Maney.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Maney, Kevin, 1960-</t>
        </is>
      </c>
      <c r="L500" t="inlineStr">
        <is>
          <t>New York : J. Wiley, c1995.</t>
        </is>
      </c>
      <c r="M500" t="inlineStr">
        <is>
          <t>1995</t>
        </is>
      </c>
      <c r="O500" t="inlineStr">
        <is>
          <t>eng</t>
        </is>
      </c>
      <c r="P500" t="inlineStr">
        <is>
          <t>nyu</t>
        </is>
      </c>
      <c r="R500" t="inlineStr">
        <is>
          <t xml:space="preserve">P  </t>
        </is>
      </c>
      <c r="S500" t="n">
        <v>15</v>
      </c>
      <c r="T500" t="n">
        <v>15</v>
      </c>
      <c r="U500" t="inlineStr">
        <is>
          <t>2000-04-10</t>
        </is>
      </c>
      <c r="V500" t="inlineStr">
        <is>
          <t>2000-04-10</t>
        </is>
      </c>
      <c r="W500" t="inlineStr">
        <is>
          <t>1995-09-27</t>
        </is>
      </c>
      <c r="X500" t="inlineStr">
        <is>
          <t>1995-09-27</t>
        </is>
      </c>
      <c r="Y500" t="n">
        <v>477</v>
      </c>
      <c r="Z500" t="n">
        <v>383</v>
      </c>
      <c r="AA500" t="n">
        <v>389</v>
      </c>
      <c r="AB500" t="n">
        <v>5</v>
      </c>
      <c r="AC500" t="n">
        <v>5</v>
      </c>
      <c r="AD500" t="n">
        <v>17</v>
      </c>
      <c r="AE500" t="n">
        <v>17</v>
      </c>
      <c r="AF500" t="n">
        <v>8</v>
      </c>
      <c r="AG500" t="n">
        <v>8</v>
      </c>
      <c r="AH500" t="n">
        <v>3</v>
      </c>
      <c r="AI500" t="n">
        <v>3</v>
      </c>
      <c r="AJ500" t="n">
        <v>9</v>
      </c>
      <c r="AK500" t="n">
        <v>9</v>
      </c>
      <c r="AL500" t="n">
        <v>2</v>
      </c>
      <c r="AM500" t="n">
        <v>2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HYPERLINK("http://catalog.hathitrust.org/Record/002973287","HathiTrust Record")</f>
        <v/>
      </c>
      <c r="AS500">
        <f>HYPERLINK("https://creighton-primo.hosted.exlibrisgroup.com/primo-explore/search?tab=default_tab&amp;search_scope=EVERYTHING&amp;vid=01CRU&amp;lang=en_US&amp;offset=0&amp;query=any,contains,991002426509702656","Catalog Record")</f>
        <v/>
      </c>
      <c r="AT500">
        <f>HYPERLINK("http://www.worldcat.org/oclc/31608479","WorldCat Record")</f>
        <v/>
      </c>
      <c r="AU500" t="inlineStr">
        <is>
          <t>33373864:eng</t>
        </is>
      </c>
      <c r="AV500" t="inlineStr">
        <is>
          <t>31608479</t>
        </is>
      </c>
      <c r="AW500" t="inlineStr">
        <is>
          <t>991002426509702656</t>
        </is>
      </c>
      <c r="AX500" t="inlineStr">
        <is>
          <t>991002426509702656</t>
        </is>
      </c>
      <c r="AY500" t="inlineStr">
        <is>
          <t>2266408220002656</t>
        </is>
      </c>
      <c r="AZ500" t="inlineStr">
        <is>
          <t>BOOK</t>
        </is>
      </c>
      <c r="BB500" t="inlineStr">
        <is>
          <t>9780471107194</t>
        </is>
      </c>
      <c r="BC500" t="inlineStr">
        <is>
          <t>32285002094877</t>
        </is>
      </c>
      <c r="BD500" t="inlineStr">
        <is>
          <t>893597446</t>
        </is>
      </c>
    </row>
    <row r="501">
      <c r="A501" t="inlineStr">
        <is>
          <t>No</t>
        </is>
      </c>
      <c r="B501" t="inlineStr">
        <is>
          <t>P96.E57 M37 1994</t>
        </is>
      </c>
      <c r="C501" t="inlineStr">
        <is>
          <t>0                      P  0096000E  57                 M  37          1994</t>
        </is>
      </c>
      <c r="D501" t="inlineStr">
        <is>
          <t>The Mass media and environmental issues / edited by Anders Hansen.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Leicester ; New York : Leicester University Press ; New York : Distributed exclusively in the USA and Canada by St. Martin's Press, 1994, c1993.</t>
        </is>
      </c>
      <c r="M501" t="inlineStr">
        <is>
          <t>1994</t>
        </is>
      </c>
      <c r="O501" t="inlineStr">
        <is>
          <t>eng</t>
        </is>
      </c>
      <c r="P501" t="inlineStr">
        <is>
          <t>enk</t>
        </is>
      </c>
      <c r="Q501" t="inlineStr">
        <is>
          <t>Studies in communication and society</t>
        </is>
      </c>
      <c r="R501" t="inlineStr">
        <is>
          <t xml:space="preserve">P  </t>
        </is>
      </c>
      <c r="S501" t="n">
        <v>6</v>
      </c>
      <c r="T501" t="n">
        <v>6</v>
      </c>
      <c r="U501" t="inlineStr">
        <is>
          <t>2006-04-18</t>
        </is>
      </c>
      <c r="V501" t="inlineStr">
        <is>
          <t>2006-04-18</t>
        </is>
      </c>
      <c r="W501" t="inlineStr">
        <is>
          <t>1995-03-22</t>
        </is>
      </c>
      <c r="X501" t="inlineStr">
        <is>
          <t>1995-03-22</t>
        </is>
      </c>
      <c r="Y501" t="n">
        <v>394</v>
      </c>
      <c r="Z501" t="n">
        <v>235</v>
      </c>
      <c r="AA501" t="n">
        <v>255</v>
      </c>
      <c r="AB501" t="n">
        <v>2</v>
      </c>
      <c r="AC501" t="n">
        <v>2</v>
      </c>
      <c r="AD501" t="n">
        <v>14</v>
      </c>
      <c r="AE501" t="n">
        <v>14</v>
      </c>
      <c r="AF501" t="n">
        <v>5</v>
      </c>
      <c r="AG501" t="n">
        <v>5</v>
      </c>
      <c r="AH501" t="n">
        <v>4</v>
      </c>
      <c r="AI501" t="n">
        <v>4</v>
      </c>
      <c r="AJ501" t="n">
        <v>10</v>
      </c>
      <c r="AK501" t="n">
        <v>10</v>
      </c>
      <c r="AL501" t="n">
        <v>1</v>
      </c>
      <c r="AM501" t="n">
        <v>1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HYPERLINK("http://catalog.hathitrust.org/Record/002700957","HathiTrust Record")</f>
        <v/>
      </c>
      <c r="AS501">
        <f>HYPERLINK("https://creighton-primo.hosted.exlibrisgroup.com/primo-explore/search?tab=default_tab&amp;search_scope=EVERYTHING&amp;vid=01CRU&amp;lang=en_US&amp;offset=0&amp;query=any,contains,991002161279702656","Catalog Record")</f>
        <v/>
      </c>
      <c r="AT501">
        <f>HYPERLINK("http://www.worldcat.org/oclc/27814114","WorldCat Record")</f>
        <v/>
      </c>
      <c r="AU501" t="inlineStr">
        <is>
          <t>55685536:eng</t>
        </is>
      </c>
      <c r="AV501" t="inlineStr">
        <is>
          <t>27814114</t>
        </is>
      </c>
      <c r="AW501" t="inlineStr">
        <is>
          <t>991002161279702656</t>
        </is>
      </c>
      <c r="AX501" t="inlineStr">
        <is>
          <t>991002161279702656</t>
        </is>
      </c>
      <c r="AY501" t="inlineStr">
        <is>
          <t>2259616530002656</t>
        </is>
      </c>
      <c r="AZ501" t="inlineStr">
        <is>
          <t>BOOK</t>
        </is>
      </c>
      <c r="BB501" t="inlineStr">
        <is>
          <t>9780718514440</t>
        </is>
      </c>
      <c r="BC501" t="inlineStr">
        <is>
          <t>32285002004116</t>
        </is>
      </c>
      <c r="BD501" t="inlineStr">
        <is>
          <t>893603260</t>
        </is>
      </c>
    </row>
    <row r="502">
      <c r="A502" t="inlineStr">
        <is>
          <t>No</t>
        </is>
      </c>
      <c r="B502" t="inlineStr">
        <is>
          <t>P96.E572 U66 1996</t>
        </is>
      </c>
      <c r="C502" t="inlineStr">
        <is>
          <t>0                      P  0096000E  572                U  66          1996</t>
        </is>
      </c>
      <c r="D502" t="inlineStr">
        <is>
          <t>Mass media &amp; environmental conflict : America's green crusades / Mark Neuzil, [William Kovarik].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Neuzil, Mark.</t>
        </is>
      </c>
      <c r="L502" t="inlineStr">
        <is>
          <t>Thousand Oaks, Calif. : Sage Publications, c1996.</t>
        </is>
      </c>
      <c r="M502" t="inlineStr">
        <is>
          <t>1996</t>
        </is>
      </c>
      <c r="O502" t="inlineStr">
        <is>
          <t>eng</t>
        </is>
      </c>
      <c r="P502" t="inlineStr">
        <is>
          <t>cau</t>
        </is>
      </c>
      <c r="R502" t="inlineStr">
        <is>
          <t xml:space="preserve">P  </t>
        </is>
      </c>
      <c r="S502" t="n">
        <v>6</v>
      </c>
      <c r="T502" t="n">
        <v>6</v>
      </c>
      <c r="U502" t="inlineStr">
        <is>
          <t>2006-04-18</t>
        </is>
      </c>
      <c r="V502" t="inlineStr">
        <is>
          <t>2006-04-18</t>
        </is>
      </c>
      <c r="W502" t="inlineStr">
        <is>
          <t>1997-02-14</t>
        </is>
      </c>
      <c r="X502" t="inlineStr">
        <is>
          <t>1997-02-14</t>
        </is>
      </c>
      <c r="Y502" t="n">
        <v>748</v>
      </c>
      <c r="Z502" t="n">
        <v>626</v>
      </c>
      <c r="AA502" t="n">
        <v>1171</v>
      </c>
      <c r="AB502" t="n">
        <v>4</v>
      </c>
      <c r="AC502" t="n">
        <v>7</v>
      </c>
      <c r="AD502" t="n">
        <v>36</v>
      </c>
      <c r="AE502" t="n">
        <v>41</v>
      </c>
      <c r="AF502" t="n">
        <v>17</v>
      </c>
      <c r="AG502" t="n">
        <v>19</v>
      </c>
      <c r="AH502" t="n">
        <v>8</v>
      </c>
      <c r="AI502" t="n">
        <v>8</v>
      </c>
      <c r="AJ502" t="n">
        <v>20</v>
      </c>
      <c r="AK502" t="n">
        <v>20</v>
      </c>
      <c r="AL502" t="n">
        <v>3</v>
      </c>
      <c r="AM502" t="n">
        <v>6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HYPERLINK("http://catalog.hathitrust.org/Record/003118228","HathiTrust Record")</f>
        <v/>
      </c>
      <c r="AS502">
        <f>HYPERLINK("https://creighton-primo.hosted.exlibrisgroup.com/primo-explore/search?tab=default_tab&amp;search_scope=EVERYTHING&amp;vid=01CRU&amp;lang=en_US&amp;offset=0&amp;query=any,contains,991002643059702656","Catalog Record")</f>
        <v/>
      </c>
      <c r="AT502">
        <f>HYPERLINK("http://www.worldcat.org/oclc/34597956","WorldCat Record")</f>
        <v/>
      </c>
      <c r="AU502" t="inlineStr">
        <is>
          <t>799703685:eng</t>
        </is>
      </c>
      <c r="AV502" t="inlineStr">
        <is>
          <t>34597956</t>
        </is>
      </c>
      <c r="AW502" t="inlineStr">
        <is>
          <t>991002643059702656</t>
        </is>
      </c>
      <c r="AX502" t="inlineStr">
        <is>
          <t>991002643059702656</t>
        </is>
      </c>
      <c r="AY502" t="inlineStr">
        <is>
          <t>2268464260002656</t>
        </is>
      </c>
      <c r="AZ502" t="inlineStr">
        <is>
          <t>BOOK</t>
        </is>
      </c>
      <c r="BB502" t="inlineStr">
        <is>
          <t>9780761903321</t>
        </is>
      </c>
      <c r="BC502" t="inlineStr">
        <is>
          <t>32285002431442</t>
        </is>
      </c>
      <c r="BD502" t="inlineStr">
        <is>
          <t>893610088</t>
        </is>
      </c>
    </row>
    <row r="503">
      <c r="A503" t="inlineStr">
        <is>
          <t>No</t>
        </is>
      </c>
      <c r="B503" t="inlineStr">
        <is>
          <t>P96.F672 U624 2005</t>
        </is>
      </c>
      <c r="C503" t="inlineStr">
        <is>
          <t>0                      P  0096000F  672                U  624         2005</t>
        </is>
      </c>
      <c r="D503" t="inlineStr">
        <is>
          <t>The future of media : resistance and reform in the 21st century / edited by Robert W. McChesney, Russell Newman, and Ben Scott ; with a foreword by Bill Moyers.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Seven Stories Press, 2005.</t>
        </is>
      </c>
      <c r="M503" t="inlineStr">
        <is>
          <t>2005</t>
        </is>
      </c>
      <c r="N503" t="inlineStr">
        <is>
          <t>A Seven Stories Press 1st ed.</t>
        </is>
      </c>
      <c r="O503" t="inlineStr">
        <is>
          <t>eng</t>
        </is>
      </c>
      <c r="P503" t="inlineStr">
        <is>
          <t>nyu</t>
        </is>
      </c>
      <c r="R503" t="inlineStr">
        <is>
          <t xml:space="preserve">P  </t>
        </is>
      </c>
      <c r="S503" t="n">
        <v>4</v>
      </c>
      <c r="T503" t="n">
        <v>4</v>
      </c>
      <c r="U503" t="inlineStr">
        <is>
          <t>2010-04-19</t>
        </is>
      </c>
      <c r="V503" t="inlineStr">
        <is>
          <t>2010-04-19</t>
        </is>
      </c>
      <c r="W503" t="inlineStr">
        <is>
          <t>2005-11-19</t>
        </is>
      </c>
      <c r="X503" t="inlineStr">
        <is>
          <t>2005-11-19</t>
        </is>
      </c>
      <c r="Y503" t="n">
        <v>768</v>
      </c>
      <c r="Z503" t="n">
        <v>650</v>
      </c>
      <c r="AA503" t="n">
        <v>667</v>
      </c>
      <c r="AB503" t="n">
        <v>6</v>
      </c>
      <c r="AC503" t="n">
        <v>6</v>
      </c>
      <c r="AD503" t="n">
        <v>39</v>
      </c>
      <c r="AE503" t="n">
        <v>39</v>
      </c>
      <c r="AF503" t="n">
        <v>20</v>
      </c>
      <c r="AG503" t="n">
        <v>20</v>
      </c>
      <c r="AH503" t="n">
        <v>8</v>
      </c>
      <c r="AI503" t="n">
        <v>8</v>
      </c>
      <c r="AJ503" t="n">
        <v>14</v>
      </c>
      <c r="AK503" t="n">
        <v>14</v>
      </c>
      <c r="AL503" t="n">
        <v>5</v>
      </c>
      <c r="AM503" t="n">
        <v>5</v>
      </c>
      <c r="AN503" t="n">
        <v>2</v>
      </c>
      <c r="AO503" t="n">
        <v>2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HYPERLINK("http://catalog.hathitrust.org/Record/004990418","HathiTrust Record")</f>
        <v/>
      </c>
      <c r="AS503">
        <f>HYPERLINK("https://creighton-primo.hosted.exlibrisgroup.com/primo-explore/search?tab=default_tab&amp;search_scope=EVERYTHING&amp;vid=01CRU&amp;lang=en_US&amp;offset=0&amp;query=any,contains,991004615549702656","Catalog Record")</f>
        <v/>
      </c>
      <c r="AT503">
        <f>HYPERLINK("http://www.worldcat.org/oclc/57574152","WorldCat Record")</f>
        <v/>
      </c>
      <c r="AU503" t="inlineStr">
        <is>
          <t>892348222:eng</t>
        </is>
      </c>
      <c r="AV503" t="inlineStr">
        <is>
          <t>57574152</t>
        </is>
      </c>
      <c r="AW503" t="inlineStr">
        <is>
          <t>991004615549702656</t>
        </is>
      </c>
      <c r="AX503" t="inlineStr">
        <is>
          <t>991004615549702656</t>
        </is>
      </c>
      <c r="AY503" t="inlineStr">
        <is>
          <t>2254727520002656</t>
        </is>
      </c>
      <c r="AZ503" t="inlineStr">
        <is>
          <t>BOOK</t>
        </is>
      </c>
      <c r="BB503" t="inlineStr">
        <is>
          <t>9781583226797</t>
        </is>
      </c>
      <c r="BC503" t="inlineStr">
        <is>
          <t>32285005148415</t>
        </is>
      </c>
      <c r="BD503" t="inlineStr">
        <is>
          <t>893325557</t>
        </is>
      </c>
    </row>
    <row r="504">
      <c r="A504" t="inlineStr">
        <is>
          <t>No</t>
        </is>
      </c>
      <c r="B504" t="inlineStr">
        <is>
          <t>P96.I5 B49 1993</t>
        </is>
      </c>
      <c r="C504" t="inlineStr">
        <is>
          <t>0                      P  0096000I  5                  B  49          1993</t>
        </is>
      </c>
      <c r="D504" t="inlineStr">
        <is>
          <t>Beyond national sovereignty : international communication in the 1990s / edited by Kaarle Nordenstreng and Herbert I. Schiller.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Norwood, NJ : Ablex Pub. Co., c1993.</t>
        </is>
      </c>
      <c r="M504" t="inlineStr">
        <is>
          <t>1993</t>
        </is>
      </c>
      <c r="O504" t="inlineStr">
        <is>
          <t>eng</t>
        </is>
      </c>
      <c r="P504" t="inlineStr">
        <is>
          <t>nju</t>
        </is>
      </c>
      <c r="Q504" t="inlineStr">
        <is>
          <t>Communications and information science series.</t>
        </is>
      </c>
      <c r="R504" t="inlineStr">
        <is>
          <t xml:space="preserve">P  </t>
        </is>
      </c>
      <c r="S504" t="n">
        <v>8</v>
      </c>
      <c r="T504" t="n">
        <v>8</v>
      </c>
      <c r="U504" t="inlineStr">
        <is>
          <t>2009-07-16</t>
        </is>
      </c>
      <c r="V504" t="inlineStr">
        <is>
          <t>2009-07-16</t>
        </is>
      </c>
      <c r="W504" t="inlineStr">
        <is>
          <t>1995-01-10</t>
        </is>
      </c>
      <c r="X504" t="inlineStr">
        <is>
          <t>1995-01-10</t>
        </is>
      </c>
      <c r="Y504" t="n">
        <v>284</v>
      </c>
      <c r="Z504" t="n">
        <v>209</v>
      </c>
      <c r="AA504" t="n">
        <v>568</v>
      </c>
      <c r="AB504" t="n">
        <v>2</v>
      </c>
      <c r="AC504" t="n">
        <v>4</v>
      </c>
      <c r="AD504" t="n">
        <v>18</v>
      </c>
      <c r="AE504" t="n">
        <v>22</v>
      </c>
      <c r="AF504" t="n">
        <v>9</v>
      </c>
      <c r="AG504" t="n">
        <v>11</v>
      </c>
      <c r="AH504" t="n">
        <v>3</v>
      </c>
      <c r="AI504" t="n">
        <v>3</v>
      </c>
      <c r="AJ504" t="n">
        <v>11</v>
      </c>
      <c r="AK504" t="n">
        <v>11</v>
      </c>
      <c r="AL504" t="n">
        <v>1</v>
      </c>
      <c r="AM504" t="n">
        <v>3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HYPERLINK("https://creighton-primo.hosted.exlibrisgroup.com/primo-explore/search?tab=default_tab&amp;search_scope=EVERYTHING&amp;vid=01CRU&amp;lang=en_US&amp;offset=0&amp;query=any,contains,991002074869702656","Catalog Record")</f>
        <v/>
      </c>
      <c r="AT504">
        <f>HYPERLINK("http://www.worldcat.org/oclc/26589911","WorldCat Record")</f>
        <v/>
      </c>
      <c r="AU504" t="inlineStr">
        <is>
          <t>797268944:eng</t>
        </is>
      </c>
      <c r="AV504" t="inlineStr">
        <is>
          <t>26589911</t>
        </is>
      </c>
      <c r="AW504" t="inlineStr">
        <is>
          <t>991002074869702656</t>
        </is>
      </c>
      <c r="AX504" t="inlineStr">
        <is>
          <t>991002074869702656</t>
        </is>
      </c>
      <c r="AY504" t="inlineStr">
        <is>
          <t>2262017070002656</t>
        </is>
      </c>
      <c r="AZ504" t="inlineStr">
        <is>
          <t>BOOK</t>
        </is>
      </c>
      <c r="BB504" t="inlineStr">
        <is>
          <t>9780893919597</t>
        </is>
      </c>
      <c r="BC504" t="inlineStr">
        <is>
          <t>32285001992329</t>
        </is>
      </c>
      <c r="BD504" t="inlineStr">
        <is>
          <t>893709830</t>
        </is>
      </c>
    </row>
    <row r="505">
      <c r="A505" t="inlineStr">
        <is>
          <t>No</t>
        </is>
      </c>
      <c r="B505" t="inlineStr">
        <is>
          <t>P96.I5 E4 1998</t>
        </is>
      </c>
      <c r="C505" t="inlineStr">
        <is>
          <t>0                      P  0096000I  5                  E  4           1998</t>
        </is>
      </c>
      <c r="D505" t="inlineStr">
        <is>
          <t>Electronic empires : global media and local resistance / edited by Daya Kishan Thussu.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London ; New York : Arnold, c1998.</t>
        </is>
      </c>
      <c r="M505" t="inlineStr">
        <is>
          <t>1998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P  </t>
        </is>
      </c>
      <c r="S505" t="n">
        <v>2</v>
      </c>
      <c r="T505" t="n">
        <v>2</v>
      </c>
      <c r="U505" t="inlineStr">
        <is>
          <t>2004-02-16</t>
        </is>
      </c>
      <c r="V505" t="inlineStr">
        <is>
          <t>2004-02-16</t>
        </is>
      </c>
      <c r="W505" t="inlineStr">
        <is>
          <t>2000-01-04</t>
        </is>
      </c>
      <c r="X505" t="inlineStr">
        <is>
          <t>2000-01-04</t>
        </is>
      </c>
      <c r="Y505" t="n">
        <v>356</v>
      </c>
      <c r="Z505" t="n">
        <v>193</v>
      </c>
      <c r="AA505" t="n">
        <v>195</v>
      </c>
      <c r="AB505" t="n">
        <v>3</v>
      </c>
      <c r="AC505" t="n">
        <v>3</v>
      </c>
      <c r="AD505" t="n">
        <v>13</v>
      </c>
      <c r="AE505" t="n">
        <v>13</v>
      </c>
      <c r="AF505" t="n">
        <v>4</v>
      </c>
      <c r="AG505" t="n">
        <v>4</v>
      </c>
      <c r="AH505" t="n">
        <v>3</v>
      </c>
      <c r="AI505" t="n">
        <v>3</v>
      </c>
      <c r="AJ505" t="n">
        <v>9</v>
      </c>
      <c r="AK505" t="n">
        <v>9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HYPERLINK("http://catalog.hathitrust.org/Record/003998970","HathiTrust Record")</f>
        <v/>
      </c>
      <c r="AS505">
        <f>HYPERLINK("https://creighton-primo.hosted.exlibrisgroup.com/primo-explore/search?tab=default_tab&amp;search_scope=EVERYTHING&amp;vid=01CRU&amp;lang=en_US&amp;offset=0&amp;query=any,contains,991002939759702656","Catalog Record")</f>
        <v/>
      </c>
      <c r="AT505">
        <f>HYPERLINK("http://www.worldcat.org/oclc/39116555","WorldCat Record")</f>
        <v/>
      </c>
      <c r="AU505" t="inlineStr">
        <is>
          <t>836926860:eng</t>
        </is>
      </c>
      <c r="AV505" t="inlineStr">
        <is>
          <t>39116555</t>
        </is>
      </c>
      <c r="AW505" t="inlineStr">
        <is>
          <t>991002939759702656</t>
        </is>
      </c>
      <c r="AX505" t="inlineStr">
        <is>
          <t>991002939759702656</t>
        </is>
      </c>
      <c r="AY505" t="inlineStr">
        <is>
          <t>2258476860002656</t>
        </is>
      </c>
      <c r="AZ505" t="inlineStr">
        <is>
          <t>BOOK</t>
        </is>
      </c>
      <c r="BB505" t="inlineStr">
        <is>
          <t>9780340718957</t>
        </is>
      </c>
      <c r="BC505" t="inlineStr">
        <is>
          <t>32285003636544</t>
        </is>
      </c>
      <c r="BD505" t="inlineStr">
        <is>
          <t>893698461</t>
        </is>
      </c>
    </row>
    <row r="506">
      <c r="A506" t="inlineStr">
        <is>
          <t>No</t>
        </is>
      </c>
      <c r="B506" t="inlineStr">
        <is>
          <t>P96.I5 H35 1994</t>
        </is>
      </c>
      <c r="C506" t="inlineStr">
        <is>
          <t>0                      P  0096000I  5                  H  35          1994</t>
        </is>
      </c>
      <c r="D506" t="inlineStr">
        <is>
          <t>The politics of world communication : a human rights perspective / Cees J. Hamelink.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Hamelink, Cees J., 1940-</t>
        </is>
      </c>
      <c r="L506" t="inlineStr">
        <is>
          <t>London ; Thousand Oaks, Calif. : Sage Publications, 1994.</t>
        </is>
      </c>
      <c r="M506" t="inlineStr">
        <is>
          <t>1994</t>
        </is>
      </c>
      <c r="O506" t="inlineStr">
        <is>
          <t>eng</t>
        </is>
      </c>
      <c r="P506" t="inlineStr">
        <is>
          <t>enk</t>
        </is>
      </c>
      <c r="Q506" t="inlineStr">
        <is>
          <t>Communication and human values</t>
        </is>
      </c>
      <c r="R506" t="inlineStr">
        <is>
          <t xml:space="preserve">P  </t>
        </is>
      </c>
      <c r="S506" t="n">
        <v>6</v>
      </c>
      <c r="T506" t="n">
        <v>6</v>
      </c>
      <c r="U506" t="inlineStr">
        <is>
          <t>2000-02-13</t>
        </is>
      </c>
      <c r="V506" t="inlineStr">
        <is>
          <t>2000-02-13</t>
        </is>
      </c>
      <c r="W506" t="inlineStr">
        <is>
          <t>1995-04-19</t>
        </is>
      </c>
      <c r="X506" t="inlineStr">
        <is>
          <t>1995-04-19</t>
        </is>
      </c>
      <c r="Y506" t="n">
        <v>402</v>
      </c>
      <c r="Z506" t="n">
        <v>248</v>
      </c>
      <c r="AA506" t="n">
        <v>255</v>
      </c>
      <c r="AB506" t="n">
        <v>3</v>
      </c>
      <c r="AC506" t="n">
        <v>3</v>
      </c>
      <c r="AD506" t="n">
        <v>14</v>
      </c>
      <c r="AE506" t="n">
        <v>14</v>
      </c>
      <c r="AF506" t="n">
        <v>6</v>
      </c>
      <c r="AG506" t="n">
        <v>6</v>
      </c>
      <c r="AH506" t="n">
        <v>6</v>
      </c>
      <c r="AI506" t="n">
        <v>6</v>
      </c>
      <c r="AJ506" t="n">
        <v>6</v>
      </c>
      <c r="AK506" t="n">
        <v>6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HYPERLINK("http://catalog.hathitrust.org/Record/002955016","HathiTrust Record")</f>
        <v/>
      </c>
      <c r="AS506">
        <f>HYPERLINK("https://creighton-primo.hosted.exlibrisgroup.com/primo-explore/search?tab=default_tab&amp;search_scope=EVERYTHING&amp;vid=01CRU&amp;lang=en_US&amp;offset=0&amp;query=any,contains,991002461439702656","Catalog Record")</f>
        <v/>
      </c>
      <c r="AT506">
        <f>HYPERLINK("http://www.worldcat.org/oclc/32781202","WorldCat Record")</f>
        <v/>
      </c>
      <c r="AU506" t="inlineStr">
        <is>
          <t>20679437:eng</t>
        </is>
      </c>
      <c r="AV506" t="inlineStr">
        <is>
          <t>32781202</t>
        </is>
      </c>
      <c r="AW506" t="inlineStr">
        <is>
          <t>991002461439702656</t>
        </is>
      </c>
      <c r="AX506" t="inlineStr">
        <is>
          <t>991002461439702656</t>
        </is>
      </c>
      <c r="AY506" t="inlineStr">
        <is>
          <t>2255358390002656</t>
        </is>
      </c>
      <c r="AZ506" t="inlineStr">
        <is>
          <t>BOOK</t>
        </is>
      </c>
      <c r="BB506" t="inlineStr">
        <is>
          <t>9780803978225</t>
        </is>
      </c>
      <c r="BC506" t="inlineStr">
        <is>
          <t>32285002035185</t>
        </is>
      </c>
      <c r="BD506" t="inlineStr">
        <is>
          <t>893779841</t>
        </is>
      </c>
    </row>
    <row r="507">
      <c r="A507" t="inlineStr">
        <is>
          <t>No</t>
        </is>
      </c>
      <c r="B507" t="inlineStr">
        <is>
          <t>P96.I5 O17 2002</t>
        </is>
      </c>
      <c r="C507" t="inlineStr">
        <is>
          <t>0                      P  0096000I  5                  O  17          2002</t>
        </is>
      </c>
      <c r="D507" t="inlineStr">
        <is>
          <t>Global media governance : a beginner's guide / Seán Ó Siochrú and Bruce Girard with Amy Mahan.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Ó Siochrú, Seán, 1955-</t>
        </is>
      </c>
      <c r="L507" t="inlineStr">
        <is>
          <t>Lanham, MD : Rowman &amp; Littlefield, c2002.</t>
        </is>
      </c>
      <c r="M507" t="inlineStr">
        <is>
          <t>2002</t>
        </is>
      </c>
      <c r="O507" t="inlineStr">
        <is>
          <t>eng</t>
        </is>
      </c>
      <c r="P507" t="inlineStr">
        <is>
          <t>mdu</t>
        </is>
      </c>
      <c r="Q507" t="inlineStr">
        <is>
          <t>Critical media studies</t>
        </is>
      </c>
      <c r="R507" t="inlineStr">
        <is>
          <t xml:space="preserve">P  </t>
        </is>
      </c>
      <c r="S507" t="n">
        <v>3</v>
      </c>
      <c r="T507" t="n">
        <v>3</v>
      </c>
      <c r="U507" t="inlineStr">
        <is>
          <t>2009-02-24</t>
        </is>
      </c>
      <c r="V507" t="inlineStr">
        <is>
          <t>2009-02-24</t>
        </is>
      </c>
      <c r="W507" t="inlineStr">
        <is>
          <t>2003-04-09</t>
        </is>
      </c>
      <c r="X507" t="inlineStr">
        <is>
          <t>2003-04-09</t>
        </is>
      </c>
      <c r="Y507" t="n">
        <v>318</v>
      </c>
      <c r="Z507" t="n">
        <v>226</v>
      </c>
      <c r="AA507" t="n">
        <v>248</v>
      </c>
      <c r="AB507" t="n">
        <v>3</v>
      </c>
      <c r="AC507" t="n">
        <v>3</v>
      </c>
      <c r="AD507" t="n">
        <v>14</v>
      </c>
      <c r="AE507" t="n">
        <v>15</v>
      </c>
      <c r="AF507" t="n">
        <v>4</v>
      </c>
      <c r="AG507" t="n">
        <v>5</v>
      </c>
      <c r="AH507" t="n">
        <v>5</v>
      </c>
      <c r="AI507" t="n">
        <v>6</v>
      </c>
      <c r="AJ507" t="n">
        <v>6</v>
      </c>
      <c r="AK507" t="n">
        <v>6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HYPERLINK("http://catalog.hathitrust.org/Record/004250390","HathiTrust Record")</f>
        <v/>
      </c>
      <c r="AS507">
        <f>HYPERLINK("https://creighton-primo.hosted.exlibrisgroup.com/primo-explore/search?tab=default_tab&amp;search_scope=EVERYTHING&amp;vid=01CRU&amp;lang=en_US&amp;offset=0&amp;query=any,contains,991004014969702656","Catalog Record")</f>
        <v/>
      </c>
      <c r="AT507">
        <f>HYPERLINK("http://www.worldcat.org/oclc/48544108","WorldCat Record")</f>
        <v/>
      </c>
      <c r="AU507" t="inlineStr">
        <is>
          <t>201352723:eng</t>
        </is>
      </c>
      <c r="AV507" t="inlineStr">
        <is>
          <t>48544108</t>
        </is>
      </c>
      <c r="AW507" t="inlineStr">
        <is>
          <t>991004014969702656</t>
        </is>
      </c>
      <c r="AX507" t="inlineStr">
        <is>
          <t>991004014969702656</t>
        </is>
      </c>
      <c r="AY507" t="inlineStr">
        <is>
          <t>2269401990002656</t>
        </is>
      </c>
      <c r="AZ507" t="inlineStr">
        <is>
          <t>BOOK</t>
        </is>
      </c>
      <c r="BB507" t="inlineStr">
        <is>
          <t>9780742515659</t>
        </is>
      </c>
      <c r="BC507" t="inlineStr">
        <is>
          <t>32285004741392</t>
        </is>
      </c>
      <c r="BD507" t="inlineStr">
        <is>
          <t>893900685</t>
        </is>
      </c>
    </row>
    <row r="508">
      <c r="A508" t="inlineStr">
        <is>
          <t>No</t>
        </is>
      </c>
      <c r="B508" t="inlineStr">
        <is>
          <t>P96.I5 S55 2004</t>
        </is>
      </c>
      <c r="C508" t="inlineStr">
        <is>
          <t>0                      P  0096000I  5                  S  55          2004</t>
        </is>
      </c>
      <c r="D508" t="inlineStr">
        <is>
          <t>International communications : a media literacy approach / Art Silverblatt and Nikolai Zlobin.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Silverblatt, Art.</t>
        </is>
      </c>
      <c r="L508" t="inlineStr">
        <is>
          <t>Armonk, N.Y. : M.E. Sharpe, c2004.</t>
        </is>
      </c>
      <c r="M508" t="inlineStr">
        <is>
          <t>2004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P  </t>
        </is>
      </c>
      <c r="S508" t="n">
        <v>1</v>
      </c>
      <c r="T508" t="n">
        <v>1</v>
      </c>
      <c r="U508" t="inlineStr">
        <is>
          <t>2005-08-09</t>
        </is>
      </c>
      <c r="V508" t="inlineStr">
        <is>
          <t>2005-08-09</t>
        </is>
      </c>
      <c r="W508" t="inlineStr">
        <is>
          <t>2005-08-09</t>
        </is>
      </c>
      <c r="X508" t="inlineStr">
        <is>
          <t>2005-08-09</t>
        </is>
      </c>
      <c r="Y508" t="n">
        <v>260</v>
      </c>
      <c r="Z508" t="n">
        <v>200</v>
      </c>
      <c r="AA508" t="n">
        <v>219</v>
      </c>
      <c r="AB508" t="n">
        <v>5</v>
      </c>
      <c r="AC508" t="n">
        <v>5</v>
      </c>
      <c r="AD508" t="n">
        <v>19</v>
      </c>
      <c r="AE508" t="n">
        <v>19</v>
      </c>
      <c r="AF508" t="n">
        <v>8</v>
      </c>
      <c r="AG508" t="n">
        <v>8</v>
      </c>
      <c r="AH508" t="n">
        <v>3</v>
      </c>
      <c r="AI508" t="n">
        <v>3</v>
      </c>
      <c r="AJ508" t="n">
        <v>8</v>
      </c>
      <c r="AK508" t="n">
        <v>8</v>
      </c>
      <c r="AL508" t="n">
        <v>4</v>
      </c>
      <c r="AM508" t="n">
        <v>4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HYPERLINK("https://creighton-primo.hosted.exlibrisgroup.com/primo-explore/search?tab=default_tab&amp;search_scope=EVERYTHING&amp;vid=01CRU&amp;lang=en_US&amp;offset=0&amp;query=any,contains,991004604719702656","Catalog Record")</f>
        <v/>
      </c>
      <c r="AT508">
        <f>HYPERLINK("http://www.worldcat.org/oclc/52879197","WorldCat Record")</f>
        <v/>
      </c>
      <c r="AU508" t="inlineStr">
        <is>
          <t>1104923804:eng</t>
        </is>
      </c>
      <c r="AV508" t="inlineStr">
        <is>
          <t>52879197</t>
        </is>
      </c>
      <c r="AW508" t="inlineStr">
        <is>
          <t>991004604719702656</t>
        </is>
      </c>
      <c r="AX508" t="inlineStr">
        <is>
          <t>991004604719702656</t>
        </is>
      </c>
      <c r="AY508" t="inlineStr">
        <is>
          <t>2255554350002656</t>
        </is>
      </c>
      <c r="AZ508" t="inlineStr">
        <is>
          <t>BOOK</t>
        </is>
      </c>
      <c r="BB508" t="inlineStr">
        <is>
          <t>9780765609748</t>
        </is>
      </c>
      <c r="BC508" t="inlineStr">
        <is>
          <t>32285005080113</t>
        </is>
      </c>
      <c r="BD508" t="inlineStr">
        <is>
          <t>893606223</t>
        </is>
      </c>
    </row>
    <row r="509">
      <c r="A509" t="inlineStr">
        <is>
          <t>No</t>
        </is>
      </c>
      <c r="B509" t="inlineStr">
        <is>
          <t>P96.I5 V64 1999</t>
        </is>
      </c>
      <c r="C509" t="inlineStr">
        <is>
          <t>0                      P  0096000I  5                  V  64          1999</t>
        </is>
      </c>
      <c r="D509" t="inlineStr">
        <is>
          <t>News in the global sphere : a study of CNN and its impact on global communication / Ingrid Volkmer.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Volkmer, Ingrid.</t>
        </is>
      </c>
      <c r="L509" t="inlineStr">
        <is>
          <t>Luton : University of Luton Press, 1999.</t>
        </is>
      </c>
      <c r="M509" t="inlineStr">
        <is>
          <t>1999</t>
        </is>
      </c>
      <c r="O509" t="inlineStr">
        <is>
          <t>eng</t>
        </is>
      </c>
      <c r="P509" t="inlineStr">
        <is>
          <t>enk</t>
        </is>
      </c>
      <c r="R509" t="inlineStr">
        <is>
          <t xml:space="preserve">P  </t>
        </is>
      </c>
      <c r="S509" t="n">
        <v>3</v>
      </c>
      <c r="T509" t="n">
        <v>3</v>
      </c>
      <c r="U509" t="inlineStr">
        <is>
          <t>2001-11-20</t>
        </is>
      </c>
      <c r="V509" t="inlineStr">
        <is>
          <t>2001-11-20</t>
        </is>
      </c>
      <c r="W509" t="inlineStr">
        <is>
          <t>1999-11-01</t>
        </is>
      </c>
      <c r="X509" t="inlineStr">
        <is>
          <t>1999-11-01</t>
        </is>
      </c>
      <c r="Y509" t="n">
        <v>311</v>
      </c>
      <c r="Z509" t="n">
        <v>200</v>
      </c>
      <c r="AA509" t="n">
        <v>207</v>
      </c>
      <c r="AB509" t="n">
        <v>2</v>
      </c>
      <c r="AC509" t="n">
        <v>2</v>
      </c>
      <c r="AD509" t="n">
        <v>14</v>
      </c>
      <c r="AE509" t="n">
        <v>14</v>
      </c>
      <c r="AF509" t="n">
        <v>5</v>
      </c>
      <c r="AG509" t="n">
        <v>5</v>
      </c>
      <c r="AH509" t="n">
        <v>5</v>
      </c>
      <c r="AI509" t="n">
        <v>5</v>
      </c>
      <c r="AJ509" t="n">
        <v>6</v>
      </c>
      <c r="AK509" t="n">
        <v>6</v>
      </c>
      <c r="AL509" t="n">
        <v>1</v>
      </c>
      <c r="AM509" t="n">
        <v>1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HYPERLINK("http://catalog.hathitrust.org/Record/004051009","HathiTrust Record")</f>
        <v/>
      </c>
      <c r="AS509">
        <f>HYPERLINK("https://creighton-primo.hosted.exlibrisgroup.com/primo-explore/search?tab=default_tab&amp;search_scope=EVERYTHING&amp;vid=01CRU&amp;lang=en_US&amp;offset=0&amp;query=any,contains,991005430699702656","Catalog Record")</f>
        <v/>
      </c>
      <c r="AT509">
        <f>HYPERLINK("http://www.worldcat.org/oclc/42274637","WorldCat Record")</f>
        <v/>
      </c>
      <c r="AU509" t="inlineStr">
        <is>
          <t>817757:eng</t>
        </is>
      </c>
      <c r="AV509" t="inlineStr">
        <is>
          <t>42274637</t>
        </is>
      </c>
      <c r="AW509" t="inlineStr">
        <is>
          <t>991005430699702656</t>
        </is>
      </c>
      <c r="AX509" t="inlineStr">
        <is>
          <t>991005430699702656</t>
        </is>
      </c>
      <c r="AY509" t="inlineStr">
        <is>
          <t>2267886460002656</t>
        </is>
      </c>
      <c r="AZ509" t="inlineStr">
        <is>
          <t>BOOK</t>
        </is>
      </c>
      <c r="BB509" t="inlineStr">
        <is>
          <t>9781860205545</t>
        </is>
      </c>
      <c r="BC509" t="inlineStr">
        <is>
          <t>32285003616181</t>
        </is>
      </c>
      <c r="BD509" t="inlineStr">
        <is>
          <t>893236827</t>
        </is>
      </c>
    </row>
    <row r="510">
      <c r="A510" t="inlineStr">
        <is>
          <t>No</t>
        </is>
      </c>
      <c r="B510" t="inlineStr">
        <is>
          <t>P96.I732 U635 2006</t>
        </is>
      </c>
      <c r="C510" t="inlineStr">
        <is>
          <t>0                      P  0096000I  732                U  635         2006</t>
        </is>
      </c>
      <c r="D510" t="inlineStr">
        <is>
          <t>The war in Iraq and why the media failed us / David Dadge ; foreword by Danny Schechter.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Dadge, David.</t>
        </is>
      </c>
      <c r="L510" t="inlineStr">
        <is>
          <t>Westport, Conn. : Praeger Publishers, 2006.</t>
        </is>
      </c>
      <c r="M510" t="inlineStr">
        <is>
          <t>2006</t>
        </is>
      </c>
      <c r="O510" t="inlineStr">
        <is>
          <t>eng</t>
        </is>
      </c>
      <c r="P510" t="inlineStr">
        <is>
          <t>ctu</t>
        </is>
      </c>
      <c r="R510" t="inlineStr">
        <is>
          <t xml:space="preserve">P  </t>
        </is>
      </c>
      <c r="S510" t="n">
        <v>2</v>
      </c>
      <c r="T510" t="n">
        <v>2</v>
      </c>
      <c r="U510" t="inlineStr">
        <is>
          <t>2007-12-12</t>
        </is>
      </c>
      <c r="V510" t="inlineStr">
        <is>
          <t>2007-12-12</t>
        </is>
      </c>
      <c r="W510" t="inlineStr">
        <is>
          <t>2007-03-28</t>
        </is>
      </c>
      <c r="X510" t="inlineStr">
        <is>
          <t>2007-03-28</t>
        </is>
      </c>
      <c r="Y510" t="n">
        <v>669</v>
      </c>
      <c r="Z510" t="n">
        <v>568</v>
      </c>
      <c r="AA510" t="n">
        <v>920</v>
      </c>
      <c r="AB510" t="n">
        <v>4</v>
      </c>
      <c r="AC510" t="n">
        <v>5</v>
      </c>
      <c r="AD510" t="n">
        <v>25</v>
      </c>
      <c r="AE510" t="n">
        <v>28</v>
      </c>
      <c r="AF510" t="n">
        <v>12</v>
      </c>
      <c r="AG510" t="n">
        <v>13</v>
      </c>
      <c r="AH510" t="n">
        <v>6</v>
      </c>
      <c r="AI510" t="n">
        <v>6</v>
      </c>
      <c r="AJ510" t="n">
        <v>11</v>
      </c>
      <c r="AK510" t="n">
        <v>12</v>
      </c>
      <c r="AL510" t="n">
        <v>3</v>
      </c>
      <c r="AM510" t="n">
        <v>4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HYPERLINK("http://catalog.hathitrust.org/Record/005262623","HathiTrust Record")</f>
        <v/>
      </c>
      <c r="AS510">
        <f>HYPERLINK("https://creighton-primo.hosted.exlibrisgroup.com/primo-explore/search?tab=default_tab&amp;search_scope=EVERYTHING&amp;vid=01CRU&amp;lang=en_US&amp;offset=0&amp;query=any,contains,991005055719702656","Catalog Record")</f>
        <v/>
      </c>
      <c r="AT510">
        <f>HYPERLINK("http://www.worldcat.org/oclc/67869940","WorldCat Record")</f>
        <v/>
      </c>
      <c r="AU510" t="inlineStr">
        <is>
          <t>51295635:eng</t>
        </is>
      </c>
      <c r="AV510" t="inlineStr">
        <is>
          <t>67869940</t>
        </is>
      </c>
      <c r="AW510" t="inlineStr">
        <is>
          <t>991005055719702656</t>
        </is>
      </c>
      <c r="AX510" t="inlineStr">
        <is>
          <t>991005055719702656</t>
        </is>
      </c>
      <c r="AY510" t="inlineStr">
        <is>
          <t>2265598060002656</t>
        </is>
      </c>
      <c r="AZ510" t="inlineStr">
        <is>
          <t>BOOK</t>
        </is>
      </c>
      <c r="BB510" t="inlineStr">
        <is>
          <t>9780275987664</t>
        </is>
      </c>
      <c r="BC510" t="inlineStr">
        <is>
          <t>32285005283931</t>
        </is>
      </c>
      <c r="BD510" t="inlineStr">
        <is>
          <t>893625385</t>
        </is>
      </c>
    </row>
    <row r="511">
      <c r="A511" t="inlineStr">
        <is>
          <t>No</t>
        </is>
      </c>
      <c r="B511" t="inlineStr">
        <is>
          <t>P96.M83 C67 2000</t>
        </is>
      </c>
      <c r="C511" t="inlineStr">
        <is>
          <t>0                      P  0096000M  83                 C  67          2000</t>
        </is>
      </c>
      <c r="D511" t="inlineStr">
        <is>
          <t>The children are watching : how the media teach about diversity / Carlos E. Cortés.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Cortés, Carlos E.</t>
        </is>
      </c>
      <c r="L511" t="inlineStr">
        <is>
          <t>New York : Teachers College Press, c2000.</t>
        </is>
      </c>
      <c r="M511" t="inlineStr">
        <is>
          <t>2000</t>
        </is>
      </c>
      <c r="O511" t="inlineStr">
        <is>
          <t>eng</t>
        </is>
      </c>
      <c r="P511" t="inlineStr">
        <is>
          <t>nyu</t>
        </is>
      </c>
      <c r="Q511" t="inlineStr">
        <is>
          <t>Multicultural education series</t>
        </is>
      </c>
      <c r="R511" t="inlineStr">
        <is>
          <t xml:space="preserve">P  </t>
        </is>
      </c>
      <c r="S511" t="n">
        <v>1</v>
      </c>
      <c r="T511" t="n">
        <v>1</v>
      </c>
      <c r="U511" t="inlineStr">
        <is>
          <t>2002-04-26</t>
        </is>
      </c>
      <c r="V511" t="inlineStr">
        <is>
          <t>2002-04-26</t>
        </is>
      </c>
      <c r="W511" t="inlineStr">
        <is>
          <t>2002-04-18</t>
        </is>
      </c>
      <c r="X511" t="inlineStr">
        <is>
          <t>2002-04-18</t>
        </is>
      </c>
      <c r="Y511" t="n">
        <v>993</v>
      </c>
      <c r="Z511" t="n">
        <v>904</v>
      </c>
      <c r="AA511" t="n">
        <v>909</v>
      </c>
      <c r="AB511" t="n">
        <v>8</v>
      </c>
      <c r="AC511" t="n">
        <v>8</v>
      </c>
      <c r="AD511" t="n">
        <v>48</v>
      </c>
      <c r="AE511" t="n">
        <v>48</v>
      </c>
      <c r="AF511" t="n">
        <v>19</v>
      </c>
      <c r="AG511" t="n">
        <v>19</v>
      </c>
      <c r="AH511" t="n">
        <v>10</v>
      </c>
      <c r="AI511" t="n">
        <v>10</v>
      </c>
      <c r="AJ511" t="n">
        <v>20</v>
      </c>
      <c r="AK511" t="n">
        <v>20</v>
      </c>
      <c r="AL511" t="n">
        <v>7</v>
      </c>
      <c r="AM511" t="n">
        <v>7</v>
      </c>
      <c r="AN511" t="n">
        <v>2</v>
      </c>
      <c r="AO511" t="n">
        <v>2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HYPERLINK("https://creighton-primo.hosted.exlibrisgroup.com/primo-explore/search?tab=default_tab&amp;search_scope=EVERYTHING&amp;vid=01CRU&amp;lang=en_US&amp;offset=0&amp;query=any,contains,991003793879702656","Catalog Record")</f>
        <v/>
      </c>
      <c r="AT511">
        <f>HYPERLINK("http://www.worldcat.org/oclc/42954383","WorldCat Record")</f>
        <v/>
      </c>
      <c r="AU511" t="inlineStr">
        <is>
          <t>20845775:eng</t>
        </is>
      </c>
      <c r="AV511" t="inlineStr">
        <is>
          <t>42954383</t>
        </is>
      </c>
      <c r="AW511" t="inlineStr">
        <is>
          <t>991003793879702656</t>
        </is>
      </c>
      <c r="AX511" t="inlineStr">
        <is>
          <t>991003793879702656</t>
        </is>
      </c>
      <c r="AY511" t="inlineStr">
        <is>
          <t>2265424680002656</t>
        </is>
      </c>
      <c r="AZ511" t="inlineStr">
        <is>
          <t>BOOK</t>
        </is>
      </c>
      <c r="BB511" t="inlineStr">
        <is>
          <t>9780807739372</t>
        </is>
      </c>
      <c r="BC511" t="inlineStr">
        <is>
          <t>32285004481213</t>
        </is>
      </c>
      <c r="BD511" t="inlineStr">
        <is>
          <t>893693160</t>
        </is>
      </c>
    </row>
    <row r="512">
      <c r="A512" t="inlineStr">
        <is>
          <t>No</t>
        </is>
      </c>
      <c r="B512" t="inlineStr">
        <is>
          <t>P96.O24 R33 2003</t>
        </is>
      </c>
      <c r="C512" t="inlineStr">
        <is>
          <t>0                      P  0096000O  24                 R  33          2003</t>
        </is>
      </c>
      <c r="D512" t="inlineStr">
        <is>
          <t>Media mythmakers : how journalists, activists, and advertisers mislead us / Benjamin Radford.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Radford, Benjamin, 1970-</t>
        </is>
      </c>
      <c r="L512" t="inlineStr">
        <is>
          <t>Amherst, N.Y. : Prometheus Books, 2003.</t>
        </is>
      </c>
      <c r="M512" t="inlineStr">
        <is>
          <t>2003</t>
        </is>
      </c>
      <c r="O512" t="inlineStr">
        <is>
          <t>eng</t>
        </is>
      </c>
      <c r="P512" t="inlineStr">
        <is>
          <t>nyu</t>
        </is>
      </c>
      <c r="R512" t="inlineStr">
        <is>
          <t xml:space="preserve">P  </t>
        </is>
      </c>
      <c r="S512" t="n">
        <v>4</v>
      </c>
      <c r="T512" t="n">
        <v>4</v>
      </c>
      <c r="U512" t="inlineStr">
        <is>
          <t>2004-12-02</t>
        </is>
      </c>
      <c r="V512" t="inlineStr">
        <is>
          <t>2004-12-02</t>
        </is>
      </c>
      <c r="W512" t="inlineStr">
        <is>
          <t>2003-12-08</t>
        </is>
      </c>
      <c r="X512" t="inlineStr">
        <is>
          <t>2003-12-08</t>
        </is>
      </c>
      <c r="Y512" t="n">
        <v>1065</v>
      </c>
      <c r="Z512" t="n">
        <v>962</v>
      </c>
      <c r="AA512" t="n">
        <v>963</v>
      </c>
      <c r="AB512" t="n">
        <v>8</v>
      </c>
      <c r="AC512" t="n">
        <v>8</v>
      </c>
      <c r="AD512" t="n">
        <v>40</v>
      </c>
      <c r="AE512" t="n">
        <v>40</v>
      </c>
      <c r="AF512" t="n">
        <v>20</v>
      </c>
      <c r="AG512" t="n">
        <v>20</v>
      </c>
      <c r="AH512" t="n">
        <v>8</v>
      </c>
      <c r="AI512" t="n">
        <v>8</v>
      </c>
      <c r="AJ512" t="n">
        <v>15</v>
      </c>
      <c r="AK512" t="n">
        <v>15</v>
      </c>
      <c r="AL512" t="n">
        <v>6</v>
      </c>
      <c r="AM512" t="n">
        <v>6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HYPERLINK("http://catalog.hathitrust.org/Record/004710928","HathiTrust Record")</f>
        <v/>
      </c>
      <c r="AS512">
        <f>HYPERLINK("https://creighton-primo.hosted.exlibrisgroup.com/primo-explore/search?tab=default_tab&amp;search_scope=EVERYTHING&amp;vid=01CRU&amp;lang=en_US&amp;offset=0&amp;query=any,contains,991004057709702656","Catalog Record")</f>
        <v/>
      </c>
      <c r="AT512">
        <f>HYPERLINK("http://www.worldcat.org/oclc/51854673","WorldCat Record")</f>
        <v/>
      </c>
      <c r="AU512" t="inlineStr">
        <is>
          <t>939791:eng</t>
        </is>
      </c>
      <c r="AV512" t="inlineStr">
        <is>
          <t>51854673</t>
        </is>
      </c>
      <c r="AW512" t="inlineStr">
        <is>
          <t>991004057709702656</t>
        </is>
      </c>
      <c r="AX512" t="inlineStr">
        <is>
          <t>991004057709702656</t>
        </is>
      </c>
      <c r="AY512" t="inlineStr">
        <is>
          <t>2271618410002656</t>
        </is>
      </c>
      <c r="AZ512" t="inlineStr">
        <is>
          <t>BOOK</t>
        </is>
      </c>
      <c r="BB512" t="inlineStr">
        <is>
          <t>9781591020721</t>
        </is>
      </c>
      <c r="BC512" t="inlineStr">
        <is>
          <t>32285004844998</t>
        </is>
      </c>
      <c r="BD512" t="inlineStr">
        <is>
          <t>893718408</t>
        </is>
      </c>
    </row>
    <row r="513">
      <c r="A513" t="inlineStr">
        <is>
          <t>No</t>
        </is>
      </c>
      <c r="B513" t="inlineStr">
        <is>
          <t>P96.O242 U64 2005</t>
        </is>
      </c>
      <c r="C513" t="inlineStr">
        <is>
          <t>0                      P  0096000O  242                U  64          2005</t>
        </is>
      </c>
      <c r="D513" t="inlineStr">
        <is>
          <t>Hollywood nation : left coast lies, old media spin, and the new media revolution/ James Hirsen.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Hirsen, James L.</t>
        </is>
      </c>
      <c r="L513" t="inlineStr">
        <is>
          <t>New York : Crown Forum, c2005.</t>
        </is>
      </c>
      <c r="M513" t="inlineStr">
        <is>
          <t>2005</t>
        </is>
      </c>
      <c r="N513" t="inlineStr">
        <is>
          <t>1st ed.</t>
        </is>
      </c>
      <c r="O513" t="inlineStr">
        <is>
          <t>eng</t>
        </is>
      </c>
      <c r="P513" t="inlineStr">
        <is>
          <t>nyu</t>
        </is>
      </c>
      <c r="R513" t="inlineStr">
        <is>
          <t xml:space="preserve">P  </t>
        </is>
      </c>
      <c r="S513" t="n">
        <v>4</v>
      </c>
      <c r="T513" t="n">
        <v>4</v>
      </c>
      <c r="U513" t="inlineStr">
        <is>
          <t>2006-09-07</t>
        </is>
      </c>
      <c r="V513" t="inlineStr">
        <is>
          <t>2006-09-07</t>
        </is>
      </c>
      <c r="W513" t="inlineStr">
        <is>
          <t>2005-11-30</t>
        </is>
      </c>
      <c r="X513" t="inlineStr">
        <is>
          <t>2005-11-30</t>
        </is>
      </c>
      <c r="Y513" t="n">
        <v>330</v>
      </c>
      <c r="Z513" t="n">
        <v>303</v>
      </c>
      <c r="AA513" t="n">
        <v>379</v>
      </c>
      <c r="AB513" t="n">
        <v>3</v>
      </c>
      <c r="AC513" t="n">
        <v>3</v>
      </c>
      <c r="AD513" t="n">
        <v>17</v>
      </c>
      <c r="AE513" t="n">
        <v>17</v>
      </c>
      <c r="AF513" t="n">
        <v>4</v>
      </c>
      <c r="AG513" t="n">
        <v>4</v>
      </c>
      <c r="AH513" t="n">
        <v>6</v>
      </c>
      <c r="AI513" t="n">
        <v>6</v>
      </c>
      <c r="AJ513" t="n">
        <v>9</v>
      </c>
      <c r="AK513" t="n">
        <v>9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HYPERLINK("http://catalog.hathitrust.org/Record/005070852","HathiTrust Record")</f>
        <v/>
      </c>
      <c r="AS513">
        <f>HYPERLINK("https://creighton-primo.hosted.exlibrisgroup.com/primo-explore/search?tab=default_tab&amp;search_scope=EVERYTHING&amp;vid=01CRU&amp;lang=en_US&amp;offset=0&amp;query=any,contains,991004682689702656","Catalog Record")</f>
        <v/>
      </c>
      <c r="AT513">
        <f>HYPERLINK("http://www.worldcat.org/oclc/60311794","WorldCat Record")</f>
        <v/>
      </c>
      <c r="AU513" t="inlineStr">
        <is>
          <t>793977400:eng</t>
        </is>
      </c>
      <c r="AV513" t="inlineStr">
        <is>
          <t>60311794</t>
        </is>
      </c>
      <c r="AW513" t="inlineStr">
        <is>
          <t>991004682689702656</t>
        </is>
      </c>
      <c r="AX513" t="inlineStr">
        <is>
          <t>991004682689702656</t>
        </is>
      </c>
      <c r="AY513" t="inlineStr">
        <is>
          <t>2259030170002656</t>
        </is>
      </c>
      <c r="AZ513" t="inlineStr">
        <is>
          <t>BOOK</t>
        </is>
      </c>
      <c r="BB513" t="inlineStr">
        <is>
          <t>9781400081929</t>
        </is>
      </c>
      <c r="BC513" t="inlineStr">
        <is>
          <t>32285005149587</t>
        </is>
      </c>
      <c r="BD513" t="inlineStr">
        <is>
          <t>893869977</t>
        </is>
      </c>
    </row>
    <row r="514">
      <c r="A514" t="inlineStr">
        <is>
          <t>No</t>
        </is>
      </c>
      <c r="B514" t="inlineStr">
        <is>
          <t>P96.P75 H37 2004</t>
        </is>
      </c>
      <c r="C514" t="inlineStr">
        <is>
          <t>0                      P  0096000P  75                 H  37          2004</t>
        </is>
      </c>
      <c r="D514" t="inlineStr">
        <is>
          <t>A cognitive psychology of mass communication / Richard Jackson Harris.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Harris, Richard Jackson.</t>
        </is>
      </c>
      <c r="L514" t="inlineStr">
        <is>
          <t>Mahwah, N.J. : L. Erlbaum Associates, c2004.</t>
        </is>
      </c>
      <c r="M514" t="inlineStr">
        <is>
          <t>2004</t>
        </is>
      </c>
      <c r="N514" t="inlineStr">
        <is>
          <t>4th ed.</t>
        </is>
      </c>
      <c r="O514" t="inlineStr">
        <is>
          <t>eng</t>
        </is>
      </c>
      <c r="P514" t="inlineStr">
        <is>
          <t>nju</t>
        </is>
      </c>
      <c r="Q514" t="inlineStr">
        <is>
          <t>LEA's communication series</t>
        </is>
      </c>
      <c r="R514" t="inlineStr">
        <is>
          <t xml:space="preserve">P  </t>
        </is>
      </c>
      <c r="S514" t="n">
        <v>3</v>
      </c>
      <c r="T514" t="n">
        <v>3</v>
      </c>
      <c r="U514" t="inlineStr">
        <is>
          <t>2008-12-04</t>
        </is>
      </c>
      <c r="V514" t="inlineStr">
        <is>
          <t>2008-12-04</t>
        </is>
      </c>
      <c r="W514" t="inlineStr">
        <is>
          <t>2005-03-16</t>
        </is>
      </c>
      <c r="X514" t="inlineStr">
        <is>
          <t>2005-03-16</t>
        </is>
      </c>
      <c r="Y514" t="n">
        <v>212</v>
      </c>
      <c r="Z514" t="n">
        <v>146</v>
      </c>
      <c r="AA514" t="n">
        <v>1646</v>
      </c>
      <c r="AB514" t="n">
        <v>3</v>
      </c>
      <c r="AC514" t="n">
        <v>34</v>
      </c>
      <c r="AD514" t="n">
        <v>8</v>
      </c>
      <c r="AE514" t="n">
        <v>56</v>
      </c>
      <c r="AF514" t="n">
        <v>3</v>
      </c>
      <c r="AG514" t="n">
        <v>23</v>
      </c>
      <c r="AH514" t="n">
        <v>2</v>
      </c>
      <c r="AI514" t="n">
        <v>10</v>
      </c>
      <c r="AJ514" t="n">
        <v>3</v>
      </c>
      <c r="AK514" t="n">
        <v>21</v>
      </c>
      <c r="AL514" t="n">
        <v>2</v>
      </c>
      <c r="AM514" t="n">
        <v>15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HYPERLINK("https://creighton-primo.hosted.exlibrisgroup.com/primo-explore/search?tab=default_tab&amp;search_scope=EVERYTHING&amp;vid=01CRU&amp;lang=en_US&amp;offset=0&amp;query=any,contains,991004459249702656","Catalog Record")</f>
        <v/>
      </c>
      <c r="AT514">
        <f>HYPERLINK("http://www.worldcat.org/oclc/54460692","WorldCat Record")</f>
        <v/>
      </c>
      <c r="AU514" t="inlineStr">
        <is>
          <t>262549:eng</t>
        </is>
      </c>
      <c r="AV514" t="inlineStr">
        <is>
          <t>54460692</t>
        </is>
      </c>
      <c r="AW514" t="inlineStr">
        <is>
          <t>991004459249702656</t>
        </is>
      </c>
      <c r="AX514" t="inlineStr">
        <is>
          <t>991004459249702656</t>
        </is>
      </c>
      <c r="AY514" t="inlineStr">
        <is>
          <t>2259050550002656</t>
        </is>
      </c>
      <c r="AZ514" t="inlineStr">
        <is>
          <t>BOOK</t>
        </is>
      </c>
      <c r="BB514" t="inlineStr">
        <is>
          <t>9780805846607</t>
        </is>
      </c>
      <c r="BC514" t="inlineStr">
        <is>
          <t>32285005042246</t>
        </is>
      </c>
      <c r="BD514" t="inlineStr">
        <is>
          <t>893776035</t>
        </is>
      </c>
    </row>
    <row r="515">
      <c r="A515" t="inlineStr">
        <is>
          <t>No</t>
        </is>
      </c>
      <c r="B515" t="inlineStr">
        <is>
          <t>P96.P75 K39 1993</t>
        </is>
      </c>
      <c r="C515" t="inlineStr">
        <is>
          <t>0                      P  0096000P  75                 K  39          1993</t>
        </is>
      </c>
      <c r="D515" t="inlineStr">
        <is>
          <t>The age of manipulation : the con in confidence, the sin in sincere / Wilson Bryan Key.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Key, Wilson Bryan, 1925-2008.</t>
        </is>
      </c>
      <c r="L515" t="inlineStr">
        <is>
          <t>Lanham, Md. : Madison Books, 1993.</t>
        </is>
      </c>
      <c r="M515" t="inlineStr">
        <is>
          <t>1993</t>
        </is>
      </c>
      <c r="O515" t="inlineStr">
        <is>
          <t>eng</t>
        </is>
      </c>
      <c r="P515" t="inlineStr">
        <is>
          <t>mdu</t>
        </is>
      </c>
      <c r="R515" t="inlineStr">
        <is>
          <t xml:space="preserve">P  </t>
        </is>
      </c>
      <c r="S515" t="n">
        <v>43</v>
      </c>
      <c r="T515" t="n">
        <v>43</v>
      </c>
      <c r="U515" t="inlineStr">
        <is>
          <t>2009-04-23</t>
        </is>
      </c>
      <c r="V515" t="inlineStr">
        <is>
          <t>2009-04-23</t>
        </is>
      </c>
      <c r="W515" t="inlineStr">
        <is>
          <t>1994-04-25</t>
        </is>
      </c>
      <c r="X515" t="inlineStr">
        <is>
          <t>1994-04-25</t>
        </is>
      </c>
      <c r="Y515" t="n">
        <v>235</v>
      </c>
      <c r="Z515" t="n">
        <v>222</v>
      </c>
      <c r="AA515" t="n">
        <v>590</v>
      </c>
      <c r="AB515" t="n">
        <v>1</v>
      </c>
      <c r="AC515" t="n">
        <v>4</v>
      </c>
      <c r="AD515" t="n">
        <v>7</v>
      </c>
      <c r="AE515" t="n">
        <v>25</v>
      </c>
      <c r="AF515" t="n">
        <v>5</v>
      </c>
      <c r="AG515" t="n">
        <v>10</v>
      </c>
      <c r="AH515" t="n">
        <v>0</v>
      </c>
      <c r="AI515" t="n">
        <v>7</v>
      </c>
      <c r="AJ515" t="n">
        <v>4</v>
      </c>
      <c r="AK515" t="n">
        <v>12</v>
      </c>
      <c r="AL515" t="n">
        <v>0</v>
      </c>
      <c r="AM515" t="n">
        <v>3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HYPERLINK("http://catalog.hathitrust.org/Record/002719685","HathiTrust Record")</f>
        <v/>
      </c>
      <c r="AS515">
        <f>HYPERLINK("https://creighton-primo.hosted.exlibrisgroup.com/primo-explore/search?tab=default_tab&amp;search_scope=EVERYTHING&amp;vid=01CRU&amp;lang=en_US&amp;offset=0&amp;query=any,contains,991002029339702656","Catalog Record")</f>
        <v/>
      </c>
      <c r="AT515">
        <f>HYPERLINK("http://www.worldcat.org/oclc/25832950","WorldCat Record")</f>
        <v/>
      </c>
      <c r="AU515" t="inlineStr">
        <is>
          <t>18126600:eng</t>
        </is>
      </c>
      <c r="AV515" t="inlineStr">
        <is>
          <t>25832950</t>
        </is>
      </c>
      <c r="AW515" t="inlineStr">
        <is>
          <t>991002029339702656</t>
        </is>
      </c>
      <c r="AX515" t="inlineStr">
        <is>
          <t>991002029339702656</t>
        </is>
      </c>
      <c r="AY515" t="inlineStr">
        <is>
          <t>2264186020002656</t>
        </is>
      </c>
      <c r="AZ515" t="inlineStr">
        <is>
          <t>BOOK</t>
        </is>
      </c>
      <c r="BB515" t="inlineStr">
        <is>
          <t>9780819186539</t>
        </is>
      </c>
      <c r="BC515" t="inlineStr">
        <is>
          <t>32285001877819</t>
        </is>
      </c>
      <c r="BD515" t="inlineStr">
        <is>
          <t>893773137</t>
        </is>
      </c>
    </row>
    <row r="516">
      <c r="A516" t="inlineStr">
        <is>
          <t>No</t>
        </is>
      </c>
      <c r="B516" t="inlineStr">
        <is>
          <t>P96.P75 M33 1994</t>
        </is>
      </c>
      <c r="C516" t="inlineStr">
        <is>
          <t>0                      P  0096000P  75                 M  33          1994</t>
        </is>
      </c>
      <c r="D516" t="inlineStr">
        <is>
          <t>Measuring psychological responses to media messages / edited by Annie Lang.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Hillsdale, N.J. : L. Erlbaum Associates, 1994.</t>
        </is>
      </c>
      <c r="M516" t="inlineStr">
        <is>
          <t>1994</t>
        </is>
      </c>
      <c r="O516" t="inlineStr">
        <is>
          <t>eng</t>
        </is>
      </c>
      <c r="P516" t="inlineStr">
        <is>
          <t>nju</t>
        </is>
      </c>
      <c r="Q516" t="inlineStr">
        <is>
          <t>LEA's communication series</t>
        </is>
      </c>
      <c r="R516" t="inlineStr">
        <is>
          <t xml:space="preserve">P  </t>
        </is>
      </c>
      <c r="S516" t="n">
        <v>10</v>
      </c>
      <c r="T516" t="n">
        <v>10</v>
      </c>
      <c r="U516" t="inlineStr">
        <is>
          <t>2004-03-21</t>
        </is>
      </c>
      <c r="V516" t="inlineStr">
        <is>
          <t>2004-03-21</t>
        </is>
      </c>
      <c r="W516" t="inlineStr">
        <is>
          <t>1995-06-15</t>
        </is>
      </c>
      <c r="X516" t="inlineStr">
        <is>
          <t>1995-06-15</t>
        </is>
      </c>
      <c r="Y516" t="n">
        <v>446</v>
      </c>
      <c r="Z516" t="n">
        <v>378</v>
      </c>
      <c r="AA516" t="n">
        <v>404</v>
      </c>
      <c r="AB516" t="n">
        <v>5</v>
      </c>
      <c r="AC516" t="n">
        <v>5</v>
      </c>
      <c r="AD516" t="n">
        <v>25</v>
      </c>
      <c r="AE516" t="n">
        <v>25</v>
      </c>
      <c r="AF516" t="n">
        <v>10</v>
      </c>
      <c r="AG516" t="n">
        <v>10</v>
      </c>
      <c r="AH516" t="n">
        <v>6</v>
      </c>
      <c r="AI516" t="n">
        <v>6</v>
      </c>
      <c r="AJ516" t="n">
        <v>12</v>
      </c>
      <c r="AK516" t="n">
        <v>12</v>
      </c>
      <c r="AL516" t="n">
        <v>4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HYPERLINK("https://creighton-primo.hosted.exlibrisgroup.com/primo-explore/search?tab=default_tab&amp;search_scope=EVERYTHING&amp;vid=01CRU&amp;lang=en_US&amp;offset=0&amp;query=any,contains,991002351679702656","Catalog Record")</f>
        <v/>
      </c>
      <c r="AT516">
        <f>HYPERLINK("http://www.worldcat.org/oclc/30624031","WorldCat Record")</f>
        <v/>
      </c>
      <c r="AU516" t="inlineStr">
        <is>
          <t>32671171:eng</t>
        </is>
      </c>
      <c r="AV516" t="inlineStr">
        <is>
          <t>30624031</t>
        </is>
      </c>
      <c r="AW516" t="inlineStr">
        <is>
          <t>991002351679702656</t>
        </is>
      </c>
      <c r="AX516" t="inlineStr">
        <is>
          <t>991002351679702656</t>
        </is>
      </c>
      <c r="AY516" t="inlineStr">
        <is>
          <t>2260438450002656</t>
        </is>
      </c>
      <c r="AZ516" t="inlineStr">
        <is>
          <t>BOOK</t>
        </is>
      </c>
      <c r="BB516" t="inlineStr">
        <is>
          <t>9780805807172</t>
        </is>
      </c>
      <c r="BC516" t="inlineStr">
        <is>
          <t>32285002051422</t>
        </is>
      </c>
      <c r="BD516" t="inlineStr">
        <is>
          <t>893867101</t>
        </is>
      </c>
    </row>
    <row r="517">
      <c r="A517" t="inlineStr">
        <is>
          <t>No</t>
        </is>
      </c>
      <c r="B517" t="inlineStr">
        <is>
          <t>P96.P75 P47 1997</t>
        </is>
      </c>
      <c r="C517" t="inlineStr">
        <is>
          <t>0                      P  0096000P  75                 P  47          1997</t>
        </is>
      </c>
      <c r="D517" t="inlineStr">
        <is>
          <t>Perspectives on psychology and the media / edited by Sam Kirschner, Diana Adile Kirschner.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L517" t="inlineStr">
        <is>
          <t>Washington, DC : American Psychological Association, c1997.</t>
        </is>
      </c>
      <c r="M517" t="inlineStr">
        <is>
          <t>1997</t>
        </is>
      </c>
      <c r="N517" t="inlineStr">
        <is>
          <t>1st ed.</t>
        </is>
      </c>
      <c r="O517" t="inlineStr">
        <is>
          <t>eng</t>
        </is>
      </c>
      <c r="P517" t="inlineStr">
        <is>
          <t>dcu</t>
        </is>
      </c>
      <c r="R517" t="inlineStr">
        <is>
          <t xml:space="preserve">P  </t>
        </is>
      </c>
      <c r="S517" t="n">
        <v>3</v>
      </c>
      <c r="T517" t="n">
        <v>3</v>
      </c>
      <c r="U517" t="inlineStr">
        <is>
          <t>2000-10-24</t>
        </is>
      </c>
      <c r="V517" t="inlineStr">
        <is>
          <t>2000-10-24</t>
        </is>
      </c>
      <c r="W517" t="inlineStr">
        <is>
          <t>1998-09-08</t>
        </is>
      </c>
      <c r="X517" t="inlineStr">
        <is>
          <t>1998-09-08</t>
        </is>
      </c>
      <c r="Y517" t="n">
        <v>291</v>
      </c>
      <c r="Z517" t="n">
        <v>241</v>
      </c>
      <c r="AA517" t="n">
        <v>321</v>
      </c>
      <c r="AB517" t="n">
        <v>3</v>
      </c>
      <c r="AC517" t="n">
        <v>4</v>
      </c>
      <c r="AD517" t="n">
        <v>17</v>
      </c>
      <c r="AE517" t="n">
        <v>23</v>
      </c>
      <c r="AF517" t="n">
        <v>5</v>
      </c>
      <c r="AG517" t="n">
        <v>7</v>
      </c>
      <c r="AH517" t="n">
        <v>4</v>
      </c>
      <c r="AI517" t="n">
        <v>4</v>
      </c>
      <c r="AJ517" t="n">
        <v>12</v>
      </c>
      <c r="AK517" t="n">
        <v>15</v>
      </c>
      <c r="AL517" t="n">
        <v>2</v>
      </c>
      <c r="AM517" t="n">
        <v>3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HYPERLINK("http://catalog.hathitrust.org/Record/004102654","HathiTrust Record")</f>
        <v/>
      </c>
      <c r="AS517">
        <f>HYPERLINK("https://creighton-primo.hosted.exlibrisgroup.com/primo-explore/search?tab=default_tab&amp;search_scope=EVERYTHING&amp;vid=01CRU&amp;lang=en_US&amp;offset=0&amp;query=any,contains,991002766539702656","Catalog Record")</f>
        <v/>
      </c>
      <c r="AT517">
        <f>HYPERLINK("http://www.worldcat.org/oclc/36301532","WorldCat Record")</f>
        <v/>
      </c>
      <c r="AU517" t="inlineStr">
        <is>
          <t>1078472551:eng</t>
        </is>
      </c>
      <c r="AV517" t="inlineStr">
        <is>
          <t>36301532</t>
        </is>
      </c>
      <c r="AW517" t="inlineStr">
        <is>
          <t>991002766539702656</t>
        </is>
      </c>
      <c r="AX517" t="inlineStr">
        <is>
          <t>991002766539702656</t>
        </is>
      </c>
      <c r="AY517" t="inlineStr">
        <is>
          <t>2267882140002656</t>
        </is>
      </c>
      <c r="AZ517" t="inlineStr">
        <is>
          <t>BOOK</t>
        </is>
      </c>
      <c r="BB517" t="inlineStr">
        <is>
          <t>9781557984333</t>
        </is>
      </c>
      <c r="BC517" t="inlineStr">
        <is>
          <t>32285003466157</t>
        </is>
      </c>
      <c r="BD517" t="inlineStr">
        <is>
          <t>893704486</t>
        </is>
      </c>
    </row>
    <row r="518">
      <c r="A518" t="inlineStr">
        <is>
          <t>No</t>
        </is>
      </c>
      <c r="B518" t="inlineStr">
        <is>
          <t>P96.P832 U668 2002</t>
        </is>
      </c>
      <c r="C518" t="inlineStr">
        <is>
          <t>0                      P  0096000P  832                U  668         2002</t>
        </is>
      </c>
      <c r="D518" t="inlineStr">
        <is>
          <t>Mobocracy : how the media's obsession with polling twists the news, alters elections, and undermines democracy / Matthew Robinson.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Robinson, Matthew, 1971-</t>
        </is>
      </c>
      <c r="L518" t="inlineStr">
        <is>
          <t>[Roseville, Calif.] : Forum, c2002.</t>
        </is>
      </c>
      <c r="M518" t="inlineStr">
        <is>
          <t>2002</t>
        </is>
      </c>
      <c r="N518" t="inlineStr">
        <is>
          <t>1st ed.</t>
        </is>
      </c>
      <c r="O518" t="inlineStr">
        <is>
          <t>eng</t>
        </is>
      </c>
      <c r="P518" t="inlineStr">
        <is>
          <t>cau</t>
        </is>
      </c>
      <c r="R518" t="inlineStr">
        <is>
          <t xml:space="preserve">P  </t>
        </is>
      </c>
      <c r="S518" t="n">
        <v>1</v>
      </c>
      <c r="T518" t="n">
        <v>1</v>
      </c>
      <c r="U518" t="inlineStr">
        <is>
          <t>2003-11-06</t>
        </is>
      </c>
      <c r="V518" t="inlineStr">
        <is>
          <t>2003-11-06</t>
        </is>
      </c>
      <c r="W518" t="inlineStr">
        <is>
          <t>2002-04-22</t>
        </is>
      </c>
      <c r="X518" t="inlineStr">
        <is>
          <t>2002-04-22</t>
        </is>
      </c>
      <c r="Y518" t="n">
        <v>459</v>
      </c>
      <c r="Z518" t="n">
        <v>425</v>
      </c>
      <c r="AA518" t="n">
        <v>445</v>
      </c>
      <c r="AB518" t="n">
        <v>5</v>
      </c>
      <c r="AC518" t="n">
        <v>5</v>
      </c>
      <c r="AD518" t="n">
        <v>22</v>
      </c>
      <c r="AE518" t="n">
        <v>22</v>
      </c>
      <c r="AF518" t="n">
        <v>7</v>
      </c>
      <c r="AG518" t="n">
        <v>7</v>
      </c>
      <c r="AH518" t="n">
        <v>6</v>
      </c>
      <c r="AI518" t="n">
        <v>6</v>
      </c>
      <c r="AJ518" t="n">
        <v>9</v>
      </c>
      <c r="AK518" t="n">
        <v>9</v>
      </c>
      <c r="AL518" t="n">
        <v>4</v>
      </c>
      <c r="AM518" t="n">
        <v>4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HYPERLINK("http://catalog.hathitrust.org/Record/004219462","HathiTrust Record")</f>
        <v/>
      </c>
      <c r="AS518">
        <f>HYPERLINK("https://creighton-primo.hosted.exlibrisgroup.com/primo-explore/search?tab=default_tab&amp;search_scope=EVERYTHING&amp;vid=01CRU&amp;lang=en_US&amp;offset=0&amp;query=any,contains,991003775109702656","Catalog Record")</f>
        <v/>
      </c>
      <c r="AT518">
        <f>HYPERLINK("http://www.worldcat.org/oclc/47767202","WorldCat Record")</f>
        <v/>
      </c>
      <c r="AU518" t="inlineStr">
        <is>
          <t>20885577:eng</t>
        </is>
      </c>
      <c r="AV518" t="inlineStr">
        <is>
          <t>47767202</t>
        </is>
      </c>
      <c r="AW518" t="inlineStr">
        <is>
          <t>991003775109702656</t>
        </is>
      </c>
      <c r="AX518" t="inlineStr">
        <is>
          <t>991003775109702656</t>
        </is>
      </c>
      <c r="AY518" t="inlineStr">
        <is>
          <t>2254954600002656</t>
        </is>
      </c>
      <c r="AZ518" t="inlineStr">
        <is>
          <t>BOOK</t>
        </is>
      </c>
      <c r="BB518" t="inlineStr">
        <is>
          <t>9780761535829</t>
        </is>
      </c>
      <c r="BC518" t="inlineStr">
        <is>
          <t>32285004482088</t>
        </is>
      </c>
      <c r="BD518" t="inlineStr">
        <is>
          <t>893781398</t>
        </is>
      </c>
    </row>
    <row r="519">
      <c r="A519" t="inlineStr">
        <is>
          <t>No</t>
        </is>
      </c>
      <c r="B519" t="inlineStr">
        <is>
          <t>P96.S3 C2 1989</t>
        </is>
      </c>
      <c r="C519" t="inlineStr">
        <is>
          <t>0                      P  0096000S  3                  C  2           1989</t>
        </is>
      </c>
      <c r="D519" t="inlineStr">
        <is>
          <t>Pornography and violence in the communications media : a pastoral response / Pontifical Council for Social Communications.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Catholic Church. Pontificium Consilium de Communicationibus Socialibus.</t>
        </is>
      </c>
      <c r="M519" t="inlineStr">
        <is>
          <t>1989</t>
        </is>
      </c>
      <c r="O519" t="inlineStr">
        <is>
          <t>eng</t>
        </is>
      </c>
      <c r="P519" t="inlineStr">
        <is>
          <t>dcu</t>
        </is>
      </c>
      <c r="R519" t="inlineStr">
        <is>
          <t xml:space="preserve">P  </t>
        </is>
      </c>
      <c r="S519" t="n">
        <v>19</v>
      </c>
      <c r="T519" t="n">
        <v>19</v>
      </c>
      <c r="U519" t="inlineStr">
        <is>
          <t>2007-12-02</t>
        </is>
      </c>
      <c r="V519" t="inlineStr">
        <is>
          <t>2007-12-02</t>
        </is>
      </c>
      <c r="W519" t="inlineStr">
        <is>
          <t>1991-12-09</t>
        </is>
      </c>
      <c r="X519" t="inlineStr">
        <is>
          <t>1991-12-09</t>
        </is>
      </c>
      <c r="Y519" t="n">
        <v>84</v>
      </c>
      <c r="Z519" t="n">
        <v>77</v>
      </c>
      <c r="AA519" t="n">
        <v>77</v>
      </c>
      <c r="AB519" t="n">
        <v>1</v>
      </c>
      <c r="AC519" t="n">
        <v>1</v>
      </c>
      <c r="AD519" t="n">
        <v>13</v>
      </c>
      <c r="AE519" t="n">
        <v>13</v>
      </c>
      <c r="AF519" t="n">
        <v>4</v>
      </c>
      <c r="AG519" t="n">
        <v>4</v>
      </c>
      <c r="AH519" t="n">
        <v>3</v>
      </c>
      <c r="AI519" t="n">
        <v>3</v>
      </c>
      <c r="AJ519" t="n">
        <v>11</v>
      </c>
      <c r="AK519" t="n">
        <v>11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HYPERLINK("https://creighton-primo.hosted.exlibrisgroup.com/primo-explore/search?tab=default_tab&amp;search_scope=EVERYTHING&amp;vid=01CRU&amp;lang=en_US&amp;offset=0&amp;query=any,contains,991001570219702656","Catalog Record")</f>
        <v/>
      </c>
      <c r="AT519">
        <f>HYPERLINK("http://www.worldcat.org/oclc/20384092","WorldCat Record")</f>
        <v/>
      </c>
      <c r="AU519" t="inlineStr">
        <is>
          <t>5573084487:eng</t>
        </is>
      </c>
      <c r="AV519" t="inlineStr">
        <is>
          <t>20384092</t>
        </is>
      </c>
      <c r="AW519" t="inlineStr">
        <is>
          <t>991001570219702656</t>
        </is>
      </c>
      <c r="AX519" t="inlineStr">
        <is>
          <t>991001570219702656</t>
        </is>
      </c>
      <c r="AY519" t="inlineStr">
        <is>
          <t>2264758970002656</t>
        </is>
      </c>
      <c r="AZ519" t="inlineStr">
        <is>
          <t>BOOK</t>
        </is>
      </c>
      <c r="BC519" t="inlineStr">
        <is>
          <t>32285000873215</t>
        </is>
      </c>
      <c r="BD519" t="inlineStr">
        <is>
          <t>893509692</t>
        </is>
      </c>
    </row>
    <row r="520">
      <c r="A520" t="inlineStr">
        <is>
          <t>No</t>
        </is>
      </c>
      <c r="B520" t="inlineStr">
        <is>
          <t>P96.S45 C74 2003</t>
        </is>
      </c>
      <c r="C520" t="inlineStr">
        <is>
          <t>0                      P  0096000S  45                 C  74          2003</t>
        </is>
      </c>
      <c r="D520" t="inlineStr">
        <is>
          <t>Media matrix : sexing the new reality / Barbara Creed.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Creed, Barbara.</t>
        </is>
      </c>
      <c r="L520" t="inlineStr">
        <is>
          <t>Crows Nest, NSW : Allen &amp; Unwin, 2003.</t>
        </is>
      </c>
      <c r="M520" t="inlineStr">
        <is>
          <t>2003</t>
        </is>
      </c>
      <c r="O520" t="inlineStr">
        <is>
          <t>eng</t>
        </is>
      </c>
      <c r="P520" t="inlineStr">
        <is>
          <t xml:space="preserve">at </t>
        </is>
      </c>
      <c r="R520" t="inlineStr">
        <is>
          <t xml:space="preserve">P  </t>
        </is>
      </c>
      <c r="S520" t="n">
        <v>3</v>
      </c>
      <c r="T520" t="n">
        <v>3</v>
      </c>
      <c r="U520" t="inlineStr">
        <is>
          <t>2006-04-29</t>
        </is>
      </c>
      <c r="V520" t="inlineStr">
        <is>
          <t>2006-04-29</t>
        </is>
      </c>
      <c r="W520" t="inlineStr">
        <is>
          <t>2004-06-29</t>
        </is>
      </c>
      <c r="X520" t="inlineStr">
        <is>
          <t>2004-06-29</t>
        </is>
      </c>
      <c r="Y520" t="n">
        <v>237</v>
      </c>
      <c r="Z520" t="n">
        <v>141</v>
      </c>
      <c r="AA520" t="n">
        <v>399</v>
      </c>
      <c r="AB520" t="n">
        <v>3</v>
      </c>
      <c r="AC520" t="n">
        <v>3</v>
      </c>
      <c r="AD520" t="n">
        <v>9</v>
      </c>
      <c r="AE520" t="n">
        <v>10</v>
      </c>
      <c r="AF520" t="n">
        <v>1</v>
      </c>
      <c r="AG520" t="n">
        <v>2</v>
      </c>
      <c r="AH520" t="n">
        <v>5</v>
      </c>
      <c r="AI520" t="n">
        <v>5</v>
      </c>
      <c r="AJ520" t="n">
        <v>4</v>
      </c>
      <c r="AK520" t="n">
        <v>4</v>
      </c>
      <c r="AL520" t="n">
        <v>2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HYPERLINK("https://creighton-primo.hosted.exlibrisgroup.com/primo-explore/search?tab=default_tab&amp;search_scope=EVERYTHING&amp;vid=01CRU&amp;lang=en_US&amp;offset=0&amp;query=any,contains,991004304089702656","Catalog Record")</f>
        <v/>
      </c>
      <c r="AT520">
        <f>HYPERLINK("http://www.worldcat.org/oclc/53348651","WorldCat Record")</f>
        <v/>
      </c>
      <c r="AU520" t="inlineStr">
        <is>
          <t>800708549:eng</t>
        </is>
      </c>
      <c r="AV520" t="inlineStr">
        <is>
          <t>53348651</t>
        </is>
      </c>
      <c r="AW520" t="inlineStr">
        <is>
          <t>991004304089702656</t>
        </is>
      </c>
      <c r="AX520" t="inlineStr">
        <is>
          <t>991004304089702656</t>
        </is>
      </c>
      <c r="AY520" t="inlineStr">
        <is>
          <t>2254994910002656</t>
        </is>
      </c>
      <c r="AZ520" t="inlineStr">
        <is>
          <t>BOOK</t>
        </is>
      </c>
      <c r="BB520" t="inlineStr">
        <is>
          <t>9781865089263</t>
        </is>
      </c>
      <c r="BC520" t="inlineStr">
        <is>
          <t>32285004921630</t>
        </is>
      </c>
      <c r="BD520" t="inlineStr">
        <is>
          <t>893519472</t>
        </is>
      </c>
    </row>
    <row r="521">
      <c r="A521" t="inlineStr">
        <is>
          <t>No</t>
        </is>
      </c>
      <c r="B521" t="inlineStr">
        <is>
          <t>P96.S45 G46 2001</t>
        </is>
      </c>
      <c r="C521" t="inlineStr">
        <is>
          <t>0                      P  0096000S  45                 G  46          2001</t>
        </is>
      </c>
      <c r="D521" t="inlineStr">
        <is>
          <t>The gender challenge to media : diverse voices from the field / edited by Elizabeth L. Toth, Linda Aldoory.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Cresskill, N.J. : Hampton Press, c2001.</t>
        </is>
      </c>
      <c r="M521" t="inlineStr">
        <is>
          <t>2001</t>
        </is>
      </c>
      <c r="O521" t="inlineStr">
        <is>
          <t>eng</t>
        </is>
      </c>
      <c r="P521" t="inlineStr">
        <is>
          <t>nju</t>
        </is>
      </c>
      <c r="Q521" t="inlineStr">
        <is>
          <t>The Hampton Press communication series</t>
        </is>
      </c>
      <c r="R521" t="inlineStr">
        <is>
          <t xml:space="preserve">P  </t>
        </is>
      </c>
      <c r="S521" t="n">
        <v>12</v>
      </c>
      <c r="T521" t="n">
        <v>12</v>
      </c>
      <c r="U521" t="inlineStr">
        <is>
          <t>2010-04-10</t>
        </is>
      </c>
      <c r="V521" t="inlineStr">
        <is>
          <t>2010-04-10</t>
        </is>
      </c>
      <c r="W521" t="inlineStr">
        <is>
          <t>2001-05-01</t>
        </is>
      </c>
      <c r="X521" t="inlineStr">
        <is>
          <t>2001-05-01</t>
        </is>
      </c>
      <c r="Y521" t="n">
        <v>228</v>
      </c>
      <c r="Z521" t="n">
        <v>181</v>
      </c>
      <c r="AA521" t="n">
        <v>182</v>
      </c>
      <c r="AB521" t="n">
        <v>2</v>
      </c>
      <c r="AC521" t="n">
        <v>2</v>
      </c>
      <c r="AD521" t="n">
        <v>12</v>
      </c>
      <c r="AE521" t="n">
        <v>12</v>
      </c>
      <c r="AF521" t="n">
        <v>3</v>
      </c>
      <c r="AG521" t="n">
        <v>3</v>
      </c>
      <c r="AH521" t="n">
        <v>4</v>
      </c>
      <c r="AI521" t="n">
        <v>4</v>
      </c>
      <c r="AJ521" t="n">
        <v>7</v>
      </c>
      <c r="AK521" t="n">
        <v>7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HYPERLINK("http://catalog.hathitrust.org/Record/004153922","HathiTrust Record")</f>
        <v/>
      </c>
      <c r="AS521">
        <f>HYPERLINK("https://creighton-primo.hosted.exlibrisgroup.com/primo-explore/search?tab=default_tab&amp;search_scope=EVERYTHING&amp;vid=01CRU&amp;lang=en_US&amp;offset=0&amp;query=any,contains,991003520389702656","Catalog Record")</f>
        <v/>
      </c>
      <c r="AT521">
        <f>HYPERLINK("http://www.worldcat.org/oclc/44979640","WorldCat Record")</f>
        <v/>
      </c>
      <c r="AU521" t="inlineStr">
        <is>
          <t>905442192:eng</t>
        </is>
      </c>
      <c r="AV521" t="inlineStr">
        <is>
          <t>44979640</t>
        </is>
      </c>
      <c r="AW521" t="inlineStr">
        <is>
          <t>991003520389702656</t>
        </is>
      </c>
      <c r="AX521" t="inlineStr">
        <is>
          <t>991003520389702656</t>
        </is>
      </c>
      <c r="AY521" t="inlineStr">
        <is>
          <t>2271299310002656</t>
        </is>
      </c>
      <c r="AZ521" t="inlineStr">
        <is>
          <t>BOOK</t>
        </is>
      </c>
      <c r="BB521" t="inlineStr">
        <is>
          <t>9781572733091</t>
        </is>
      </c>
      <c r="BC521" t="inlineStr">
        <is>
          <t>32285004315486</t>
        </is>
      </c>
      <c r="BD521" t="inlineStr">
        <is>
          <t>893592595</t>
        </is>
      </c>
    </row>
    <row r="522">
      <c r="A522" t="inlineStr">
        <is>
          <t>No</t>
        </is>
      </c>
      <c r="B522" t="inlineStr">
        <is>
          <t>P96.S48 A38 1987</t>
        </is>
      </c>
      <c r="C522" t="inlineStr">
        <is>
          <t>0                      P  0096000S  48                 A  38          1987</t>
        </is>
      </c>
      <c r="D522" t="inlineStr">
        <is>
          <t>Advances in gender and communication research / edited by Lawrence B. Nadler, Marjorie Keeshan Nadler, William R. Todd-Mancillas.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L522" t="inlineStr">
        <is>
          <t>Lanham, MD : University Press of America, c1987.</t>
        </is>
      </c>
      <c r="M522" t="inlineStr">
        <is>
          <t>1987</t>
        </is>
      </c>
      <c r="O522" t="inlineStr">
        <is>
          <t>eng</t>
        </is>
      </c>
      <c r="P522" t="inlineStr">
        <is>
          <t>mdu</t>
        </is>
      </c>
      <c r="R522" t="inlineStr">
        <is>
          <t xml:space="preserve">P  </t>
        </is>
      </c>
      <c r="S522" t="n">
        <v>11</v>
      </c>
      <c r="T522" t="n">
        <v>11</v>
      </c>
      <c r="U522" t="inlineStr">
        <is>
          <t>2006-03-31</t>
        </is>
      </c>
      <c r="V522" t="inlineStr">
        <is>
          <t>2006-03-31</t>
        </is>
      </c>
      <c r="W522" t="inlineStr">
        <is>
          <t>1992-02-10</t>
        </is>
      </c>
      <c r="X522" t="inlineStr">
        <is>
          <t>1992-02-10</t>
        </is>
      </c>
      <c r="Y522" t="n">
        <v>313</v>
      </c>
      <c r="Z522" t="n">
        <v>256</v>
      </c>
      <c r="AA522" t="n">
        <v>258</v>
      </c>
      <c r="AB522" t="n">
        <v>3</v>
      </c>
      <c r="AC522" t="n">
        <v>3</v>
      </c>
      <c r="AD522" t="n">
        <v>18</v>
      </c>
      <c r="AE522" t="n">
        <v>18</v>
      </c>
      <c r="AF522" t="n">
        <v>8</v>
      </c>
      <c r="AG522" t="n">
        <v>8</v>
      </c>
      <c r="AH522" t="n">
        <v>2</v>
      </c>
      <c r="AI522" t="n">
        <v>2</v>
      </c>
      <c r="AJ522" t="n">
        <v>9</v>
      </c>
      <c r="AK522" t="n">
        <v>9</v>
      </c>
      <c r="AL522" t="n">
        <v>2</v>
      </c>
      <c r="AM522" t="n">
        <v>2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HYPERLINK("http://catalog.hathitrust.org/Record/001288900","HathiTrust Record")</f>
        <v/>
      </c>
      <c r="AS522">
        <f>HYPERLINK("https://creighton-primo.hosted.exlibrisgroup.com/primo-explore/search?tab=default_tab&amp;search_scope=EVERYTHING&amp;vid=01CRU&amp;lang=en_US&amp;offset=0&amp;query=any,contains,991001057539702656","Catalog Record")</f>
        <v/>
      </c>
      <c r="AT522">
        <f>HYPERLINK("http://www.worldcat.org/oclc/15697099","WorldCat Record")</f>
        <v/>
      </c>
      <c r="AU522" t="inlineStr">
        <is>
          <t>351593458:eng</t>
        </is>
      </c>
      <c r="AV522" t="inlineStr">
        <is>
          <t>15697099</t>
        </is>
      </c>
      <c r="AW522" t="inlineStr">
        <is>
          <t>991001057539702656</t>
        </is>
      </c>
      <c r="AX522" t="inlineStr">
        <is>
          <t>991001057539702656</t>
        </is>
      </c>
      <c r="AY522" t="inlineStr">
        <is>
          <t>2260356200002656</t>
        </is>
      </c>
      <c r="AZ522" t="inlineStr">
        <is>
          <t>BOOK</t>
        </is>
      </c>
      <c r="BB522" t="inlineStr">
        <is>
          <t>9780819164780</t>
        </is>
      </c>
      <c r="BC522" t="inlineStr">
        <is>
          <t>32285000954585</t>
        </is>
      </c>
      <c r="BD522" t="inlineStr">
        <is>
          <t>893878585</t>
        </is>
      </c>
    </row>
    <row r="523">
      <c r="A523" t="inlineStr">
        <is>
          <t>No</t>
        </is>
      </c>
      <c r="B523" t="inlineStr">
        <is>
          <t>P96.S48 P47 1983</t>
        </is>
      </c>
      <c r="C523" t="inlineStr">
        <is>
          <t>0                      P  0096000S  48                 P  47          1983</t>
        </is>
      </c>
      <c r="D523" t="inlineStr">
        <is>
          <t>The nonsexist communicator : solving the problems of gender and awkwardness in modern English / by Bobbye D. Sorrels.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Persing, Bobbye Sorrels.</t>
        </is>
      </c>
      <c r="L523" t="inlineStr">
        <is>
          <t>Englewood Cliffs, N.J. : Prentice-Hall, c1983.</t>
        </is>
      </c>
      <c r="M523" t="inlineStr">
        <is>
          <t>1983</t>
        </is>
      </c>
      <c r="O523" t="inlineStr">
        <is>
          <t>eng</t>
        </is>
      </c>
      <c r="P523" t="inlineStr">
        <is>
          <t>nju</t>
        </is>
      </c>
      <c r="R523" t="inlineStr">
        <is>
          <t xml:space="preserve">P  </t>
        </is>
      </c>
      <c r="S523" t="n">
        <v>16</v>
      </c>
      <c r="T523" t="n">
        <v>16</v>
      </c>
      <c r="U523" t="inlineStr">
        <is>
          <t>2006-04-19</t>
        </is>
      </c>
      <c r="V523" t="inlineStr">
        <is>
          <t>2006-04-19</t>
        </is>
      </c>
      <c r="W523" t="inlineStr">
        <is>
          <t>1992-02-10</t>
        </is>
      </c>
      <c r="X523" t="inlineStr">
        <is>
          <t>1992-02-10</t>
        </is>
      </c>
      <c r="Y523" t="n">
        <v>407</v>
      </c>
      <c r="Z523" t="n">
        <v>354</v>
      </c>
      <c r="AA523" t="n">
        <v>361</v>
      </c>
      <c r="AB523" t="n">
        <v>4</v>
      </c>
      <c r="AC523" t="n">
        <v>4</v>
      </c>
      <c r="AD523" t="n">
        <v>10</v>
      </c>
      <c r="AE523" t="n">
        <v>10</v>
      </c>
      <c r="AF523" t="n">
        <v>3</v>
      </c>
      <c r="AG523" t="n">
        <v>3</v>
      </c>
      <c r="AH523" t="n">
        <v>3</v>
      </c>
      <c r="AI523" t="n">
        <v>3</v>
      </c>
      <c r="AJ523" t="n">
        <v>4</v>
      </c>
      <c r="AK523" t="n">
        <v>4</v>
      </c>
      <c r="AL523" t="n">
        <v>3</v>
      </c>
      <c r="AM523" t="n">
        <v>3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HYPERLINK("http://catalog.hathitrust.org/Record/000328974","HathiTrust Record")</f>
        <v/>
      </c>
      <c r="AS523">
        <f>HYPERLINK("https://creighton-primo.hosted.exlibrisgroup.com/primo-explore/search?tab=default_tab&amp;search_scope=EVERYTHING&amp;vid=01CRU&amp;lang=en_US&amp;offset=0&amp;query=any,contains,991000130889702656","Catalog Record")</f>
        <v/>
      </c>
      <c r="AT523">
        <f>HYPERLINK("http://www.worldcat.org/oclc/9111305","WorldCat Record")</f>
        <v/>
      </c>
      <c r="AU523" t="inlineStr">
        <is>
          <t>43069775:eng</t>
        </is>
      </c>
      <c r="AV523" t="inlineStr">
        <is>
          <t>9111305</t>
        </is>
      </c>
      <c r="AW523" t="inlineStr">
        <is>
          <t>991000130889702656</t>
        </is>
      </c>
      <c r="AX523" t="inlineStr">
        <is>
          <t>991000130889702656</t>
        </is>
      </c>
      <c r="AY523" t="inlineStr">
        <is>
          <t>2266636290002656</t>
        </is>
      </c>
      <c r="AZ523" t="inlineStr">
        <is>
          <t>BOOK</t>
        </is>
      </c>
      <c r="BB523" t="inlineStr">
        <is>
          <t>9780136234135</t>
        </is>
      </c>
      <c r="BC523" t="inlineStr">
        <is>
          <t>32285000954577</t>
        </is>
      </c>
      <c r="BD523" t="inlineStr">
        <is>
          <t>893877831</t>
        </is>
      </c>
    </row>
    <row r="524">
      <c r="A524" t="inlineStr">
        <is>
          <t>No</t>
        </is>
      </c>
      <c r="B524" t="inlineStr">
        <is>
          <t>P96.S48 S34 2006</t>
        </is>
      </c>
      <c r="C524" t="inlineStr">
        <is>
          <t>0                      P  0096000S  48                 S  34          2006</t>
        </is>
      </c>
      <c r="D524" t="inlineStr">
        <is>
          <t>The SAGE handbook of gender and communication / editors, Bonnie J. Dow, Julia T. Wood.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Thousand Oaks, Calif. : Sage Publications, c2006.</t>
        </is>
      </c>
      <c r="M524" t="inlineStr">
        <is>
          <t>2006</t>
        </is>
      </c>
      <c r="O524" t="inlineStr">
        <is>
          <t>eng</t>
        </is>
      </c>
      <c r="P524" t="inlineStr">
        <is>
          <t>cau</t>
        </is>
      </c>
      <c r="R524" t="inlineStr">
        <is>
          <t xml:space="preserve">P  </t>
        </is>
      </c>
      <c r="S524" t="n">
        <v>3</v>
      </c>
      <c r="T524" t="n">
        <v>3</v>
      </c>
      <c r="U524" t="inlineStr">
        <is>
          <t>2009-12-05</t>
        </is>
      </c>
      <c r="V524" t="inlineStr">
        <is>
          <t>2009-12-05</t>
        </is>
      </c>
      <c r="W524" t="inlineStr">
        <is>
          <t>2008-04-02</t>
        </is>
      </c>
      <c r="X524" t="inlineStr">
        <is>
          <t>2008-04-02</t>
        </is>
      </c>
      <c r="Y524" t="n">
        <v>582</v>
      </c>
      <c r="Z524" t="n">
        <v>456</v>
      </c>
      <c r="AA524" t="n">
        <v>531</v>
      </c>
      <c r="AB524" t="n">
        <v>4</v>
      </c>
      <c r="AC524" t="n">
        <v>4</v>
      </c>
      <c r="AD524" t="n">
        <v>26</v>
      </c>
      <c r="AE524" t="n">
        <v>31</v>
      </c>
      <c r="AF524" t="n">
        <v>14</v>
      </c>
      <c r="AG524" t="n">
        <v>17</v>
      </c>
      <c r="AH524" t="n">
        <v>5</v>
      </c>
      <c r="AI524" t="n">
        <v>7</v>
      </c>
      <c r="AJ524" t="n">
        <v>10</v>
      </c>
      <c r="AK524" t="n">
        <v>12</v>
      </c>
      <c r="AL524" t="n">
        <v>3</v>
      </c>
      <c r="AM524" t="n">
        <v>3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HYPERLINK("https://creighton-primo.hosted.exlibrisgroup.com/primo-explore/search?tab=default_tab&amp;search_scope=EVERYTHING&amp;vid=01CRU&amp;lang=en_US&amp;offset=0&amp;query=any,contains,991005193019702656","Catalog Record")</f>
        <v/>
      </c>
      <c r="AT524">
        <f>HYPERLINK("http://www.worldcat.org/oclc/63171059","WorldCat Record")</f>
        <v/>
      </c>
      <c r="AU524" t="inlineStr">
        <is>
          <t>766923828:eng</t>
        </is>
      </c>
      <c r="AV524" t="inlineStr">
        <is>
          <t>63171059</t>
        </is>
      </c>
      <c r="AW524" t="inlineStr">
        <is>
          <t>991005193019702656</t>
        </is>
      </c>
      <c r="AX524" t="inlineStr">
        <is>
          <t>991005193019702656</t>
        </is>
      </c>
      <c r="AY524" t="inlineStr">
        <is>
          <t>2269604470002656</t>
        </is>
      </c>
      <c r="AZ524" t="inlineStr">
        <is>
          <t>BOOK</t>
        </is>
      </c>
      <c r="BB524" t="inlineStr">
        <is>
          <t>9781412904230</t>
        </is>
      </c>
      <c r="BC524" t="inlineStr">
        <is>
          <t>32285005400501</t>
        </is>
      </c>
      <c r="BD524" t="inlineStr">
        <is>
          <t>893437309</t>
        </is>
      </c>
    </row>
    <row r="525">
      <c r="A525" t="inlineStr">
        <is>
          <t>No</t>
        </is>
      </c>
      <c r="B525" t="inlineStr">
        <is>
          <t>P96.S48 W64 1993</t>
        </is>
      </c>
      <c r="C525" t="inlineStr">
        <is>
          <t>0                      P  0096000S  48                 W  64          1993</t>
        </is>
      </c>
      <c r="D525" t="inlineStr">
        <is>
          <t>Women &amp; men communicating : challenges and changes / Laurie P. Arliss, Deborah J. Borisoff [editors].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Fort Worth : Harcourt Brace Jovanovich College Publishers, c1993.</t>
        </is>
      </c>
      <c r="M525" t="inlineStr">
        <is>
          <t>1993</t>
        </is>
      </c>
      <c r="O525" t="inlineStr">
        <is>
          <t>eng</t>
        </is>
      </c>
      <c r="P525" t="inlineStr">
        <is>
          <t>txu</t>
        </is>
      </c>
      <c r="R525" t="inlineStr">
        <is>
          <t xml:space="preserve">P  </t>
        </is>
      </c>
      <c r="S525" t="n">
        <v>24</v>
      </c>
      <c r="T525" t="n">
        <v>24</v>
      </c>
      <c r="U525" t="inlineStr">
        <is>
          <t>2009-12-05</t>
        </is>
      </c>
      <c r="V525" t="inlineStr">
        <is>
          <t>2009-12-05</t>
        </is>
      </c>
      <c r="W525" t="inlineStr">
        <is>
          <t>1998-06-24</t>
        </is>
      </c>
      <c r="X525" t="inlineStr">
        <is>
          <t>1998-06-24</t>
        </is>
      </c>
      <c r="Y525" t="n">
        <v>188</v>
      </c>
      <c r="Z525" t="n">
        <v>163</v>
      </c>
      <c r="AA525" t="n">
        <v>323</v>
      </c>
      <c r="AB525" t="n">
        <v>2</v>
      </c>
      <c r="AC525" t="n">
        <v>5</v>
      </c>
      <c r="AD525" t="n">
        <v>8</v>
      </c>
      <c r="AE525" t="n">
        <v>21</v>
      </c>
      <c r="AF525" t="n">
        <v>0</v>
      </c>
      <c r="AG525" t="n">
        <v>7</v>
      </c>
      <c r="AH525" t="n">
        <v>2</v>
      </c>
      <c r="AI525" t="n">
        <v>5</v>
      </c>
      <c r="AJ525" t="n">
        <v>6</v>
      </c>
      <c r="AK525" t="n">
        <v>10</v>
      </c>
      <c r="AL525" t="n">
        <v>1</v>
      </c>
      <c r="AM525" t="n">
        <v>4</v>
      </c>
      <c r="AN525" t="n">
        <v>0</v>
      </c>
      <c r="AO525" t="n">
        <v>0</v>
      </c>
      <c r="AP525" t="inlineStr">
        <is>
          <t>No</t>
        </is>
      </c>
      <c r="AQ525" t="inlineStr">
        <is>
          <t>Yes</t>
        </is>
      </c>
      <c r="AR525">
        <f>HYPERLINK("http://catalog.hathitrust.org/Record/006953857","HathiTrust Record")</f>
        <v/>
      </c>
      <c r="AS525">
        <f>HYPERLINK("https://creighton-primo.hosted.exlibrisgroup.com/primo-explore/search?tab=default_tab&amp;search_scope=EVERYTHING&amp;vid=01CRU&amp;lang=en_US&amp;offset=0&amp;query=any,contains,991002146379702656","Catalog Record")</f>
        <v/>
      </c>
      <c r="AT525">
        <f>HYPERLINK("http://www.worldcat.org/oclc/27657251","WorldCat Record")</f>
        <v/>
      </c>
      <c r="AU525" t="inlineStr">
        <is>
          <t>35768260:eng</t>
        </is>
      </c>
      <c r="AV525" t="inlineStr">
        <is>
          <t>27657251</t>
        </is>
      </c>
      <c r="AW525" t="inlineStr">
        <is>
          <t>991002146379702656</t>
        </is>
      </c>
      <c r="AX525" t="inlineStr">
        <is>
          <t>991002146379702656</t>
        </is>
      </c>
      <c r="AY525" t="inlineStr">
        <is>
          <t>2263230260002656</t>
        </is>
      </c>
      <c r="AZ525" t="inlineStr">
        <is>
          <t>BOOK</t>
        </is>
      </c>
      <c r="BB525" t="inlineStr">
        <is>
          <t>9780030746567</t>
        </is>
      </c>
      <c r="BC525" t="inlineStr">
        <is>
          <t>32285003423380</t>
        </is>
      </c>
      <c r="BD525" t="inlineStr">
        <is>
          <t>893256928</t>
        </is>
      </c>
    </row>
    <row r="526">
      <c r="A526" t="inlineStr">
        <is>
          <t>No</t>
        </is>
      </c>
      <c r="B526" t="inlineStr">
        <is>
          <t>P96.S5 F7</t>
        </is>
      </c>
      <c r="C526" t="inlineStr">
        <is>
          <t>0                      P  0096000S  5                  F  7</t>
        </is>
      </c>
      <c r="D526" t="inlineStr">
        <is>
          <t>Sex role stereotyping in the mass media : an annotated bibliography / Leslie Friedman.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Friedman, Leslie J., 1948-</t>
        </is>
      </c>
      <c r="L526" t="inlineStr">
        <is>
          <t>New York : Garland Pub., 1977.</t>
        </is>
      </c>
      <c r="M526" t="inlineStr">
        <is>
          <t>1977</t>
        </is>
      </c>
      <c r="O526" t="inlineStr">
        <is>
          <t>eng</t>
        </is>
      </c>
      <c r="P526" t="inlineStr">
        <is>
          <t>nyu</t>
        </is>
      </c>
      <c r="Q526" t="inlineStr">
        <is>
          <t>Garland reference library of social science ; v. 47</t>
        </is>
      </c>
      <c r="R526" t="inlineStr">
        <is>
          <t xml:space="preserve">P  </t>
        </is>
      </c>
      <c r="S526" t="n">
        <v>29</v>
      </c>
      <c r="T526" t="n">
        <v>29</v>
      </c>
      <c r="U526" t="inlineStr">
        <is>
          <t>2006-03-31</t>
        </is>
      </c>
      <c r="V526" t="inlineStr">
        <is>
          <t>2006-03-31</t>
        </is>
      </c>
      <c r="W526" t="inlineStr">
        <is>
          <t>1991-12-09</t>
        </is>
      </c>
      <c r="X526" t="inlineStr">
        <is>
          <t>1991-12-09</t>
        </is>
      </c>
      <c r="Y526" t="n">
        <v>551</v>
      </c>
      <c r="Z526" t="n">
        <v>464</v>
      </c>
      <c r="AA526" t="n">
        <v>471</v>
      </c>
      <c r="AB526" t="n">
        <v>4</v>
      </c>
      <c r="AC526" t="n">
        <v>4</v>
      </c>
      <c r="AD526" t="n">
        <v>22</v>
      </c>
      <c r="AE526" t="n">
        <v>22</v>
      </c>
      <c r="AF526" t="n">
        <v>8</v>
      </c>
      <c r="AG526" t="n">
        <v>8</v>
      </c>
      <c r="AH526" t="n">
        <v>6</v>
      </c>
      <c r="AI526" t="n">
        <v>6</v>
      </c>
      <c r="AJ526" t="n">
        <v>13</v>
      </c>
      <c r="AK526" t="n">
        <v>13</v>
      </c>
      <c r="AL526" t="n">
        <v>3</v>
      </c>
      <c r="AM526" t="n">
        <v>3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HYPERLINK("http://catalog.hathitrust.org/Record/000293784","HathiTrust Record")</f>
        <v/>
      </c>
      <c r="AS526">
        <f>HYPERLINK("https://creighton-primo.hosted.exlibrisgroup.com/primo-explore/search?tab=default_tab&amp;search_scope=EVERYTHING&amp;vid=01CRU&amp;lang=en_US&amp;offset=0&amp;query=any,contains,991004365489702656","Catalog Record")</f>
        <v/>
      </c>
      <c r="AT526">
        <f>HYPERLINK("http://www.worldcat.org/oclc/3169275","WorldCat Record")</f>
        <v/>
      </c>
      <c r="AU526" t="inlineStr">
        <is>
          <t>490516:eng</t>
        </is>
      </c>
      <c r="AV526" t="inlineStr">
        <is>
          <t>3169275</t>
        </is>
      </c>
      <c r="AW526" t="inlineStr">
        <is>
          <t>991004365489702656</t>
        </is>
      </c>
      <c r="AX526" t="inlineStr">
        <is>
          <t>991004365489702656</t>
        </is>
      </c>
      <c r="AY526" t="inlineStr">
        <is>
          <t>2263278230002656</t>
        </is>
      </c>
      <c r="AZ526" t="inlineStr">
        <is>
          <t>BOOK</t>
        </is>
      </c>
      <c r="BB526" t="inlineStr">
        <is>
          <t>9780824098650</t>
        </is>
      </c>
      <c r="BC526" t="inlineStr">
        <is>
          <t>32285000873223</t>
        </is>
      </c>
      <c r="BD526" t="inlineStr">
        <is>
          <t>893337640</t>
        </is>
      </c>
    </row>
    <row r="527">
      <c r="A527" t="inlineStr">
        <is>
          <t>No</t>
        </is>
      </c>
      <c r="B527" t="inlineStr">
        <is>
          <t>P96.T42 M38 1992</t>
        </is>
      </c>
      <c r="C527" t="inlineStr">
        <is>
          <t>0                      P  0096000T  42                 M  38          1992</t>
        </is>
      </c>
      <c r="D527" t="inlineStr">
        <is>
          <t>The global village : transformations in world life and media in the 21st century / Marshall McLuhan and Bruce R. Powers.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McLuhan, Marshall, 1911-1980.</t>
        </is>
      </c>
      <c r="L527" t="inlineStr">
        <is>
          <t>New York ; Oxford : Oxford University Press, 1992, c1989.</t>
        </is>
      </c>
      <c r="M527" t="inlineStr">
        <is>
          <t>1992</t>
        </is>
      </c>
      <c r="O527" t="inlineStr">
        <is>
          <t>eng</t>
        </is>
      </c>
      <c r="P527" t="inlineStr">
        <is>
          <t>enk</t>
        </is>
      </c>
      <c r="R527" t="inlineStr">
        <is>
          <t xml:space="preserve">P  </t>
        </is>
      </c>
      <c r="S527" t="n">
        <v>3</v>
      </c>
      <c r="T527" t="n">
        <v>3</v>
      </c>
      <c r="U527" t="inlineStr">
        <is>
          <t>2010-05-18</t>
        </is>
      </c>
      <c r="V527" t="inlineStr">
        <is>
          <t>2010-05-18</t>
        </is>
      </c>
      <c r="W527" t="inlineStr">
        <is>
          <t>1995-05-15</t>
        </is>
      </c>
      <c r="X527" t="inlineStr">
        <is>
          <t>1995-05-15</t>
        </is>
      </c>
      <c r="Y527" t="n">
        <v>1119</v>
      </c>
      <c r="Z527" t="n">
        <v>845</v>
      </c>
      <c r="AA527" t="n">
        <v>871</v>
      </c>
      <c r="AB527" t="n">
        <v>4</v>
      </c>
      <c r="AC527" t="n">
        <v>4</v>
      </c>
      <c r="AD527" t="n">
        <v>32</v>
      </c>
      <c r="AE527" t="n">
        <v>33</v>
      </c>
      <c r="AF527" t="n">
        <v>14</v>
      </c>
      <c r="AG527" t="n">
        <v>15</v>
      </c>
      <c r="AH527" t="n">
        <v>6</v>
      </c>
      <c r="AI527" t="n">
        <v>6</v>
      </c>
      <c r="AJ527" t="n">
        <v>12</v>
      </c>
      <c r="AK527" t="n">
        <v>13</v>
      </c>
      <c r="AL527" t="n">
        <v>3</v>
      </c>
      <c r="AM527" t="n">
        <v>3</v>
      </c>
      <c r="AN527" t="n">
        <v>2</v>
      </c>
      <c r="AO527" t="n">
        <v>2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HYPERLINK("http://catalog.hathitrust.org/Record/001529835","HathiTrust Record")</f>
        <v/>
      </c>
      <c r="AS527">
        <f>HYPERLINK("https://creighton-primo.hosted.exlibrisgroup.com/primo-explore/search?tab=default_tab&amp;search_scope=EVERYTHING&amp;vid=01CRU&amp;lang=en_US&amp;offset=0&amp;query=any,contains,991002124489702656","Catalog Record")</f>
        <v/>
      </c>
      <c r="AT527">
        <f>HYPERLINK("http://www.worldcat.org/oclc/18291588","WorldCat Record")</f>
        <v/>
      </c>
      <c r="AU527" t="inlineStr">
        <is>
          <t>808481734:eng</t>
        </is>
      </c>
      <c r="AV527" t="inlineStr">
        <is>
          <t>18291588</t>
        </is>
      </c>
      <c r="AW527" t="inlineStr">
        <is>
          <t>991002124489702656</t>
        </is>
      </c>
      <c r="AX527" t="inlineStr">
        <is>
          <t>991002124489702656</t>
        </is>
      </c>
      <c r="AY527" t="inlineStr">
        <is>
          <t>2272150480002656</t>
        </is>
      </c>
      <c r="AZ527" t="inlineStr">
        <is>
          <t>BOOK</t>
        </is>
      </c>
      <c r="BB527" t="inlineStr">
        <is>
          <t>9780195079104</t>
        </is>
      </c>
      <c r="BC527" t="inlineStr">
        <is>
          <t>32285002045390</t>
        </is>
      </c>
      <c r="BD527" t="inlineStr">
        <is>
          <t>893516925</t>
        </is>
      </c>
    </row>
    <row r="528">
      <c r="A528" t="inlineStr">
        <is>
          <t>No</t>
        </is>
      </c>
      <c r="B528" t="inlineStr">
        <is>
          <t>P96.T42 P38 1998</t>
        </is>
      </c>
      <c r="C528" t="inlineStr">
        <is>
          <t>0                      P  0096000T  42                 P  38          1998</t>
        </is>
      </c>
      <c r="D528" t="inlineStr">
        <is>
          <t>New media technology : cultural and commercial perspectives / John V. Pavlik ; foreword by Everette E. Dennis.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Pavlik, John V. (John Vernon)</t>
        </is>
      </c>
      <c r="L528" t="inlineStr">
        <is>
          <t>Boston : Allyn and Bacon, c1998.</t>
        </is>
      </c>
      <c r="M528" t="inlineStr">
        <is>
          <t>1998</t>
        </is>
      </c>
      <c r="N528" t="inlineStr">
        <is>
          <t>2nd [rev.] ed.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P  </t>
        </is>
      </c>
      <c r="S528" t="n">
        <v>6</v>
      </c>
      <c r="T528" t="n">
        <v>6</v>
      </c>
      <c r="U528" t="inlineStr">
        <is>
          <t>2006-03-02</t>
        </is>
      </c>
      <c r="V528" t="inlineStr">
        <is>
          <t>2006-03-02</t>
        </is>
      </c>
      <c r="W528" t="inlineStr">
        <is>
          <t>1998-02-04</t>
        </is>
      </c>
      <c r="X528" t="inlineStr">
        <is>
          <t>1998-02-04</t>
        </is>
      </c>
      <c r="Y528" t="n">
        <v>248</v>
      </c>
      <c r="Z528" t="n">
        <v>165</v>
      </c>
      <c r="AA528" t="n">
        <v>201</v>
      </c>
      <c r="AB528" t="n">
        <v>2</v>
      </c>
      <c r="AC528" t="n">
        <v>3</v>
      </c>
      <c r="AD528" t="n">
        <v>10</v>
      </c>
      <c r="AE528" t="n">
        <v>13</v>
      </c>
      <c r="AF528" t="n">
        <v>3</v>
      </c>
      <c r="AG528" t="n">
        <v>3</v>
      </c>
      <c r="AH528" t="n">
        <v>4</v>
      </c>
      <c r="AI528" t="n">
        <v>5</v>
      </c>
      <c r="AJ528" t="n">
        <v>6</v>
      </c>
      <c r="AK528" t="n">
        <v>7</v>
      </c>
      <c r="AL528" t="n">
        <v>1</v>
      </c>
      <c r="AM528" t="n">
        <v>2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HYPERLINK("https://creighton-primo.hosted.exlibrisgroup.com/primo-explore/search?tab=default_tab&amp;search_scope=EVERYTHING&amp;vid=01CRU&amp;lang=en_US&amp;offset=0&amp;query=any,contains,991002844969702656","Catalog Record")</f>
        <v/>
      </c>
      <c r="AT528">
        <f>HYPERLINK("http://www.worldcat.org/oclc/37489550","WorldCat Record")</f>
        <v/>
      </c>
      <c r="AU528" t="inlineStr">
        <is>
          <t>600827:eng</t>
        </is>
      </c>
      <c r="AV528" t="inlineStr">
        <is>
          <t>37489550</t>
        </is>
      </c>
      <c r="AW528" t="inlineStr">
        <is>
          <t>991002844969702656</t>
        </is>
      </c>
      <c r="AX528" t="inlineStr">
        <is>
          <t>991002844969702656</t>
        </is>
      </c>
      <c r="AY528" t="inlineStr">
        <is>
          <t>2260884310002656</t>
        </is>
      </c>
      <c r="AZ528" t="inlineStr">
        <is>
          <t>BOOK</t>
        </is>
      </c>
      <c r="BB528" t="inlineStr">
        <is>
          <t>9780205270934</t>
        </is>
      </c>
      <c r="BC528" t="inlineStr">
        <is>
          <t>32285003312104</t>
        </is>
      </c>
      <c r="BD528" t="inlineStr">
        <is>
          <t>893504895</t>
        </is>
      </c>
    </row>
    <row r="529">
      <c r="A529" t="inlineStr">
        <is>
          <t>No</t>
        </is>
      </c>
      <c r="B529" t="inlineStr">
        <is>
          <t>P96.T42 S37 2000</t>
        </is>
      </c>
      <c r="C529" t="inlineStr">
        <is>
          <t>0                      P  0096000T  42                 S  37          2000</t>
        </is>
      </c>
      <c r="D529" t="inlineStr">
        <is>
          <t>Haunted media : electronic presence from telegraphy to television / Jeffrey Sconce.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Sconce, Jeffrey, 1962-</t>
        </is>
      </c>
      <c r="L529" t="inlineStr">
        <is>
          <t>Durham, NC : Duke University Press, 2000.</t>
        </is>
      </c>
      <c r="M529" t="inlineStr">
        <is>
          <t>2000</t>
        </is>
      </c>
      <c r="O529" t="inlineStr">
        <is>
          <t>eng</t>
        </is>
      </c>
      <c r="P529" t="inlineStr">
        <is>
          <t>ncu</t>
        </is>
      </c>
      <c r="Q529" t="inlineStr">
        <is>
          <t>Console-ing passions</t>
        </is>
      </c>
      <c r="R529" t="inlineStr">
        <is>
          <t xml:space="preserve">P  </t>
        </is>
      </c>
      <c r="S529" t="n">
        <v>2</v>
      </c>
      <c r="T529" t="n">
        <v>2</v>
      </c>
      <c r="U529" t="inlineStr">
        <is>
          <t>2006-04-13</t>
        </is>
      </c>
      <c r="V529" t="inlineStr">
        <is>
          <t>2006-04-13</t>
        </is>
      </c>
      <c r="W529" t="inlineStr">
        <is>
          <t>2002-04-29</t>
        </is>
      </c>
      <c r="X529" t="inlineStr">
        <is>
          <t>2002-04-29</t>
        </is>
      </c>
      <c r="Y529" t="n">
        <v>809</v>
      </c>
      <c r="Z529" t="n">
        <v>651</v>
      </c>
      <c r="AA529" t="n">
        <v>658</v>
      </c>
      <c r="AB529" t="n">
        <v>5</v>
      </c>
      <c r="AC529" t="n">
        <v>5</v>
      </c>
      <c r="AD529" t="n">
        <v>37</v>
      </c>
      <c r="AE529" t="n">
        <v>37</v>
      </c>
      <c r="AF529" t="n">
        <v>17</v>
      </c>
      <c r="AG529" t="n">
        <v>17</v>
      </c>
      <c r="AH529" t="n">
        <v>8</v>
      </c>
      <c r="AI529" t="n">
        <v>8</v>
      </c>
      <c r="AJ529" t="n">
        <v>18</v>
      </c>
      <c r="AK529" t="n">
        <v>18</v>
      </c>
      <c r="AL529" t="n">
        <v>4</v>
      </c>
      <c r="AM529" t="n">
        <v>4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HYPERLINK("http://catalog.hathitrust.org/Record/004124338","HathiTrust Record")</f>
        <v/>
      </c>
      <c r="AS529">
        <f>HYPERLINK("https://creighton-primo.hosted.exlibrisgroup.com/primo-explore/search?tab=default_tab&amp;search_scope=EVERYTHING&amp;vid=01CRU&amp;lang=en_US&amp;offset=0&amp;query=any,contains,991003784019702656","Catalog Record")</f>
        <v/>
      </c>
      <c r="AT529">
        <f>HYPERLINK("http://www.worldcat.org/oclc/43706959","WorldCat Record")</f>
        <v/>
      </c>
      <c r="AU529" t="inlineStr">
        <is>
          <t>287316561:eng</t>
        </is>
      </c>
      <c r="AV529" t="inlineStr">
        <is>
          <t>43706959</t>
        </is>
      </c>
      <c r="AW529" t="inlineStr">
        <is>
          <t>991003784019702656</t>
        </is>
      </c>
      <c r="AX529" t="inlineStr">
        <is>
          <t>991003784019702656</t>
        </is>
      </c>
      <c r="AY529" t="inlineStr">
        <is>
          <t>2269290290002656</t>
        </is>
      </c>
      <c r="AZ529" t="inlineStr">
        <is>
          <t>BOOK</t>
        </is>
      </c>
      <c r="BB529" t="inlineStr">
        <is>
          <t>9780822325536</t>
        </is>
      </c>
      <c r="BC529" t="inlineStr">
        <is>
          <t>32285004484290</t>
        </is>
      </c>
      <c r="BD529" t="inlineStr">
        <is>
          <t>893904521</t>
        </is>
      </c>
    </row>
    <row r="530">
      <c r="A530" t="inlineStr">
        <is>
          <t>No</t>
        </is>
      </c>
      <c r="B530" t="inlineStr">
        <is>
          <t>P96.T42 S67 1996</t>
        </is>
      </c>
      <c r="C530" t="inlineStr">
        <is>
          <t>0                      P  0096000T  42                 S  67          1996</t>
        </is>
      </c>
      <c r="D530" t="inlineStr">
        <is>
          <t>Electronic eros : bodies and desire in the postindustrial age / by Claudia Springer.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Springer, Claudia, 1956-</t>
        </is>
      </c>
      <c r="L530" t="inlineStr">
        <is>
          <t>Austin : University of Texas Press, 1996.</t>
        </is>
      </c>
      <c r="M530" t="inlineStr">
        <is>
          <t>1996</t>
        </is>
      </c>
      <c r="N530" t="inlineStr">
        <is>
          <t>1st ed.</t>
        </is>
      </c>
      <c r="O530" t="inlineStr">
        <is>
          <t>eng</t>
        </is>
      </c>
      <c r="P530" t="inlineStr">
        <is>
          <t>txu</t>
        </is>
      </c>
      <c r="R530" t="inlineStr">
        <is>
          <t xml:space="preserve">P  </t>
        </is>
      </c>
      <c r="S530" t="n">
        <v>5</v>
      </c>
      <c r="T530" t="n">
        <v>5</v>
      </c>
      <c r="U530" t="inlineStr">
        <is>
          <t>2003-03-24</t>
        </is>
      </c>
      <c r="V530" t="inlineStr">
        <is>
          <t>2003-03-24</t>
        </is>
      </c>
      <c r="W530" t="inlineStr">
        <is>
          <t>1998-01-14</t>
        </is>
      </c>
      <c r="X530" t="inlineStr">
        <is>
          <t>1998-01-14</t>
        </is>
      </c>
      <c r="Y530" t="n">
        <v>474</v>
      </c>
      <c r="Z530" t="n">
        <v>372</v>
      </c>
      <c r="AA530" t="n">
        <v>374</v>
      </c>
      <c r="AB530" t="n">
        <v>3</v>
      </c>
      <c r="AC530" t="n">
        <v>3</v>
      </c>
      <c r="AD530" t="n">
        <v>24</v>
      </c>
      <c r="AE530" t="n">
        <v>24</v>
      </c>
      <c r="AF530" t="n">
        <v>8</v>
      </c>
      <c r="AG530" t="n">
        <v>8</v>
      </c>
      <c r="AH530" t="n">
        <v>7</v>
      </c>
      <c r="AI530" t="n">
        <v>7</v>
      </c>
      <c r="AJ530" t="n">
        <v>13</v>
      </c>
      <c r="AK530" t="n">
        <v>13</v>
      </c>
      <c r="AL530" t="n">
        <v>2</v>
      </c>
      <c r="AM530" t="n">
        <v>2</v>
      </c>
      <c r="AN530" t="n">
        <v>0</v>
      </c>
      <c r="AO530" t="n">
        <v>0</v>
      </c>
      <c r="AP530" t="inlineStr">
        <is>
          <t>No</t>
        </is>
      </c>
      <c r="AQ530" t="inlineStr">
        <is>
          <t>Yes</t>
        </is>
      </c>
      <c r="AR530">
        <f>HYPERLINK("http://catalog.hathitrust.org/Record/003077575","HathiTrust Record")</f>
        <v/>
      </c>
      <c r="AS530">
        <f>HYPERLINK("https://creighton-primo.hosted.exlibrisgroup.com/primo-explore/search?tab=default_tab&amp;search_scope=EVERYTHING&amp;vid=01CRU&amp;lang=en_US&amp;offset=0&amp;query=any,contains,991002533339702656","Catalog Record")</f>
        <v/>
      </c>
      <c r="AT530">
        <f>HYPERLINK("http://www.worldcat.org/oclc/32923159","WorldCat Record")</f>
        <v/>
      </c>
      <c r="AU530" t="inlineStr">
        <is>
          <t>37647445:eng</t>
        </is>
      </c>
      <c r="AV530" t="inlineStr">
        <is>
          <t>32923159</t>
        </is>
      </c>
      <c r="AW530" t="inlineStr">
        <is>
          <t>991002533339702656</t>
        </is>
      </c>
      <c r="AX530" t="inlineStr">
        <is>
          <t>991002533339702656</t>
        </is>
      </c>
      <c r="AY530" t="inlineStr">
        <is>
          <t>2261863530002656</t>
        </is>
      </c>
      <c r="AZ530" t="inlineStr">
        <is>
          <t>BOOK</t>
        </is>
      </c>
      <c r="BB530" t="inlineStr">
        <is>
          <t>9780292776968</t>
        </is>
      </c>
      <c r="BC530" t="inlineStr">
        <is>
          <t>32285003303400</t>
        </is>
      </c>
      <c r="BD530" t="inlineStr">
        <is>
          <t>893530121</t>
        </is>
      </c>
    </row>
    <row r="531">
      <c r="A531" t="inlineStr">
        <is>
          <t>No</t>
        </is>
      </c>
      <c r="B531" t="inlineStr">
        <is>
          <t>P96.T42 W5 1986</t>
        </is>
      </c>
      <c r="C531" t="inlineStr">
        <is>
          <t>0                      P  0096000T  42                 W  5           1986</t>
        </is>
      </c>
      <c r="D531" t="inlineStr">
        <is>
          <t>Misunderstanding media / Brian Winston.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Winston, Brian.</t>
        </is>
      </c>
      <c r="L531" t="inlineStr">
        <is>
          <t>Cambridge, Mass. : Harvard University Press, 1986.</t>
        </is>
      </c>
      <c r="M531" t="inlineStr">
        <is>
          <t>1986</t>
        </is>
      </c>
      <c r="O531" t="inlineStr">
        <is>
          <t>eng</t>
        </is>
      </c>
      <c r="P531" t="inlineStr">
        <is>
          <t>mau</t>
        </is>
      </c>
      <c r="R531" t="inlineStr">
        <is>
          <t xml:space="preserve">P  </t>
        </is>
      </c>
      <c r="S531" t="n">
        <v>3</v>
      </c>
      <c r="T531" t="n">
        <v>3</v>
      </c>
      <c r="U531" t="inlineStr">
        <is>
          <t>2007-12-13</t>
        </is>
      </c>
      <c r="V531" t="inlineStr">
        <is>
          <t>2007-12-13</t>
        </is>
      </c>
      <c r="W531" t="inlineStr">
        <is>
          <t>1993-04-01</t>
        </is>
      </c>
      <c r="X531" t="inlineStr">
        <is>
          <t>1993-04-01</t>
        </is>
      </c>
      <c r="Y531" t="n">
        <v>628</v>
      </c>
      <c r="Z531" t="n">
        <v>554</v>
      </c>
      <c r="AA531" t="n">
        <v>613</v>
      </c>
      <c r="AB531" t="n">
        <v>6</v>
      </c>
      <c r="AC531" t="n">
        <v>6</v>
      </c>
      <c r="AD531" t="n">
        <v>32</v>
      </c>
      <c r="AE531" t="n">
        <v>32</v>
      </c>
      <c r="AF531" t="n">
        <v>12</v>
      </c>
      <c r="AG531" t="n">
        <v>12</v>
      </c>
      <c r="AH531" t="n">
        <v>6</v>
      </c>
      <c r="AI531" t="n">
        <v>6</v>
      </c>
      <c r="AJ531" t="n">
        <v>17</v>
      </c>
      <c r="AK531" t="n">
        <v>17</v>
      </c>
      <c r="AL531" t="n">
        <v>5</v>
      </c>
      <c r="AM531" t="n">
        <v>5</v>
      </c>
      <c r="AN531" t="n">
        <v>0</v>
      </c>
      <c r="AO531" t="n">
        <v>0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HYPERLINK("http://catalog.hathitrust.org/Record/000403754","HathiTrust Record")</f>
        <v/>
      </c>
      <c r="AS531">
        <f>HYPERLINK("https://creighton-primo.hosted.exlibrisgroup.com/primo-explore/search?tab=default_tab&amp;search_scope=EVERYTHING&amp;vid=01CRU&amp;lang=en_US&amp;offset=0&amp;query=any,contains,991000813659702656","Catalog Record")</f>
        <v/>
      </c>
      <c r="AT531">
        <f>HYPERLINK("http://www.worldcat.org/oclc/13333883","WorldCat Record")</f>
        <v/>
      </c>
      <c r="AU531" t="inlineStr">
        <is>
          <t>7561876:eng</t>
        </is>
      </c>
      <c r="AV531" t="inlineStr">
        <is>
          <t>13333883</t>
        </is>
      </c>
      <c r="AW531" t="inlineStr">
        <is>
          <t>991000813659702656</t>
        </is>
      </c>
      <c r="AX531" t="inlineStr">
        <is>
          <t>991000813659702656</t>
        </is>
      </c>
      <c r="AY531" t="inlineStr">
        <is>
          <t>2262170200002656</t>
        </is>
      </c>
      <c r="AZ531" t="inlineStr">
        <is>
          <t>BOOK</t>
        </is>
      </c>
      <c r="BB531" t="inlineStr">
        <is>
          <t>9780674576636</t>
        </is>
      </c>
      <c r="BC531" t="inlineStr">
        <is>
          <t>32285001612653</t>
        </is>
      </c>
      <c r="BD531" t="inlineStr">
        <is>
          <t>893438623</t>
        </is>
      </c>
    </row>
    <row r="532">
      <c r="A532" t="inlineStr">
        <is>
          <t>No</t>
        </is>
      </c>
      <c r="B532" t="inlineStr">
        <is>
          <t>P96.T422 U634 1994</t>
        </is>
      </c>
      <c r="C532" t="inlineStr">
        <is>
          <t>0                      P  0096000T  422                U  634         1994</t>
        </is>
      </c>
      <c r="D532" t="inlineStr">
        <is>
          <t>Old media/new media : mass communications in the information age / Wilson Dizard, Jr.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Dizard, Wilson P.</t>
        </is>
      </c>
      <c r="L532" t="inlineStr">
        <is>
          <t>New York : Longman, c1994.</t>
        </is>
      </c>
      <c r="M532" t="inlineStr">
        <is>
          <t>1994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P  </t>
        </is>
      </c>
      <c r="S532" t="n">
        <v>6</v>
      </c>
      <c r="T532" t="n">
        <v>6</v>
      </c>
      <c r="U532" t="inlineStr">
        <is>
          <t>1999-12-07</t>
        </is>
      </c>
      <c r="V532" t="inlineStr">
        <is>
          <t>1999-12-07</t>
        </is>
      </c>
      <c r="W532" t="inlineStr">
        <is>
          <t>1995-01-03</t>
        </is>
      </c>
      <c r="X532" t="inlineStr">
        <is>
          <t>1995-01-03</t>
        </is>
      </c>
      <c r="Y532" t="n">
        <v>446</v>
      </c>
      <c r="Z532" t="n">
        <v>385</v>
      </c>
      <c r="AA532" t="n">
        <v>543</v>
      </c>
      <c r="AB532" t="n">
        <v>6</v>
      </c>
      <c r="AC532" t="n">
        <v>6</v>
      </c>
      <c r="AD532" t="n">
        <v>29</v>
      </c>
      <c r="AE532" t="n">
        <v>35</v>
      </c>
      <c r="AF532" t="n">
        <v>10</v>
      </c>
      <c r="AG532" t="n">
        <v>16</v>
      </c>
      <c r="AH532" t="n">
        <v>8</v>
      </c>
      <c r="AI532" t="n">
        <v>8</v>
      </c>
      <c r="AJ532" t="n">
        <v>13</v>
      </c>
      <c r="AK532" t="n">
        <v>15</v>
      </c>
      <c r="AL532" t="n">
        <v>5</v>
      </c>
      <c r="AM532" t="n">
        <v>5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HYPERLINK("http://catalog.hathitrust.org/Record/002795255","HathiTrust Record")</f>
        <v/>
      </c>
      <c r="AS532">
        <f>HYPERLINK("https://creighton-primo.hosted.exlibrisgroup.com/primo-explore/search?tab=default_tab&amp;search_scope=EVERYTHING&amp;vid=01CRU&amp;lang=en_US&amp;offset=0&amp;query=any,contains,991002193559702656","Catalog Record")</f>
        <v/>
      </c>
      <c r="AT532">
        <f>HYPERLINK("http://www.worldcat.org/oclc/28213593","WorldCat Record")</f>
        <v/>
      </c>
      <c r="AU532" t="inlineStr">
        <is>
          <t>26770831:eng</t>
        </is>
      </c>
      <c r="AV532" t="inlineStr">
        <is>
          <t>28213593</t>
        </is>
      </c>
      <c r="AW532" t="inlineStr">
        <is>
          <t>991002193559702656</t>
        </is>
      </c>
      <c r="AX532" t="inlineStr">
        <is>
          <t>991002193559702656</t>
        </is>
      </c>
      <c r="AY532" t="inlineStr">
        <is>
          <t>2264481940002656</t>
        </is>
      </c>
      <c r="AZ532" t="inlineStr">
        <is>
          <t>BOOK</t>
        </is>
      </c>
      <c r="BB532" t="inlineStr">
        <is>
          <t>9780801311512</t>
        </is>
      </c>
      <c r="BC532" t="inlineStr">
        <is>
          <t>32285001990109</t>
        </is>
      </c>
      <c r="BD532" t="inlineStr">
        <is>
          <t>893433588</t>
        </is>
      </c>
    </row>
    <row r="533">
      <c r="A533" t="inlineStr">
        <is>
          <t>No</t>
        </is>
      </c>
      <c r="B533" t="inlineStr">
        <is>
          <t>P96.T47 C75 2003</t>
        </is>
      </c>
      <c r="C533" t="inlineStr">
        <is>
          <t>0                      P  0096000T  47                 C  75          2003</t>
        </is>
      </c>
      <c r="D533" t="inlineStr">
        <is>
          <t>Crisis communications : lessons from September 11 / edited by A. Michael Noll.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L533" t="inlineStr">
        <is>
          <t>Lanham, Md. : Rowman &amp; Littlefield, c2003.</t>
        </is>
      </c>
      <c r="M533" t="inlineStr">
        <is>
          <t>2003</t>
        </is>
      </c>
      <c r="O533" t="inlineStr">
        <is>
          <t>eng</t>
        </is>
      </c>
      <c r="P533" t="inlineStr">
        <is>
          <t>mdu</t>
        </is>
      </c>
      <c r="R533" t="inlineStr">
        <is>
          <t xml:space="preserve">P  </t>
        </is>
      </c>
      <c r="S533" t="n">
        <v>3</v>
      </c>
      <c r="T533" t="n">
        <v>3</v>
      </c>
      <c r="U533" t="inlineStr">
        <is>
          <t>2005-03-14</t>
        </is>
      </c>
      <c r="V533" t="inlineStr">
        <is>
          <t>2005-03-14</t>
        </is>
      </c>
      <c r="W533" t="inlineStr">
        <is>
          <t>2005-01-13</t>
        </is>
      </c>
      <c r="X533" t="inlineStr">
        <is>
          <t>2005-01-13</t>
        </is>
      </c>
      <c r="Y533" t="n">
        <v>487</v>
      </c>
      <c r="Z533" t="n">
        <v>409</v>
      </c>
      <c r="AA533" t="n">
        <v>428</v>
      </c>
      <c r="AB533" t="n">
        <v>3</v>
      </c>
      <c r="AC533" t="n">
        <v>3</v>
      </c>
      <c r="AD533" t="n">
        <v>32</v>
      </c>
      <c r="AE533" t="n">
        <v>32</v>
      </c>
      <c r="AF533" t="n">
        <v>17</v>
      </c>
      <c r="AG533" t="n">
        <v>17</v>
      </c>
      <c r="AH533" t="n">
        <v>7</v>
      </c>
      <c r="AI533" t="n">
        <v>7</v>
      </c>
      <c r="AJ533" t="n">
        <v>13</v>
      </c>
      <c r="AK533" t="n">
        <v>13</v>
      </c>
      <c r="AL533" t="n">
        <v>2</v>
      </c>
      <c r="AM533" t="n">
        <v>2</v>
      </c>
      <c r="AN533" t="n">
        <v>1</v>
      </c>
      <c r="AO533" t="n">
        <v>1</v>
      </c>
      <c r="AP533" t="inlineStr">
        <is>
          <t>No</t>
        </is>
      </c>
      <c r="AQ533" t="inlineStr">
        <is>
          <t>Yes</t>
        </is>
      </c>
      <c r="AR533">
        <f>HYPERLINK("http://catalog.hathitrust.org/Record/004356341","HathiTrust Record")</f>
        <v/>
      </c>
      <c r="AS533">
        <f>HYPERLINK("https://creighton-primo.hosted.exlibrisgroup.com/primo-explore/search?tab=default_tab&amp;search_scope=EVERYTHING&amp;vid=01CRU&amp;lang=en_US&amp;offset=0&amp;query=any,contains,991004426819702656","Catalog Record")</f>
        <v/>
      </c>
      <c r="AT533">
        <f>HYPERLINK("http://www.worldcat.org/oclc/52348885","WorldCat Record")</f>
        <v/>
      </c>
      <c r="AU533" t="inlineStr">
        <is>
          <t>839306242:eng</t>
        </is>
      </c>
      <c r="AV533" t="inlineStr">
        <is>
          <t>52348885</t>
        </is>
      </c>
      <c r="AW533" t="inlineStr">
        <is>
          <t>991004426819702656</t>
        </is>
      </c>
      <c r="AX533" t="inlineStr">
        <is>
          <t>991004426819702656</t>
        </is>
      </c>
      <c r="AY533" t="inlineStr">
        <is>
          <t>2262048760002656</t>
        </is>
      </c>
      <c r="AZ533" t="inlineStr">
        <is>
          <t>BOOK</t>
        </is>
      </c>
      <c r="BB533" t="inlineStr">
        <is>
          <t>9780742525429</t>
        </is>
      </c>
      <c r="BC533" t="inlineStr">
        <is>
          <t>32285005020069</t>
        </is>
      </c>
      <c r="BD533" t="inlineStr">
        <is>
          <t>893337714</t>
        </is>
      </c>
    </row>
    <row r="534">
      <c r="A534" t="inlineStr">
        <is>
          <t>No</t>
        </is>
      </c>
      <c r="B534" t="inlineStr">
        <is>
          <t>P96.T47 T47 1990</t>
        </is>
      </c>
      <c r="C534" t="inlineStr">
        <is>
          <t>0                      P  0096000T  47                 T  47          1990</t>
        </is>
      </c>
      <c r="D534" t="inlineStr">
        <is>
          <t>Terrorism &amp; the media : dilemmas for government, journalists &amp; the public / edited by Yonah Alexander and Richard Latter.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Washington : Brassey's (US), c1990.</t>
        </is>
      </c>
      <c r="M534" t="inlineStr">
        <is>
          <t>1990</t>
        </is>
      </c>
      <c r="O534" t="inlineStr">
        <is>
          <t>eng</t>
        </is>
      </c>
      <c r="P534" t="inlineStr">
        <is>
          <t>dcu</t>
        </is>
      </c>
      <c r="Q534" t="inlineStr">
        <is>
          <t>Brassey's (US) terrorism library</t>
        </is>
      </c>
      <c r="R534" t="inlineStr">
        <is>
          <t xml:space="preserve">P  </t>
        </is>
      </c>
      <c r="S534" t="n">
        <v>12</v>
      </c>
      <c r="T534" t="n">
        <v>12</v>
      </c>
      <c r="U534" t="inlineStr">
        <is>
          <t>2002-04-21</t>
        </is>
      </c>
      <c r="V534" t="inlineStr">
        <is>
          <t>2002-04-21</t>
        </is>
      </c>
      <c r="W534" t="inlineStr">
        <is>
          <t>1991-04-17</t>
        </is>
      </c>
      <c r="X534" t="inlineStr">
        <is>
          <t>1991-04-17</t>
        </is>
      </c>
      <c r="Y534" t="n">
        <v>268</v>
      </c>
      <c r="Z534" t="n">
        <v>184</v>
      </c>
      <c r="AA534" t="n">
        <v>189</v>
      </c>
      <c r="AB534" t="n">
        <v>2</v>
      </c>
      <c r="AC534" t="n">
        <v>2</v>
      </c>
      <c r="AD534" t="n">
        <v>14</v>
      </c>
      <c r="AE534" t="n">
        <v>14</v>
      </c>
      <c r="AF534" t="n">
        <v>5</v>
      </c>
      <c r="AG534" t="n">
        <v>5</v>
      </c>
      <c r="AH534" t="n">
        <v>2</v>
      </c>
      <c r="AI534" t="n">
        <v>2</v>
      </c>
      <c r="AJ534" t="n">
        <v>7</v>
      </c>
      <c r="AK534" t="n">
        <v>7</v>
      </c>
      <c r="AL534" t="n">
        <v>1</v>
      </c>
      <c r="AM534" t="n">
        <v>1</v>
      </c>
      <c r="AN534" t="n">
        <v>2</v>
      </c>
      <c r="AO534" t="n">
        <v>2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HYPERLINK("https://creighton-primo.hosted.exlibrisgroup.com/primo-explore/search?tab=default_tab&amp;search_scope=EVERYTHING&amp;vid=01CRU&amp;lang=en_US&amp;offset=0&amp;query=any,contains,991001609209702656","Catalog Record")</f>
        <v/>
      </c>
      <c r="AT534">
        <f>HYPERLINK("http://www.worldcat.org/oclc/20722828","WorldCat Record")</f>
        <v/>
      </c>
      <c r="AU534" t="inlineStr">
        <is>
          <t>501252087:eng</t>
        </is>
      </c>
      <c r="AV534" t="inlineStr">
        <is>
          <t>20722828</t>
        </is>
      </c>
      <c r="AW534" t="inlineStr">
        <is>
          <t>991001609209702656</t>
        </is>
      </c>
      <c r="AX534" t="inlineStr">
        <is>
          <t>991001609209702656</t>
        </is>
      </c>
      <c r="AY534" t="inlineStr">
        <is>
          <t>2272149370002656</t>
        </is>
      </c>
      <c r="AZ534" t="inlineStr">
        <is>
          <t>BOOK</t>
        </is>
      </c>
      <c r="BC534" t="inlineStr">
        <is>
          <t>32285000568567</t>
        </is>
      </c>
      <c r="BD534" t="inlineStr">
        <is>
          <t>893866332</t>
        </is>
      </c>
    </row>
    <row r="535">
      <c r="A535" t="inlineStr">
        <is>
          <t>No</t>
        </is>
      </c>
      <c r="B535" t="inlineStr">
        <is>
          <t>P96.T47 T48 1992</t>
        </is>
      </c>
      <c r="C535" t="inlineStr">
        <is>
          <t>0                      P  0096000T  47                 T  48          1992</t>
        </is>
      </c>
      <c r="D535" t="inlineStr">
        <is>
          <t>Terrorism and the media / edited by David L. Paletz, Alex P. Schmid.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Newbury Park, CA : Sage, 1992.</t>
        </is>
      </c>
      <c r="M535" t="inlineStr">
        <is>
          <t>1992</t>
        </is>
      </c>
      <c r="O535" t="inlineStr">
        <is>
          <t>eng</t>
        </is>
      </c>
      <c r="P535" t="inlineStr">
        <is>
          <t>cau</t>
        </is>
      </c>
      <c r="R535" t="inlineStr">
        <is>
          <t xml:space="preserve">P  </t>
        </is>
      </c>
      <c r="S535" t="n">
        <v>10</v>
      </c>
      <c r="T535" t="n">
        <v>10</v>
      </c>
      <c r="U535" t="inlineStr">
        <is>
          <t>2000-02-28</t>
        </is>
      </c>
      <c r="V535" t="inlineStr">
        <is>
          <t>2000-02-28</t>
        </is>
      </c>
      <c r="W535" t="inlineStr">
        <is>
          <t>1992-10-08</t>
        </is>
      </c>
      <c r="X535" t="inlineStr">
        <is>
          <t>1992-10-08</t>
        </is>
      </c>
      <c r="Y535" t="n">
        <v>638</v>
      </c>
      <c r="Z535" t="n">
        <v>494</v>
      </c>
      <c r="AA535" t="n">
        <v>501</v>
      </c>
      <c r="AB535" t="n">
        <v>4</v>
      </c>
      <c r="AC535" t="n">
        <v>4</v>
      </c>
      <c r="AD535" t="n">
        <v>32</v>
      </c>
      <c r="AE535" t="n">
        <v>32</v>
      </c>
      <c r="AF535" t="n">
        <v>15</v>
      </c>
      <c r="AG535" t="n">
        <v>15</v>
      </c>
      <c r="AH535" t="n">
        <v>6</v>
      </c>
      <c r="AI535" t="n">
        <v>6</v>
      </c>
      <c r="AJ535" t="n">
        <v>16</v>
      </c>
      <c r="AK535" t="n">
        <v>16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HYPERLINK("http://catalog.hathitrust.org/Record/002545508","HathiTrust Record")</f>
        <v/>
      </c>
      <c r="AS535">
        <f>HYPERLINK("https://creighton-primo.hosted.exlibrisgroup.com/primo-explore/search?tab=default_tab&amp;search_scope=EVERYTHING&amp;vid=01CRU&amp;lang=en_US&amp;offset=0&amp;query=any,contains,991001994069702656","Catalog Record")</f>
        <v/>
      </c>
      <c r="AT535">
        <f>HYPERLINK("http://www.worldcat.org/oclc/25317682","WorldCat Record")</f>
        <v/>
      </c>
      <c r="AU535" t="inlineStr">
        <is>
          <t>365988415:eng</t>
        </is>
      </c>
      <c r="AV535" t="inlineStr">
        <is>
          <t>25317682</t>
        </is>
      </c>
      <c r="AW535" t="inlineStr">
        <is>
          <t>991001994069702656</t>
        </is>
      </c>
      <c r="AX535" t="inlineStr">
        <is>
          <t>991001994069702656</t>
        </is>
      </c>
      <c r="AY535" t="inlineStr">
        <is>
          <t>2265427650002656</t>
        </is>
      </c>
      <c r="AZ535" t="inlineStr">
        <is>
          <t>BOOK</t>
        </is>
      </c>
      <c r="BB535" t="inlineStr">
        <is>
          <t>9780803944824</t>
        </is>
      </c>
      <c r="BC535" t="inlineStr">
        <is>
          <t>32285001316461</t>
        </is>
      </c>
      <c r="BD535" t="inlineStr">
        <is>
          <t>893872981</t>
        </is>
      </c>
    </row>
    <row r="536">
      <c r="A536" t="inlineStr">
        <is>
          <t>No</t>
        </is>
      </c>
      <c r="B536" t="inlineStr">
        <is>
          <t>P96.T472 A43 1994</t>
        </is>
      </c>
      <c r="C536" t="inlineStr">
        <is>
          <t>0                      P  0096000T  472                A  43          1994</t>
        </is>
      </c>
      <c r="D536" t="inlineStr">
        <is>
          <t>Terrorism and the news media : a selected, annotated bibliography / by A. Odasuo Alali and Gary W. Byrd.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Alali, A. Odasuo, 1957-</t>
        </is>
      </c>
      <c r="L536" t="inlineStr">
        <is>
          <t>Jefferson, N.C. : McFarland, c1994.</t>
        </is>
      </c>
      <c r="M536" t="inlineStr">
        <is>
          <t>1994</t>
        </is>
      </c>
      <c r="O536" t="inlineStr">
        <is>
          <t>eng</t>
        </is>
      </c>
      <c r="P536" t="inlineStr">
        <is>
          <t>ncu</t>
        </is>
      </c>
      <c r="R536" t="inlineStr">
        <is>
          <t xml:space="preserve">P  </t>
        </is>
      </c>
      <c r="S536" t="n">
        <v>7</v>
      </c>
      <c r="T536" t="n">
        <v>7</v>
      </c>
      <c r="U536" t="inlineStr">
        <is>
          <t>2001-10-21</t>
        </is>
      </c>
      <c r="V536" t="inlineStr">
        <is>
          <t>2001-10-21</t>
        </is>
      </c>
      <c r="W536" t="inlineStr">
        <is>
          <t>1996-01-19</t>
        </is>
      </c>
      <c r="X536" t="inlineStr">
        <is>
          <t>1996-01-19</t>
        </is>
      </c>
      <c r="Y536" t="n">
        <v>245</v>
      </c>
      <c r="Z536" t="n">
        <v>195</v>
      </c>
      <c r="AA536" t="n">
        <v>202</v>
      </c>
      <c r="AB536" t="n">
        <v>4</v>
      </c>
      <c r="AC536" t="n">
        <v>4</v>
      </c>
      <c r="AD536" t="n">
        <v>7</v>
      </c>
      <c r="AE536" t="n">
        <v>7</v>
      </c>
      <c r="AF536" t="n">
        <v>1</v>
      </c>
      <c r="AG536" t="n">
        <v>1</v>
      </c>
      <c r="AH536" t="n">
        <v>1</v>
      </c>
      <c r="AI536" t="n">
        <v>1</v>
      </c>
      <c r="AJ536" t="n">
        <v>3</v>
      </c>
      <c r="AK536" t="n">
        <v>3</v>
      </c>
      <c r="AL536" t="n">
        <v>3</v>
      </c>
      <c r="AM536" t="n">
        <v>3</v>
      </c>
      <c r="AN536" t="n">
        <v>1</v>
      </c>
      <c r="AO536" t="n">
        <v>1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HYPERLINK("http://catalog.hathitrust.org/Record/002891809","HathiTrust Record")</f>
        <v/>
      </c>
      <c r="AS536">
        <f>HYPERLINK("https://creighton-primo.hosted.exlibrisgroup.com/primo-explore/search?tab=default_tab&amp;search_scope=EVERYTHING&amp;vid=01CRU&amp;lang=en_US&amp;offset=0&amp;query=any,contains,991002293659702656","Catalog Record")</f>
        <v/>
      </c>
      <c r="AT536">
        <f>HYPERLINK("http://www.worldcat.org/oclc/29752049","WorldCat Record")</f>
        <v/>
      </c>
      <c r="AU536" t="inlineStr">
        <is>
          <t>287466647:eng</t>
        </is>
      </c>
      <c r="AV536" t="inlineStr">
        <is>
          <t>29752049</t>
        </is>
      </c>
      <c r="AW536" t="inlineStr">
        <is>
          <t>991002293659702656</t>
        </is>
      </c>
      <c r="AX536" t="inlineStr">
        <is>
          <t>991002293659702656</t>
        </is>
      </c>
      <c r="AY536" t="inlineStr">
        <is>
          <t>2260743380002656</t>
        </is>
      </c>
      <c r="AZ536" t="inlineStr">
        <is>
          <t>BOOK</t>
        </is>
      </c>
      <c r="BB536" t="inlineStr">
        <is>
          <t>9780899509044</t>
        </is>
      </c>
      <c r="BC536" t="inlineStr">
        <is>
          <t>32285002119997</t>
        </is>
      </c>
      <c r="BD536" t="inlineStr">
        <is>
          <t>893809403</t>
        </is>
      </c>
    </row>
    <row r="537">
      <c r="A537" t="inlineStr">
        <is>
          <t>No</t>
        </is>
      </c>
      <c r="B537" t="inlineStr">
        <is>
          <t>P96.T472 U66 1994</t>
        </is>
      </c>
      <c r="C537" t="inlineStr">
        <is>
          <t>0                      P  0096000T  472                U  66          1994</t>
        </is>
      </c>
      <c r="D537" t="inlineStr">
        <is>
          <t>Terrorism and the media : from the Iran hostage crisis to the World Trade Center bombing / Brigitte L. Nacos.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Nacos, Brigitte Lebens.</t>
        </is>
      </c>
      <c r="L537" t="inlineStr">
        <is>
          <t>New York : Columbia University Press, c1994.</t>
        </is>
      </c>
      <c r="M537" t="inlineStr">
        <is>
          <t>1994</t>
        </is>
      </c>
      <c r="O537" t="inlineStr">
        <is>
          <t>eng</t>
        </is>
      </c>
      <c r="P537" t="inlineStr">
        <is>
          <t>nyu</t>
        </is>
      </c>
      <c r="R537" t="inlineStr">
        <is>
          <t xml:space="preserve">P  </t>
        </is>
      </c>
      <c r="S537" t="n">
        <v>9</v>
      </c>
      <c r="T537" t="n">
        <v>9</v>
      </c>
      <c r="U537" t="inlineStr">
        <is>
          <t>1999-09-19</t>
        </is>
      </c>
      <c r="V537" t="inlineStr">
        <is>
          <t>1999-09-19</t>
        </is>
      </c>
      <c r="W537" t="inlineStr">
        <is>
          <t>1997-01-17</t>
        </is>
      </c>
      <c r="X537" t="inlineStr">
        <is>
          <t>1997-01-17</t>
        </is>
      </c>
      <c r="Y537" t="n">
        <v>705</v>
      </c>
      <c r="Z537" t="n">
        <v>569</v>
      </c>
      <c r="AA537" t="n">
        <v>576</v>
      </c>
      <c r="AB537" t="n">
        <v>4</v>
      </c>
      <c r="AC537" t="n">
        <v>4</v>
      </c>
      <c r="AD537" t="n">
        <v>34</v>
      </c>
      <c r="AE537" t="n">
        <v>34</v>
      </c>
      <c r="AF537" t="n">
        <v>15</v>
      </c>
      <c r="AG537" t="n">
        <v>15</v>
      </c>
      <c r="AH537" t="n">
        <v>8</v>
      </c>
      <c r="AI537" t="n">
        <v>8</v>
      </c>
      <c r="AJ537" t="n">
        <v>17</v>
      </c>
      <c r="AK537" t="n">
        <v>17</v>
      </c>
      <c r="AL537" t="n">
        <v>3</v>
      </c>
      <c r="AM537" t="n">
        <v>3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HYPERLINK("https://creighton-primo.hosted.exlibrisgroup.com/primo-explore/search?tab=default_tab&amp;search_scope=EVERYTHING&amp;vid=01CRU&amp;lang=en_US&amp;offset=0&amp;query=any,contains,991002309789702656","Catalog Record")</f>
        <v/>
      </c>
      <c r="AT537">
        <f>HYPERLINK("http://www.worldcat.org/oclc/29956241","WorldCat Record")</f>
        <v/>
      </c>
      <c r="AU537" t="inlineStr">
        <is>
          <t>836753301:eng</t>
        </is>
      </c>
      <c r="AV537" t="inlineStr">
        <is>
          <t>29956241</t>
        </is>
      </c>
      <c r="AW537" t="inlineStr">
        <is>
          <t>991002309789702656</t>
        </is>
      </c>
      <c r="AX537" t="inlineStr">
        <is>
          <t>991002309789702656</t>
        </is>
      </c>
      <c r="AY537" t="inlineStr">
        <is>
          <t>2261060030002656</t>
        </is>
      </c>
      <c r="AZ537" t="inlineStr">
        <is>
          <t>BOOK</t>
        </is>
      </c>
      <c r="BB537" t="inlineStr">
        <is>
          <t>9780231100144</t>
        </is>
      </c>
      <c r="BC537" t="inlineStr">
        <is>
          <t>32285002409083</t>
        </is>
      </c>
      <c r="BD537" t="inlineStr">
        <is>
          <t>893609707</t>
        </is>
      </c>
    </row>
    <row r="538">
      <c r="A538" t="inlineStr">
        <is>
          <t>No</t>
        </is>
      </c>
      <c r="B538" t="inlineStr">
        <is>
          <t>P96.V5 B65 1998</t>
        </is>
      </c>
      <c r="C538" t="inlineStr">
        <is>
          <t>0                      P  0096000V  5                  B  65          1998</t>
        </is>
      </c>
      <c r="D538" t="inlineStr">
        <is>
          <t>Mayhem : violence as public entertainment / Sissela Bok.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Bok, Sissela.</t>
        </is>
      </c>
      <c r="L538" t="inlineStr">
        <is>
          <t>Reading, Mass. : Addison-Wesley, c1998.</t>
        </is>
      </c>
      <c r="M538" t="inlineStr">
        <is>
          <t>1998</t>
        </is>
      </c>
      <c r="O538" t="inlineStr">
        <is>
          <t>eng</t>
        </is>
      </c>
      <c r="P538" t="inlineStr">
        <is>
          <t>mau</t>
        </is>
      </c>
      <c r="R538" t="inlineStr">
        <is>
          <t xml:space="preserve">P  </t>
        </is>
      </c>
      <c r="S538" t="n">
        <v>1</v>
      </c>
      <c r="T538" t="n">
        <v>1</v>
      </c>
      <c r="U538" t="inlineStr">
        <is>
          <t>2001-11-30</t>
        </is>
      </c>
      <c r="V538" t="inlineStr">
        <is>
          <t>2001-11-30</t>
        </is>
      </c>
      <c r="W538" t="inlineStr">
        <is>
          <t>1998-06-29</t>
        </is>
      </c>
      <c r="X538" t="inlineStr">
        <is>
          <t>1998-06-29</t>
        </is>
      </c>
      <c r="Y538" t="n">
        <v>1224</v>
      </c>
      <c r="Z538" t="n">
        <v>1156</v>
      </c>
      <c r="AA538" t="n">
        <v>1303</v>
      </c>
      <c r="AB538" t="n">
        <v>8</v>
      </c>
      <c r="AC538" t="n">
        <v>8</v>
      </c>
      <c r="AD538" t="n">
        <v>41</v>
      </c>
      <c r="AE538" t="n">
        <v>48</v>
      </c>
      <c r="AF538" t="n">
        <v>15</v>
      </c>
      <c r="AG538" t="n">
        <v>17</v>
      </c>
      <c r="AH538" t="n">
        <v>9</v>
      </c>
      <c r="AI538" t="n">
        <v>11</v>
      </c>
      <c r="AJ538" t="n">
        <v>17</v>
      </c>
      <c r="AK538" t="n">
        <v>21</v>
      </c>
      <c r="AL538" t="n">
        <v>7</v>
      </c>
      <c r="AM538" t="n">
        <v>7</v>
      </c>
      <c r="AN538" t="n">
        <v>2</v>
      </c>
      <c r="AO538" t="n">
        <v>2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HYPERLINK("http://catalog.hathitrust.org/Record/003973158","HathiTrust Record")</f>
        <v/>
      </c>
      <c r="AS538">
        <f>HYPERLINK("https://creighton-primo.hosted.exlibrisgroup.com/primo-explore/search?tab=default_tab&amp;search_scope=EVERYTHING&amp;vid=01CRU&amp;lang=en_US&amp;offset=0&amp;query=any,contains,991002899669702656","Catalog Record")</f>
        <v/>
      </c>
      <c r="AT538">
        <f>HYPERLINK("http://www.worldcat.org/oclc/38218736","WorldCat Record")</f>
        <v/>
      </c>
      <c r="AU538" t="inlineStr">
        <is>
          <t>41849749:eng</t>
        </is>
      </c>
      <c r="AV538" t="inlineStr">
        <is>
          <t>38218736</t>
        </is>
      </c>
      <c r="AW538" t="inlineStr">
        <is>
          <t>991002899669702656</t>
        </is>
      </c>
      <c r="AX538" t="inlineStr">
        <is>
          <t>991002899669702656</t>
        </is>
      </c>
      <c r="AY538" t="inlineStr">
        <is>
          <t>2263840540002656</t>
        </is>
      </c>
      <c r="AZ538" t="inlineStr">
        <is>
          <t>BOOK</t>
        </is>
      </c>
      <c r="BB538" t="inlineStr">
        <is>
          <t>9780201489798</t>
        </is>
      </c>
      <c r="BC538" t="inlineStr">
        <is>
          <t>32285003424289</t>
        </is>
      </c>
      <c r="BD538" t="inlineStr">
        <is>
          <t>893598039</t>
        </is>
      </c>
    </row>
    <row r="539">
      <c r="A539" t="inlineStr">
        <is>
          <t>No</t>
        </is>
      </c>
      <c r="B539" t="inlineStr">
        <is>
          <t>P96.V52 G745 1997</t>
        </is>
      </c>
      <c r="C539" t="inlineStr">
        <is>
          <t>0                      P  0096000V  52                 G  745         1997</t>
        </is>
      </c>
      <c r="D539" t="inlineStr">
        <is>
          <t>Ill effects : the media/violence debate / edited by Martin Barker and Julian Petley.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London ; New York : Routledge, 1997.</t>
        </is>
      </c>
      <c r="M539" t="inlineStr">
        <is>
          <t>1997</t>
        </is>
      </c>
      <c r="O539" t="inlineStr">
        <is>
          <t>eng</t>
        </is>
      </c>
      <c r="P539" t="inlineStr">
        <is>
          <t>enk</t>
        </is>
      </c>
      <c r="Q539" t="inlineStr">
        <is>
          <t>Communication and society</t>
        </is>
      </c>
      <c r="R539" t="inlineStr">
        <is>
          <t xml:space="preserve">P  </t>
        </is>
      </c>
      <c r="S539" t="n">
        <v>5</v>
      </c>
      <c r="T539" t="n">
        <v>5</v>
      </c>
      <c r="U539" t="inlineStr">
        <is>
          <t>2003-05-06</t>
        </is>
      </c>
      <c r="V539" t="inlineStr">
        <is>
          <t>2003-05-06</t>
        </is>
      </c>
      <c r="W539" t="inlineStr">
        <is>
          <t>1997-11-03</t>
        </is>
      </c>
      <c r="X539" t="inlineStr">
        <is>
          <t>1997-11-03</t>
        </is>
      </c>
      <c r="Y539" t="n">
        <v>384</v>
      </c>
      <c r="Z539" t="n">
        <v>219</v>
      </c>
      <c r="AA539" t="n">
        <v>824</v>
      </c>
      <c r="AB539" t="n">
        <v>2</v>
      </c>
      <c r="AC539" t="n">
        <v>33</v>
      </c>
      <c r="AD539" t="n">
        <v>16</v>
      </c>
      <c r="AE539" t="n">
        <v>37</v>
      </c>
      <c r="AF539" t="n">
        <v>4</v>
      </c>
      <c r="AG539" t="n">
        <v>10</v>
      </c>
      <c r="AH539" t="n">
        <v>6</v>
      </c>
      <c r="AI539" t="n">
        <v>8</v>
      </c>
      <c r="AJ539" t="n">
        <v>10</v>
      </c>
      <c r="AK539" t="n">
        <v>14</v>
      </c>
      <c r="AL539" t="n">
        <v>1</v>
      </c>
      <c r="AM539" t="n">
        <v>13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HYPERLINK("https://creighton-primo.hosted.exlibrisgroup.com/primo-explore/search?tab=default_tab&amp;search_scope=EVERYTHING&amp;vid=01CRU&amp;lang=en_US&amp;offset=0&amp;query=any,contains,991002676189702656","Catalog Record")</f>
        <v/>
      </c>
      <c r="AT539">
        <f>HYPERLINK("http://www.worldcat.org/oclc/34990024","WorldCat Record")</f>
        <v/>
      </c>
      <c r="AU539" t="inlineStr">
        <is>
          <t>1060423988:eng</t>
        </is>
      </c>
      <c r="AV539" t="inlineStr">
        <is>
          <t>34990024</t>
        </is>
      </c>
      <c r="AW539" t="inlineStr">
        <is>
          <t>991002676189702656</t>
        </is>
      </c>
      <c r="AX539" t="inlineStr">
        <is>
          <t>991002676189702656</t>
        </is>
      </c>
      <c r="AY539" t="inlineStr">
        <is>
          <t>2268138030002656</t>
        </is>
      </c>
      <c r="AZ539" t="inlineStr">
        <is>
          <t>BOOK</t>
        </is>
      </c>
      <c r="BB539" t="inlineStr">
        <is>
          <t>9780415146722</t>
        </is>
      </c>
      <c r="BC539" t="inlineStr">
        <is>
          <t>32285003259362</t>
        </is>
      </c>
      <c r="BD539" t="inlineStr">
        <is>
          <t>893873841</t>
        </is>
      </c>
    </row>
    <row r="540">
      <c r="A540" t="inlineStr">
        <is>
          <t>No</t>
        </is>
      </c>
      <c r="B540" t="inlineStr">
        <is>
          <t>P96.V52 S34 2005</t>
        </is>
      </c>
      <c r="C540" t="inlineStr">
        <is>
          <t>0                      P  0096000V  52                 S  34          2005</t>
        </is>
      </c>
      <c r="D540" t="inlineStr">
        <is>
          <t>Savage pastimes : a cultural history of violent entertainment / Harold Schechter.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Schechter, Harold.</t>
        </is>
      </c>
      <c r="L540" t="inlineStr">
        <is>
          <t>New York : St. Martin's Press, 2005.</t>
        </is>
      </c>
      <c r="M540" t="inlineStr">
        <is>
          <t>2005</t>
        </is>
      </c>
      <c r="N540" t="inlineStr">
        <is>
          <t>1st ed.</t>
        </is>
      </c>
      <c r="O540" t="inlineStr">
        <is>
          <t>eng</t>
        </is>
      </c>
      <c r="P540" t="inlineStr">
        <is>
          <t>nyu</t>
        </is>
      </c>
      <c r="R540" t="inlineStr">
        <is>
          <t xml:space="preserve">P  </t>
        </is>
      </c>
      <c r="S540" t="n">
        <v>2</v>
      </c>
      <c r="T540" t="n">
        <v>2</v>
      </c>
      <c r="U540" t="inlineStr">
        <is>
          <t>2009-10-12</t>
        </is>
      </c>
      <c r="V540" t="inlineStr">
        <is>
          <t>2009-10-12</t>
        </is>
      </c>
      <c r="W540" t="inlineStr">
        <is>
          <t>2005-06-06</t>
        </is>
      </c>
      <c r="X540" t="inlineStr">
        <is>
          <t>2005-06-06</t>
        </is>
      </c>
      <c r="Y540" t="n">
        <v>787</v>
      </c>
      <c r="Z540" t="n">
        <v>706</v>
      </c>
      <c r="AA540" t="n">
        <v>711</v>
      </c>
      <c r="AB540" t="n">
        <v>4</v>
      </c>
      <c r="AC540" t="n">
        <v>4</v>
      </c>
      <c r="AD540" t="n">
        <v>23</v>
      </c>
      <c r="AE540" t="n">
        <v>23</v>
      </c>
      <c r="AF540" t="n">
        <v>8</v>
      </c>
      <c r="AG540" t="n">
        <v>8</v>
      </c>
      <c r="AH540" t="n">
        <v>8</v>
      </c>
      <c r="AI540" t="n">
        <v>8</v>
      </c>
      <c r="AJ540" t="n">
        <v>9</v>
      </c>
      <c r="AK540" t="n">
        <v>9</v>
      </c>
      <c r="AL540" t="n">
        <v>3</v>
      </c>
      <c r="AM540" t="n">
        <v>3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HYPERLINK("https://creighton-primo.hosted.exlibrisgroup.com/primo-explore/search?tab=default_tab&amp;search_scope=EVERYTHING&amp;vid=01CRU&amp;lang=en_US&amp;offset=0&amp;query=any,contains,991004534459702656","Catalog Record")</f>
        <v/>
      </c>
      <c r="AT540">
        <f>HYPERLINK("http://www.worldcat.org/oclc/56191842","WorldCat Record")</f>
        <v/>
      </c>
      <c r="AU540" t="inlineStr">
        <is>
          <t>1958685:eng</t>
        </is>
      </c>
      <c r="AV540" t="inlineStr">
        <is>
          <t>56191842</t>
        </is>
      </c>
      <c r="AW540" t="inlineStr">
        <is>
          <t>991004534459702656</t>
        </is>
      </c>
      <c r="AX540" t="inlineStr">
        <is>
          <t>991004534459702656</t>
        </is>
      </c>
      <c r="AY540" t="inlineStr">
        <is>
          <t>2262602150002656</t>
        </is>
      </c>
      <c r="AZ540" t="inlineStr">
        <is>
          <t>BOOK</t>
        </is>
      </c>
      <c r="BB540" t="inlineStr">
        <is>
          <t>9780312282769</t>
        </is>
      </c>
      <c r="BC540" t="inlineStr">
        <is>
          <t>32285005092837</t>
        </is>
      </c>
      <c r="BD540" t="inlineStr">
        <is>
          <t>893810564</t>
        </is>
      </c>
    </row>
    <row r="541">
      <c r="A541" t="inlineStr">
        <is>
          <t>No</t>
        </is>
      </c>
      <c r="B541" t="inlineStr">
        <is>
          <t>P96.W352 U558 2000</t>
        </is>
      </c>
      <c r="C541" t="inlineStr">
        <is>
          <t>0                      P  0096000W  352                U  558         2000</t>
        </is>
      </c>
      <c r="D541" t="inlineStr">
        <is>
          <t>War in the media age / A. Trevor Thrall.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Thrall, A. Trevor.</t>
        </is>
      </c>
      <c r="L541" t="inlineStr">
        <is>
          <t>Cresskill, N.J. : Hampton Press, c2000.</t>
        </is>
      </c>
      <c r="M541" t="inlineStr">
        <is>
          <t>2000</t>
        </is>
      </c>
      <c r="O541" t="inlineStr">
        <is>
          <t>eng</t>
        </is>
      </c>
      <c r="P541" t="inlineStr">
        <is>
          <t>nju</t>
        </is>
      </c>
      <c r="Q541" t="inlineStr">
        <is>
          <t>The Hampton Press communication series. Political communication</t>
        </is>
      </c>
      <c r="R541" t="inlineStr">
        <is>
          <t xml:space="preserve">P  </t>
        </is>
      </c>
      <c r="S541" t="n">
        <v>1</v>
      </c>
      <c r="T541" t="n">
        <v>1</v>
      </c>
      <c r="U541" t="inlineStr">
        <is>
          <t>2003-11-04</t>
        </is>
      </c>
      <c r="V541" t="inlineStr">
        <is>
          <t>2003-11-04</t>
        </is>
      </c>
      <c r="W541" t="inlineStr">
        <is>
          <t>2003-09-25</t>
        </is>
      </c>
      <c r="X541" t="inlineStr">
        <is>
          <t>2003-09-25</t>
        </is>
      </c>
      <c r="Y541" t="n">
        <v>292</v>
      </c>
      <c r="Z541" t="n">
        <v>202</v>
      </c>
      <c r="AA541" t="n">
        <v>203</v>
      </c>
      <c r="AB541" t="n">
        <v>3</v>
      </c>
      <c r="AC541" t="n">
        <v>3</v>
      </c>
      <c r="AD541" t="n">
        <v>15</v>
      </c>
      <c r="AE541" t="n">
        <v>15</v>
      </c>
      <c r="AF541" t="n">
        <v>3</v>
      </c>
      <c r="AG541" t="n">
        <v>3</v>
      </c>
      <c r="AH541" t="n">
        <v>5</v>
      </c>
      <c r="AI541" t="n">
        <v>5</v>
      </c>
      <c r="AJ541" t="n">
        <v>8</v>
      </c>
      <c r="AK541" t="n">
        <v>8</v>
      </c>
      <c r="AL541" t="n">
        <v>2</v>
      </c>
      <c r="AM541" t="n">
        <v>2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HYPERLINK("http://catalog.hathitrust.org/Record/004134471","HathiTrust Record")</f>
        <v/>
      </c>
      <c r="AS541">
        <f>HYPERLINK("https://creighton-primo.hosted.exlibrisgroup.com/primo-explore/search?tab=default_tab&amp;search_scope=EVERYTHING&amp;vid=01CRU&amp;lang=en_US&amp;offset=0&amp;query=any,contains,991004135979702656","Catalog Record")</f>
        <v/>
      </c>
      <c r="AT541">
        <f>HYPERLINK("http://www.worldcat.org/oclc/43397169","WorldCat Record")</f>
        <v/>
      </c>
      <c r="AU541" t="inlineStr">
        <is>
          <t>44104496:eng</t>
        </is>
      </c>
      <c r="AV541" t="inlineStr">
        <is>
          <t>43397169</t>
        </is>
      </c>
      <c r="AW541" t="inlineStr">
        <is>
          <t>991004135979702656</t>
        </is>
      </c>
      <c r="AX541" t="inlineStr">
        <is>
          <t>991004135979702656</t>
        </is>
      </c>
      <c r="AY541" t="inlineStr">
        <is>
          <t>2265783440002656</t>
        </is>
      </c>
      <c r="AZ541" t="inlineStr">
        <is>
          <t>BOOK</t>
        </is>
      </c>
      <c r="BB541" t="inlineStr">
        <is>
          <t>9781572732469</t>
        </is>
      </c>
      <c r="BC541" t="inlineStr">
        <is>
          <t>32285004793112</t>
        </is>
      </c>
      <c r="BD541" t="inlineStr">
        <is>
          <t>893693568</t>
        </is>
      </c>
    </row>
    <row r="542">
      <c r="A542" t="inlineStr">
        <is>
          <t>No</t>
        </is>
      </c>
      <c r="B542" t="inlineStr">
        <is>
          <t>P96.W352 W37 2004</t>
        </is>
      </c>
      <c r="C542" t="inlineStr">
        <is>
          <t>0                      P  0096000W  352                W  37          2004</t>
        </is>
      </c>
      <c r="D542" t="inlineStr">
        <is>
          <t>War, media, and propaganda : a global perspective / edited by Yahya R. Kamalipour and Nancy Snow.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Lanham, Md. : Rowman &amp; Littlefield, c2004.</t>
        </is>
      </c>
      <c r="M542" t="inlineStr">
        <is>
          <t>2004</t>
        </is>
      </c>
      <c r="O542" t="inlineStr">
        <is>
          <t>eng</t>
        </is>
      </c>
      <c r="P542" t="inlineStr">
        <is>
          <t>mdu</t>
        </is>
      </c>
      <c r="R542" t="inlineStr">
        <is>
          <t xml:space="preserve">P  </t>
        </is>
      </c>
      <c r="S542" t="n">
        <v>4</v>
      </c>
      <c r="T542" t="n">
        <v>4</v>
      </c>
      <c r="U542" t="inlineStr">
        <is>
          <t>2007-04-15</t>
        </is>
      </c>
      <c r="V542" t="inlineStr">
        <is>
          <t>2007-04-15</t>
        </is>
      </c>
      <c r="W542" t="inlineStr">
        <is>
          <t>2004-11-30</t>
        </is>
      </c>
      <c r="X542" t="inlineStr">
        <is>
          <t>2004-11-30</t>
        </is>
      </c>
      <c r="Y542" t="n">
        <v>731</v>
      </c>
      <c r="Z542" t="n">
        <v>587</v>
      </c>
      <c r="AA542" t="n">
        <v>604</v>
      </c>
      <c r="AB542" t="n">
        <v>6</v>
      </c>
      <c r="AC542" t="n">
        <v>6</v>
      </c>
      <c r="AD542" t="n">
        <v>37</v>
      </c>
      <c r="AE542" t="n">
        <v>37</v>
      </c>
      <c r="AF542" t="n">
        <v>16</v>
      </c>
      <c r="AG542" t="n">
        <v>16</v>
      </c>
      <c r="AH542" t="n">
        <v>8</v>
      </c>
      <c r="AI542" t="n">
        <v>8</v>
      </c>
      <c r="AJ542" t="n">
        <v>16</v>
      </c>
      <c r="AK542" t="n">
        <v>16</v>
      </c>
      <c r="AL542" t="n">
        <v>5</v>
      </c>
      <c r="AM542" t="n">
        <v>5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HYPERLINK("http://catalog.hathitrust.org/Record/004916228","HathiTrust Record")</f>
        <v/>
      </c>
      <c r="AS542">
        <f>HYPERLINK("https://creighton-primo.hosted.exlibrisgroup.com/primo-explore/search?tab=default_tab&amp;search_scope=EVERYTHING&amp;vid=01CRU&amp;lang=en_US&amp;offset=0&amp;query=any,contains,991004403749702656","Catalog Record")</f>
        <v/>
      </c>
      <c r="AT542">
        <f>HYPERLINK("http://www.worldcat.org/oclc/54822942","WorldCat Record")</f>
        <v/>
      </c>
      <c r="AU542" t="inlineStr">
        <is>
          <t>905775288:eng</t>
        </is>
      </c>
      <c r="AV542" t="inlineStr">
        <is>
          <t>54822942</t>
        </is>
      </c>
      <c r="AW542" t="inlineStr">
        <is>
          <t>991004403749702656</t>
        </is>
      </c>
      <c r="AX542" t="inlineStr">
        <is>
          <t>991004403749702656</t>
        </is>
      </c>
      <c r="AY542" t="inlineStr">
        <is>
          <t>2262170910002656</t>
        </is>
      </c>
      <c r="AZ542" t="inlineStr">
        <is>
          <t>BOOK</t>
        </is>
      </c>
      <c r="BB542" t="inlineStr">
        <is>
          <t>9780742535626</t>
        </is>
      </c>
      <c r="BC542" t="inlineStr">
        <is>
          <t>32285005013890</t>
        </is>
      </c>
      <c r="BD542" t="inlineStr">
        <is>
          <t>893782200</t>
        </is>
      </c>
    </row>
    <row r="543">
      <c r="A543" t="inlineStr">
        <is>
          <t>No</t>
        </is>
      </c>
      <c r="B543" t="inlineStr">
        <is>
          <t>P96.W36 S34 2003</t>
        </is>
      </c>
      <c r="C543" t="inlineStr">
        <is>
          <t>0                      P  0096000W  36                 S  34          2003</t>
        </is>
      </c>
      <c r="D543" t="inlineStr">
        <is>
          <t>Media wars : news at a time of terror / Danny Schechter.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Schechter, Danny.</t>
        </is>
      </c>
      <c r="L543" t="inlineStr">
        <is>
          <t>Lanham, Md. : Rowman &amp; Littlefield, c2003.</t>
        </is>
      </c>
      <c r="M543" t="inlineStr">
        <is>
          <t>2003</t>
        </is>
      </c>
      <c r="O543" t="inlineStr">
        <is>
          <t>eng</t>
        </is>
      </c>
      <c r="P543" t="inlineStr">
        <is>
          <t>mdu</t>
        </is>
      </c>
      <c r="Q543" t="inlineStr">
        <is>
          <t>Polemics</t>
        </is>
      </c>
      <c r="R543" t="inlineStr">
        <is>
          <t xml:space="preserve">P  </t>
        </is>
      </c>
      <c r="S543" t="n">
        <v>3</v>
      </c>
      <c r="T543" t="n">
        <v>3</v>
      </c>
      <c r="U543" t="inlineStr">
        <is>
          <t>2003-10-16</t>
        </is>
      </c>
      <c r="V543" t="inlineStr">
        <is>
          <t>2003-10-16</t>
        </is>
      </c>
      <c r="W543" t="inlineStr">
        <is>
          <t>2003-10-16</t>
        </is>
      </c>
      <c r="X543" t="inlineStr">
        <is>
          <t>2003-10-16</t>
        </is>
      </c>
      <c r="Y543" t="n">
        <v>609</v>
      </c>
      <c r="Z543" t="n">
        <v>492</v>
      </c>
      <c r="AA543" t="n">
        <v>539</v>
      </c>
      <c r="AB543" t="n">
        <v>5</v>
      </c>
      <c r="AC543" t="n">
        <v>5</v>
      </c>
      <c r="AD543" t="n">
        <v>26</v>
      </c>
      <c r="AE543" t="n">
        <v>26</v>
      </c>
      <c r="AF543" t="n">
        <v>8</v>
      </c>
      <c r="AG543" t="n">
        <v>8</v>
      </c>
      <c r="AH543" t="n">
        <v>7</v>
      </c>
      <c r="AI543" t="n">
        <v>7</v>
      </c>
      <c r="AJ543" t="n">
        <v>11</v>
      </c>
      <c r="AK543" t="n">
        <v>11</v>
      </c>
      <c r="AL543" t="n">
        <v>4</v>
      </c>
      <c r="AM543" t="n">
        <v>4</v>
      </c>
      <c r="AN543" t="n">
        <v>1</v>
      </c>
      <c r="AO543" t="n">
        <v>1</v>
      </c>
      <c r="AP543" t="inlineStr">
        <is>
          <t>No</t>
        </is>
      </c>
      <c r="AQ543" t="inlineStr">
        <is>
          <t>Yes</t>
        </is>
      </c>
      <c r="AR543">
        <f>HYPERLINK("http://catalog.hathitrust.org/Record/004320796","HathiTrust Record")</f>
        <v/>
      </c>
      <c r="AS543">
        <f>HYPERLINK("https://creighton-primo.hosted.exlibrisgroup.com/primo-explore/search?tab=default_tab&amp;search_scope=EVERYTHING&amp;vid=01CRU&amp;lang=en_US&amp;offset=0&amp;query=any,contains,991004111999702656","Catalog Record")</f>
        <v/>
      </c>
      <c r="AT543">
        <f>HYPERLINK("http://www.worldcat.org/oclc/51046784","WorldCat Record")</f>
        <v/>
      </c>
      <c r="AU543" t="inlineStr">
        <is>
          <t>795456071:eng</t>
        </is>
      </c>
      <c r="AV543" t="inlineStr">
        <is>
          <t>51046784</t>
        </is>
      </c>
      <c r="AW543" t="inlineStr">
        <is>
          <t>991004111999702656</t>
        </is>
      </c>
      <c r="AX543" t="inlineStr">
        <is>
          <t>991004111999702656</t>
        </is>
      </c>
      <c r="AY543" t="inlineStr">
        <is>
          <t>2270712280002656</t>
        </is>
      </c>
      <c r="AZ543" t="inlineStr">
        <is>
          <t>BOOK</t>
        </is>
      </c>
      <c r="BB543" t="inlineStr">
        <is>
          <t>9780742531086</t>
        </is>
      </c>
      <c r="BC543" t="inlineStr">
        <is>
          <t>32285004789177</t>
        </is>
      </c>
      <c r="BD543" t="inlineStr">
        <is>
          <t>893775629</t>
        </is>
      </c>
    </row>
    <row r="544">
      <c r="A544" t="inlineStr">
        <is>
          <t>No</t>
        </is>
      </c>
      <c r="B544" t="inlineStr">
        <is>
          <t>P96.W6 H4</t>
        </is>
      </c>
      <c r="C544" t="inlineStr">
        <is>
          <t>0                      P  0096000W  6                  H  4</t>
        </is>
      </c>
      <c r="D544" t="inlineStr">
        <is>
          <t>Hearth and Home : images of women in the mass media / edited by Gaye Tuchman, Arlene Kaplan Daniels and James Benét.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L544" t="inlineStr">
        <is>
          <t>New York : Oxford University, 1978.</t>
        </is>
      </c>
      <c r="M544" t="inlineStr">
        <is>
          <t>1978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P  </t>
        </is>
      </c>
      <c r="S544" t="n">
        <v>11</v>
      </c>
      <c r="T544" t="n">
        <v>11</v>
      </c>
      <c r="U544" t="inlineStr">
        <is>
          <t>2005-05-27</t>
        </is>
      </c>
      <c r="V544" t="inlineStr">
        <is>
          <t>2005-05-27</t>
        </is>
      </c>
      <c r="W544" t="inlineStr">
        <is>
          <t>1997-08-18</t>
        </is>
      </c>
      <c r="X544" t="inlineStr">
        <is>
          <t>1997-08-18</t>
        </is>
      </c>
      <c r="Y544" t="n">
        <v>975</v>
      </c>
      <c r="Z544" t="n">
        <v>783</v>
      </c>
      <c r="AA544" t="n">
        <v>796</v>
      </c>
      <c r="AB544" t="n">
        <v>6</v>
      </c>
      <c r="AC544" t="n">
        <v>6</v>
      </c>
      <c r="AD544" t="n">
        <v>34</v>
      </c>
      <c r="AE544" t="n">
        <v>34</v>
      </c>
      <c r="AF544" t="n">
        <v>15</v>
      </c>
      <c r="AG544" t="n">
        <v>15</v>
      </c>
      <c r="AH544" t="n">
        <v>6</v>
      </c>
      <c r="AI544" t="n">
        <v>6</v>
      </c>
      <c r="AJ544" t="n">
        <v>16</v>
      </c>
      <c r="AK544" t="n">
        <v>16</v>
      </c>
      <c r="AL544" t="n">
        <v>5</v>
      </c>
      <c r="AM544" t="n">
        <v>5</v>
      </c>
      <c r="AN544" t="n">
        <v>0</v>
      </c>
      <c r="AO544" t="n">
        <v>0</v>
      </c>
      <c r="AP544" t="inlineStr">
        <is>
          <t>No</t>
        </is>
      </c>
      <c r="AQ544" t="inlineStr">
        <is>
          <t>Yes</t>
        </is>
      </c>
      <c r="AR544">
        <f>HYPERLINK("http://catalog.hathitrust.org/Record/000752413","HathiTrust Record")</f>
        <v/>
      </c>
      <c r="AS544">
        <f>HYPERLINK("https://creighton-primo.hosted.exlibrisgroup.com/primo-explore/search?tab=default_tab&amp;search_scope=EVERYTHING&amp;vid=01CRU&amp;lang=en_US&amp;offset=0&amp;query=any,contains,991004433289702656","Catalog Record")</f>
        <v/>
      </c>
      <c r="AT544">
        <f>HYPERLINK("http://www.worldcat.org/oclc/3433296","WorldCat Record")</f>
        <v/>
      </c>
      <c r="AU544" t="inlineStr">
        <is>
          <t>865043170:eng</t>
        </is>
      </c>
      <c r="AV544" t="inlineStr">
        <is>
          <t>3433296</t>
        </is>
      </c>
      <c r="AW544" t="inlineStr">
        <is>
          <t>991004433289702656</t>
        </is>
      </c>
      <c r="AX544" t="inlineStr">
        <is>
          <t>991004433289702656</t>
        </is>
      </c>
      <c r="AY544" t="inlineStr">
        <is>
          <t>2267713090002656</t>
        </is>
      </c>
      <c r="AZ544" t="inlineStr">
        <is>
          <t>BOOK</t>
        </is>
      </c>
      <c r="BB544" t="inlineStr">
        <is>
          <t>9780195023510</t>
        </is>
      </c>
      <c r="BC544" t="inlineStr">
        <is>
          <t>32285003095733</t>
        </is>
      </c>
      <c r="BD544" t="inlineStr">
        <is>
          <t>893782238</t>
        </is>
      </c>
    </row>
    <row r="545">
      <c r="A545" t="inlineStr">
        <is>
          <t>No</t>
        </is>
      </c>
      <c r="B545" t="inlineStr">
        <is>
          <t>P99 .B29514 1970</t>
        </is>
      </c>
      <c r="C545" t="inlineStr">
        <is>
          <t>0                      P  0099000B  29514       1970</t>
        </is>
      </c>
      <c r="D545" t="inlineStr">
        <is>
          <t>S/Z / Roland Barthes.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Barthes, Roland.</t>
        </is>
      </c>
      <c r="L545" t="inlineStr">
        <is>
          <t>Paris, Éditions du Seuil [1970]</t>
        </is>
      </c>
      <c r="M545" t="inlineStr">
        <is>
          <t>1970</t>
        </is>
      </c>
      <c r="O545" t="inlineStr">
        <is>
          <t>fre</t>
        </is>
      </c>
      <c r="P545" t="inlineStr">
        <is>
          <t xml:space="preserve">fr </t>
        </is>
      </c>
      <c r="Q545" t="inlineStr">
        <is>
          <t>Collection Tel quel</t>
        </is>
      </c>
      <c r="R545" t="inlineStr">
        <is>
          <t xml:space="preserve">P  </t>
        </is>
      </c>
      <c r="S545" t="n">
        <v>7</v>
      </c>
      <c r="T545" t="n">
        <v>7</v>
      </c>
      <c r="U545" t="inlineStr">
        <is>
          <t>2007-05-31</t>
        </is>
      </c>
      <c r="V545" t="inlineStr">
        <is>
          <t>2007-05-31</t>
        </is>
      </c>
      <c r="W545" t="inlineStr">
        <is>
          <t>1997-05-13</t>
        </is>
      </c>
      <c r="X545" t="inlineStr">
        <is>
          <t>1997-05-13</t>
        </is>
      </c>
      <c r="Y545" t="n">
        <v>340</v>
      </c>
      <c r="Z545" t="n">
        <v>230</v>
      </c>
      <c r="AA545" t="n">
        <v>320</v>
      </c>
      <c r="AB545" t="n">
        <v>3</v>
      </c>
      <c r="AC545" t="n">
        <v>4</v>
      </c>
      <c r="AD545" t="n">
        <v>12</v>
      </c>
      <c r="AE545" t="n">
        <v>18</v>
      </c>
      <c r="AF545" t="n">
        <v>2</v>
      </c>
      <c r="AG545" t="n">
        <v>3</v>
      </c>
      <c r="AH545" t="n">
        <v>3</v>
      </c>
      <c r="AI545" t="n">
        <v>4</v>
      </c>
      <c r="AJ545" t="n">
        <v>7</v>
      </c>
      <c r="AK545" t="n">
        <v>11</v>
      </c>
      <c r="AL545" t="n">
        <v>2</v>
      </c>
      <c r="AM545" t="n">
        <v>3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HYPERLINK("http://catalog.hathitrust.org/Record/000007537","HathiTrust Record")</f>
        <v/>
      </c>
      <c r="AS545">
        <f>HYPERLINK("https://creighton-primo.hosted.exlibrisgroup.com/primo-explore/search?tab=default_tab&amp;search_scope=EVERYTHING&amp;vid=01CRU&amp;lang=en_US&amp;offset=0&amp;query=any,contains,991002981679702656","Catalog Record")</f>
        <v/>
      </c>
      <c r="AT545">
        <f>HYPERLINK("http://www.worldcat.org/oclc/555325","WorldCat Record")</f>
        <v/>
      </c>
      <c r="AU545" t="inlineStr">
        <is>
          <t>1614351:fre</t>
        </is>
      </c>
      <c r="AV545" t="inlineStr">
        <is>
          <t>555325</t>
        </is>
      </c>
      <c r="AW545" t="inlineStr">
        <is>
          <t>991002981679702656</t>
        </is>
      </c>
      <c r="AX545" t="inlineStr">
        <is>
          <t>991002981679702656</t>
        </is>
      </c>
      <c r="AY545" t="inlineStr">
        <is>
          <t>2260385230002656</t>
        </is>
      </c>
      <c r="AZ545" t="inlineStr">
        <is>
          <t>BOOK</t>
        </is>
      </c>
      <c r="BC545" t="inlineStr">
        <is>
          <t>32285002653805</t>
        </is>
      </c>
      <c r="BD545" t="inlineStr">
        <is>
          <t>893774255</t>
        </is>
      </c>
    </row>
    <row r="546">
      <c r="A546" t="inlineStr">
        <is>
          <t>No</t>
        </is>
      </c>
      <c r="B546" t="inlineStr">
        <is>
          <t>P99 .B56 1973</t>
        </is>
      </c>
      <c r="C546" t="inlineStr">
        <is>
          <t>0                      P  0099000B  56          1973</t>
        </is>
      </c>
      <c r="D546" t="inlineStr">
        <is>
          <t>La semiótica como teoría lingüistica / Maria del Carmen Bobes Naves.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Bobes Naves, María del Carmen.</t>
        </is>
      </c>
      <c r="L546" t="inlineStr">
        <is>
          <t>Madrid : Editorial Gredos, S. A. [1973]</t>
        </is>
      </c>
      <c r="M546" t="inlineStr">
        <is>
          <t>1973</t>
        </is>
      </c>
      <c r="O546" t="inlineStr">
        <is>
          <t>eng</t>
        </is>
      </c>
      <c r="P546" t="inlineStr">
        <is>
          <t xml:space="preserve">sp </t>
        </is>
      </c>
      <c r="Q546" t="inlineStr">
        <is>
          <t>Biblioteca románica hispánica. II, Estudios y ensayos ; 191</t>
        </is>
      </c>
      <c r="R546" t="inlineStr">
        <is>
          <t xml:space="preserve">P  </t>
        </is>
      </c>
      <c r="S546" t="n">
        <v>1</v>
      </c>
      <c r="T546" t="n">
        <v>1</v>
      </c>
      <c r="U546" t="inlineStr">
        <is>
          <t>2003-05-01</t>
        </is>
      </c>
      <c r="V546" t="inlineStr">
        <is>
          <t>2003-05-01</t>
        </is>
      </c>
      <c r="W546" t="inlineStr">
        <is>
          <t>2003-05-01</t>
        </is>
      </c>
      <c r="X546" t="inlineStr">
        <is>
          <t>2003-05-01</t>
        </is>
      </c>
      <c r="Y546" t="n">
        <v>175</v>
      </c>
      <c r="Z546" t="n">
        <v>128</v>
      </c>
      <c r="AA546" t="n">
        <v>129</v>
      </c>
      <c r="AB546" t="n">
        <v>2</v>
      </c>
      <c r="AC546" t="n">
        <v>2</v>
      </c>
      <c r="AD546" t="n">
        <v>4</v>
      </c>
      <c r="AE546" t="n">
        <v>4</v>
      </c>
      <c r="AF546" t="n">
        <v>0</v>
      </c>
      <c r="AG546" t="n">
        <v>0</v>
      </c>
      <c r="AH546" t="n">
        <v>2</v>
      </c>
      <c r="AI546" t="n">
        <v>2</v>
      </c>
      <c r="AJ546" t="n">
        <v>2</v>
      </c>
      <c r="AK546" t="n">
        <v>2</v>
      </c>
      <c r="AL546" t="n">
        <v>1</v>
      </c>
      <c r="AM546" t="n">
        <v>1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HYPERLINK("http://catalog.hathitrust.org/Record/001435075","HathiTrust Record")</f>
        <v/>
      </c>
      <c r="AS546">
        <f>HYPERLINK("https://creighton-primo.hosted.exlibrisgroup.com/primo-explore/search?tab=default_tab&amp;search_scope=EVERYTHING&amp;vid=01CRU&amp;lang=en_US&amp;offset=0&amp;query=any,contains,991004044249702656","Catalog Record")</f>
        <v/>
      </c>
      <c r="AT546">
        <f>HYPERLINK("http://www.worldcat.org/oclc/767401","WorldCat Record")</f>
        <v/>
      </c>
      <c r="AU546" t="inlineStr">
        <is>
          <t>351967504:eng</t>
        </is>
      </c>
      <c r="AV546" t="inlineStr">
        <is>
          <t>767401</t>
        </is>
      </c>
      <c r="AW546" t="inlineStr">
        <is>
          <t>991004044249702656</t>
        </is>
      </c>
      <c r="AX546" t="inlineStr">
        <is>
          <t>991004044249702656</t>
        </is>
      </c>
      <c r="AY546" t="inlineStr">
        <is>
          <t>2267381740002656</t>
        </is>
      </c>
      <c r="AZ546" t="inlineStr">
        <is>
          <t>BOOK</t>
        </is>
      </c>
      <c r="BB546" t="inlineStr">
        <is>
          <t>9788424905019</t>
        </is>
      </c>
      <c r="BC546" t="inlineStr">
        <is>
          <t>32285004682307</t>
        </is>
      </c>
      <c r="BD546" t="inlineStr">
        <is>
          <t>893423312</t>
        </is>
      </c>
    </row>
    <row r="547">
      <c r="A547" t="inlineStr">
        <is>
          <t>No</t>
        </is>
      </c>
      <c r="B547" t="inlineStr">
        <is>
          <t>P99 .D36 1999</t>
        </is>
      </c>
      <c r="C547" t="inlineStr">
        <is>
          <t>0                      P  0099000D  36          1999</t>
        </is>
      </c>
      <c r="D547" t="inlineStr">
        <is>
          <t>Of cigarettes, high heels, and other interesting things : an introduction to semiotics / Marcel Danesi.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Danesi, Marcel, 1946-</t>
        </is>
      </c>
      <c r="L547" t="inlineStr">
        <is>
          <t>New York : St. Martin's Press, 1999.</t>
        </is>
      </c>
      <c r="M547" t="inlineStr">
        <is>
          <t>1999</t>
        </is>
      </c>
      <c r="N547" t="inlineStr">
        <is>
          <t>1st ed.</t>
        </is>
      </c>
      <c r="O547" t="inlineStr">
        <is>
          <t>eng</t>
        </is>
      </c>
      <c r="P547" t="inlineStr">
        <is>
          <t>nyu</t>
        </is>
      </c>
      <c r="Q547" t="inlineStr">
        <is>
          <t>Semaphores and signs</t>
        </is>
      </c>
      <c r="R547" t="inlineStr">
        <is>
          <t xml:space="preserve">P  </t>
        </is>
      </c>
      <c r="S547" t="n">
        <v>4</v>
      </c>
      <c r="T547" t="n">
        <v>4</v>
      </c>
      <c r="U547" t="inlineStr">
        <is>
          <t>2008-09-23</t>
        </is>
      </c>
      <c r="V547" t="inlineStr">
        <is>
          <t>2008-09-23</t>
        </is>
      </c>
      <c r="W547" t="inlineStr">
        <is>
          <t>2000-04-05</t>
        </is>
      </c>
      <c r="X547" t="inlineStr">
        <is>
          <t>2000-04-05</t>
        </is>
      </c>
      <c r="Y547" t="n">
        <v>428</v>
      </c>
      <c r="Z547" t="n">
        <v>343</v>
      </c>
      <c r="AA547" t="n">
        <v>617</v>
      </c>
      <c r="AB547" t="n">
        <v>4</v>
      </c>
      <c r="AC547" t="n">
        <v>5</v>
      </c>
      <c r="AD547" t="n">
        <v>15</v>
      </c>
      <c r="AE547" t="n">
        <v>25</v>
      </c>
      <c r="AF547" t="n">
        <v>2</v>
      </c>
      <c r="AG547" t="n">
        <v>9</v>
      </c>
      <c r="AH547" t="n">
        <v>5</v>
      </c>
      <c r="AI547" t="n">
        <v>5</v>
      </c>
      <c r="AJ547" t="n">
        <v>9</v>
      </c>
      <c r="AK547" t="n">
        <v>14</v>
      </c>
      <c r="AL547" t="n">
        <v>3</v>
      </c>
      <c r="AM547" t="n">
        <v>4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HYPERLINK("http://catalog.hathitrust.org/Record/004032642","HathiTrust Record")</f>
        <v/>
      </c>
      <c r="AS547">
        <f>HYPERLINK("https://creighton-primo.hosted.exlibrisgroup.com/primo-explore/search?tab=default_tab&amp;search_scope=EVERYTHING&amp;vid=01CRU&amp;lang=en_US&amp;offset=0&amp;query=any,contains,991003004679702656","Catalog Record")</f>
        <v/>
      </c>
      <c r="AT547">
        <f>HYPERLINK("http://www.worldcat.org/oclc/40714038","WorldCat Record")</f>
        <v/>
      </c>
      <c r="AU547" t="inlineStr">
        <is>
          <t>25284721:eng</t>
        </is>
      </c>
      <c r="AV547" t="inlineStr">
        <is>
          <t>40714038</t>
        </is>
      </c>
      <c r="AW547" t="inlineStr">
        <is>
          <t>991003004679702656</t>
        </is>
      </c>
      <c r="AX547" t="inlineStr">
        <is>
          <t>991003004679702656</t>
        </is>
      </c>
      <c r="AY547" t="inlineStr">
        <is>
          <t>2271768680002656</t>
        </is>
      </c>
      <c r="AZ547" t="inlineStr">
        <is>
          <t>BOOK</t>
        </is>
      </c>
      <c r="BB547" t="inlineStr">
        <is>
          <t>9780312214500</t>
        </is>
      </c>
      <c r="BC547" t="inlineStr">
        <is>
          <t>32285003675724</t>
        </is>
      </c>
      <c r="BD547" t="inlineStr">
        <is>
          <t>893604330</t>
        </is>
      </c>
    </row>
    <row r="548">
      <c r="A548" t="inlineStr">
        <is>
          <t>No</t>
        </is>
      </c>
      <c r="B548" t="inlineStr">
        <is>
          <t>P99 .E2713 2000</t>
        </is>
      </c>
      <c r="C548" t="inlineStr">
        <is>
          <t>0                      P  0099000E  2713        2000</t>
        </is>
      </c>
      <c r="D548" t="inlineStr">
        <is>
          <t>Kant and the platypus : essays on language and cognition / Umberto Eco ; translated from the Italian by Alastair McEwen.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Eco, Umberto.</t>
        </is>
      </c>
      <c r="L548" t="inlineStr">
        <is>
          <t>New York : Harcourt Brace, c2000.</t>
        </is>
      </c>
      <c r="M548" t="inlineStr">
        <is>
          <t>2000</t>
        </is>
      </c>
      <c r="N548" t="inlineStr">
        <is>
          <t>1st ed.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P  </t>
        </is>
      </c>
      <c r="S548" t="n">
        <v>8</v>
      </c>
      <c r="T548" t="n">
        <v>8</v>
      </c>
      <c r="U548" t="inlineStr">
        <is>
          <t>2010-03-19</t>
        </is>
      </c>
      <c r="V548" t="inlineStr">
        <is>
          <t>2010-03-19</t>
        </is>
      </c>
      <c r="W548" t="inlineStr">
        <is>
          <t>2000-02-25</t>
        </is>
      </c>
      <c r="X548" t="inlineStr">
        <is>
          <t>2000-02-25</t>
        </is>
      </c>
      <c r="Y548" t="n">
        <v>723</v>
      </c>
      <c r="Z548" t="n">
        <v>642</v>
      </c>
      <c r="AA548" t="n">
        <v>746</v>
      </c>
      <c r="AB548" t="n">
        <v>8</v>
      </c>
      <c r="AC548" t="n">
        <v>8</v>
      </c>
      <c r="AD548" t="n">
        <v>24</v>
      </c>
      <c r="AE548" t="n">
        <v>32</v>
      </c>
      <c r="AF548" t="n">
        <v>6</v>
      </c>
      <c r="AG548" t="n">
        <v>10</v>
      </c>
      <c r="AH548" t="n">
        <v>7</v>
      </c>
      <c r="AI548" t="n">
        <v>8</v>
      </c>
      <c r="AJ548" t="n">
        <v>9</v>
      </c>
      <c r="AK548" t="n">
        <v>14</v>
      </c>
      <c r="AL548" t="n">
        <v>6</v>
      </c>
      <c r="AM548" t="n">
        <v>6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HYPERLINK("http://catalog.hathitrust.org/Record/004061698","HathiTrust Record")</f>
        <v/>
      </c>
      <c r="AS548">
        <f>HYPERLINK("https://creighton-primo.hosted.exlibrisgroup.com/primo-explore/search?tab=default_tab&amp;search_scope=EVERYTHING&amp;vid=01CRU&amp;lang=en_US&amp;offset=0&amp;query=any,contains,991000036179702656","Catalog Record")</f>
        <v/>
      </c>
      <c r="AT548">
        <f>HYPERLINK("http://www.worldcat.org/oclc/41326537","WorldCat Record")</f>
        <v/>
      </c>
      <c r="AU548" t="inlineStr">
        <is>
          <t>1151962440:eng</t>
        </is>
      </c>
      <c r="AV548" t="inlineStr">
        <is>
          <t>41326537</t>
        </is>
      </c>
      <c r="AW548" t="inlineStr">
        <is>
          <t>991000036179702656</t>
        </is>
      </c>
      <c r="AX548" t="inlineStr">
        <is>
          <t>991000036179702656</t>
        </is>
      </c>
      <c r="AY548" t="inlineStr">
        <is>
          <t>2264889840002656</t>
        </is>
      </c>
      <c r="AZ548" t="inlineStr">
        <is>
          <t>BOOK</t>
        </is>
      </c>
      <c r="BB548" t="inlineStr">
        <is>
          <t>9780151004478</t>
        </is>
      </c>
      <c r="BC548" t="inlineStr">
        <is>
          <t>32285003649026</t>
        </is>
      </c>
      <c r="BD548" t="inlineStr">
        <is>
          <t>893508441</t>
        </is>
      </c>
    </row>
    <row r="549">
      <c r="A549" t="inlineStr">
        <is>
          <t>No</t>
        </is>
      </c>
      <c r="B549" t="inlineStr">
        <is>
          <t>P99 .J6 1993</t>
        </is>
      </c>
      <c r="C549" t="inlineStr">
        <is>
          <t>0                      P  0099000J  6           1993</t>
        </is>
      </c>
      <c r="D549" t="inlineStr">
        <is>
          <t>Dialogic semiosis : an essay on signs and meaning / Jørgen Dines Johansen.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Johansen, Jørgen Dines.</t>
        </is>
      </c>
      <c r="L549" t="inlineStr">
        <is>
          <t>Bloomington : Indiana University Press, c1993.</t>
        </is>
      </c>
      <c r="M549" t="inlineStr">
        <is>
          <t>1993</t>
        </is>
      </c>
      <c r="O549" t="inlineStr">
        <is>
          <t>eng</t>
        </is>
      </c>
      <c r="P549" t="inlineStr">
        <is>
          <t>inu</t>
        </is>
      </c>
      <c r="Q549" t="inlineStr">
        <is>
          <t>Advances in semiotics</t>
        </is>
      </c>
      <c r="R549" t="inlineStr">
        <is>
          <t xml:space="preserve">P  </t>
        </is>
      </c>
      <c r="S549" t="n">
        <v>1</v>
      </c>
      <c r="T549" t="n">
        <v>1</v>
      </c>
      <c r="U549" t="inlineStr">
        <is>
          <t>2003-11-20</t>
        </is>
      </c>
      <c r="V549" t="inlineStr">
        <is>
          <t>2003-11-20</t>
        </is>
      </c>
      <c r="W549" t="inlineStr">
        <is>
          <t>2003-11-20</t>
        </is>
      </c>
      <c r="X549" t="inlineStr">
        <is>
          <t>2003-11-20</t>
        </is>
      </c>
      <c r="Y549" t="n">
        <v>239</v>
      </c>
      <c r="Z549" t="n">
        <v>190</v>
      </c>
      <c r="AA549" t="n">
        <v>193</v>
      </c>
      <c r="AB549" t="n">
        <v>3</v>
      </c>
      <c r="AC549" t="n">
        <v>3</v>
      </c>
      <c r="AD549" t="n">
        <v>13</v>
      </c>
      <c r="AE549" t="n">
        <v>13</v>
      </c>
      <c r="AF549" t="n">
        <v>2</v>
      </c>
      <c r="AG549" t="n">
        <v>2</v>
      </c>
      <c r="AH549" t="n">
        <v>4</v>
      </c>
      <c r="AI549" t="n">
        <v>4</v>
      </c>
      <c r="AJ549" t="n">
        <v>9</v>
      </c>
      <c r="AK549" t="n">
        <v>9</v>
      </c>
      <c r="AL549" t="n">
        <v>2</v>
      </c>
      <c r="AM549" t="n">
        <v>2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HYPERLINK("http://catalog.hathitrust.org/Record/002618110","HathiTrust Record")</f>
        <v/>
      </c>
      <c r="AS549">
        <f>HYPERLINK("https://creighton-primo.hosted.exlibrisgroup.com/primo-explore/search?tab=default_tab&amp;search_scope=EVERYTHING&amp;vid=01CRU&amp;lang=en_US&amp;offset=0&amp;query=any,contains,991004178829702656","Catalog Record")</f>
        <v/>
      </c>
      <c r="AT549">
        <f>HYPERLINK("http://www.worldcat.org/oclc/26853558","WorldCat Record")</f>
        <v/>
      </c>
      <c r="AU549" t="inlineStr">
        <is>
          <t>365366885:eng</t>
        </is>
      </c>
      <c r="AV549" t="inlineStr">
        <is>
          <t>26853558</t>
        </is>
      </c>
      <c r="AW549" t="inlineStr">
        <is>
          <t>991004178829702656</t>
        </is>
      </c>
      <c r="AX549" t="inlineStr">
        <is>
          <t>991004178829702656</t>
        </is>
      </c>
      <c r="AY549" t="inlineStr">
        <is>
          <t>2264384660002656</t>
        </is>
      </c>
      <c r="AZ549" t="inlineStr">
        <is>
          <t>BOOK</t>
        </is>
      </c>
      <c r="BB549" t="inlineStr">
        <is>
          <t>9780253330994</t>
        </is>
      </c>
      <c r="BC549" t="inlineStr">
        <is>
          <t>32285004840046</t>
        </is>
      </c>
      <c r="BD549" t="inlineStr">
        <is>
          <t>893693635</t>
        </is>
      </c>
    </row>
    <row r="550">
      <c r="A550" t="inlineStr">
        <is>
          <t>No</t>
        </is>
      </c>
      <c r="B550" t="inlineStr">
        <is>
          <t>P99 .O37 2005</t>
        </is>
      </c>
      <c r="C550" t="inlineStr">
        <is>
          <t>0                      P  0099000O  37          2005</t>
        </is>
      </c>
      <c r="D550" t="inlineStr">
        <is>
          <t>Sensus spiritualis : studies in medieval significs and the philology of culture / Friedrich Ohly ; edited and with an epilogue by Samuel P. Jaffe ; translated by Kenneth J. Northcott.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Ohly, Friedrich, 1914-1996.</t>
        </is>
      </c>
      <c r="L550" t="inlineStr">
        <is>
          <t>Chicago : University of Chicago Press, 2005.</t>
        </is>
      </c>
      <c r="M550" t="inlineStr">
        <is>
          <t>2005</t>
        </is>
      </c>
      <c r="O550" t="inlineStr">
        <is>
          <t>eng</t>
        </is>
      </c>
      <c r="P550" t="inlineStr">
        <is>
          <t>ilu</t>
        </is>
      </c>
      <c r="R550" t="inlineStr">
        <is>
          <t xml:space="preserve">P  </t>
        </is>
      </c>
      <c r="S550" t="n">
        <v>2</v>
      </c>
      <c r="T550" t="n">
        <v>2</v>
      </c>
      <c r="U550" t="inlineStr">
        <is>
          <t>2009-04-03</t>
        </is>
      </c>
      <c r="V550" t="inlineStr">
        <is>
          <t>2009-04-03</t>
        </is>
      </c>
      <c r="W550" t="inlineStr">
        <is>
          <t>2007-03-15</t>
        </is>
      </c>
      <c r="X550" t="inlineStr">
        <is>
          <t>2007-03-15</t>
        </is>
      </c>
      <c r="Y550" t="n">
        <v>210</v>
      </c>
      <c r="Z550" t="n">
        <v>168</v>
      </c>
      <c r="AA550" t="n">
        <v>169</v>
      </c>
      <c r="AB550" t="n">
        <v>2</v>
      </c>
      <c r="AC550" t="n">
        <v>2</v>
      </c>
      <c r="AD550" t="n">
        <v>8</v>
      </c>
      <c r="AE550" t="n">
        <v>8</v>
      </c>
      <c r="AF550" t="n">
        <v>1</v>
      </c>
      <c r="AG550" t="n">
        <v>1</v>
      </c>
      <c r="AH550" t="n">
        <v>4</v>
      </c>
      <c r="AI550" t="n">
        <v>4</v>
      </c>
      <c r="AJ550" t="n">
        <v>3</v>
      </c>
      <c r="AK550" t="n">
        <v>3</v>
      </c>
      <c r="AL550" t="n">
        <v>1</v>
      </c>
      <c r="AM550" t="n">
        <v>1</v>
      </c>
      <c r="AN550" t="n">
        <v>0</v>
      </c>
      <c r="AO550" t="n">
        <v>0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HYPERLINK("http://catalog.hathitrust.org/Record/005104846","HathiTrust Record")</f>
        <v/>
      </c>
      <c r="AS550">
        <f>HYPERLINK("https://creighton-primo.hosted.exlibrisgroup.com/primo-explore/search?tab=default_tab&amp;search_scope=EVERYTHING&amp;vid=01CRU&amp;lang=en_US&amp;offset=0&amp;query=any,contains,991005021299702656","Catalog Record")</f>
        <v/>
      </c>
      <c r="AT550">
        <f>HYPERLINK("http://www.worldcat.org/oclc/52937494","WorldCat Record")</f>
        <v/>
      </c>
      <c r="AU550" t="inlineStr">
        <is>
          <t>666888:eng</t>
        </is>
      </c>
      <c r="AV550" t="inlineStr">
        <is>
          <t>52937494</t>
        </is>
      </c>
      <c r="AW550" t="inlineStr">
        <is>
          <t>991005021299702656</t>
        </is>
      </c>
      <c r="AX550" t="inlineStr">
        <is>
          <t>991005021299702656</t>
        </is>
      </c>
      <c r="AY550" t="inlineStr">
        <is>
          <t>2263008820002656</t>
        </is>
      </c>
      <c r="AZ550" t="inlineStr">
        <is>
          <t>BOOK</t>
        </is>
      </c>
      <c r="BB550" t="inlineStr">
        <is>
          <t>9780226620893</t>
        </is>
      </c>
      <c r="BC550" t="inlineStr">
        <is>
          <t>32285005282032</t>
        </is>
      </c>
      <c r="BD550" t="inlineStr">
        <is>
          <t>893319901</t>
        </is>
      </c>
    </row>
    <row r="551">
      <c r="A551" t="inlineStr">
        <is>
          <t>No</t>
        </is>
      </c>
      <c r="B551" t="inlineStr">
        <is>
          <t>P99 .P4 1977</t>
        </is>
      </c>
      <c r="C551" t="inlineStr">
        <is>
          <t>0                      P  0099000P  4           1977</t>
        </is>
      </c>
      <c r="D551" t="inlineStr">
        <is>
          <t>Semiotic and significs : the correspondence between Charles S. Peirce and Lady Victoria Welby / edited by Charles S. Hardwick, with the assistance of James Cook.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Peirce, Charles S. (Charles Sanders), 1839-1914.</t>
        </is>
      </c>
      <c r="L551" t="inlineStr">
        <is>
          <t>Bloomington : Indiana University Press, c1977.</t>
        </is>
      </c>
      <c r="M551" t="inlineStr">
        <is>
          <t>1977</t>
        </is>
      </c>
      <c r="O551" t="inlineStr">
        <is>
          <t>eng</t>
        </is>
      </c>
      <c r="P551" t="inlineStr">
        <is>
          <t>inu</t>
        </is>
      </c>
      <c r="R551" t="inlineStr">
        <is>
          <t xml:space="preserve">P  </t>
        </is>
      </c>
      <c r="S551" t="n">
        <v>4</v>
      </c>
      <c r="T551" t="n">
        <v>4</v>
      </c>
      <c r="U551" t="inlineStr">
        <is>
          <t>2003-05-05</t>
        </is>
      </c>
      <c r="V551" t="inlineStr">
        <is>
          <t>2003-05-05</t>
        </is>
      </c>
      <c r="W551" t="inlineStr">
        <is>
          <t>1997-08-18</t>
        </is>
      </c>
      <c r="X551" t="inlineStr">
        <is>
          <t>1997-08-18</t>
        </is>
      </c>
      <c r="Y551" t="n">
        <v>487</v>
      </c>
      <c r="Z551" t="n">
        <v>396</v>
      </c>
      <c r="AA551" t="n">
        <v>408</v>
      </c>
      <c r="AB551" t="n">
        <v>3</v>
      </c>
      <c r="AC551" t="n">
        <v>3</v>
      </c>
      <c r="AD551" t="n">
        <v>25</v>
      </c>
      <c r="AE551" t="n">
        <v>25</v>
      </c>
      <c r="AF551" t="n">
        <v>9</v>
      </c>
      <c r="AG551" t="n">
        <v>9</v>
      </c>
      <c r="AH551" t="n">
        <v>9</v>
      </c>
      <c r="AI551" t="n">
        <v>9</v>
      </c>
      <c r="AJ551" t="n">
        <v>14</v>
      </c>
      <c r="AK551" t="n">
        <v>14</v>
      </c>
      <c r="AL551" t="n">
        <v>2</v>
      </c>
      <c r="AM551" t="n">
        <v>2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HYPERLINK("http://catalog.hathitrust.org/Record/000742954","HathiTrust Record")</f>
        <v/>
      </c>
      <c r="AS551">
        <f>HYPERLINK("https://creighton-primo.hosted.exlibrisgroup.com/primo-explore/search?tab=default_tab&amp;search_scope=EVERYTHING&amp;vid=01CRU&amp;lang=en_US&amp;offset=0&amp;query=any,contains,991004112449702656","Catalog Record")</f>
        <v/>
      </c>
      <c r="AT551">
        <f>HYPERLINK("http://www.worldcat.org/oclc/2401585","WorldCat Record")</f>
        <v/>
      </c>
      <c r="AU551" t="inlineStr">
        <is>
          <t>889401428:eng</t>
        </is>
      </c>
      <c r="AV551" t="inlineStr">
        <is>
          <t>2401585</t>
        </is>
      </c>
      <c r="AW551" t="inlineStr">
        <is>
          <t>991004112449702656</t>
        </is>
      </c>
      <c r="AX551" t="inlineStr">
        <is>
          <t>991004112449702656</t>
        </is>
      </c>
      <c r="AY551" t="inlineStr">
        <is>
          <t>2266439140002656</t>
        </is>
      </c>
      <c r="AZ551" t="inlineStr">
        <is>
          <t>BOOK</t>
        </is>
      </c>
      <c r="BB551" t="inlineStr">
        <is>
          <t>9780253351630</t>
        </is>
      </c>
      <c r="BC551" t="inlineStr">
        <is>
          <t>32285003095782</t>
        </is>
      </c>
      <c r="BD551" t="inlineStr">
        <is>
          <t>893599441</t>
        </is>
      </c>
    </row>
    <row r="552">
      <c r="A552" t="inlineStr">
        <is>
          <t>No</t>
        </is>
      </c>
      <c r="B552" t="inlineStr">
        <is>
          <t>P99 .S324 1986</t>
        </is>
      </c>
      <c r="C552" t="inlineStr">
        <is>
          <t>0                      P  0099000S  324         1986</t>
        </is>
      </c>
      <c r="D552" t="inlineStr">
        <is>
          <t>I think I am a verb : more contributions to the doctrine of signs / Thomas A. Sebeok.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Sebeok, Thomas A. (Thomas Albert), 1920-2001.</t>
        </is>
      </c>
      <c r="L552" t="inlineStr">
        <is>
          <t>New York : Plenum Press, c1986.</t>
        </is>
      </c>
      <c r="M552" t="inlineStr">
        <is>
          <t>1986</t>
        </is>
      </c>
      <c r="O552" t="inlineStr">
        <is>
          <t>eng</t>
        </is>
      </c>
      <c r="P552" t="inlineStr">
        <is>
          <t>nyu</t>
        </is>
      </c>
      <c r="Q552" t="inlineStr">
        <is>
          <t>Topics in contemporary semiotics</t>
        </is>
      </c>
      <c r="R552" t="inlineStr">
        <is>
          <t xml:space="preserve">P  </t>
        </is>
      </c>
      <c r="S552" t="n">
        <v>4</v>
      </c>
      <c r="T552" t="n">
        <v>4</v>
      </c>
      <c r="U552" t="inlineStr">
        <is>
          <t>2003-05-05</t>
        </is>
      </c>
      <c r="V552" t="inlineStr">
        <is>
          <t>2003-05-05</t>
        </is>
      </c>
      <c r="W552" t="inlineStr">
        <is>
          <t>1993-04-01</t>
        </is>
      </c>
      <c r="X552" t="inlineStr">
        <is>
          <t>1993-04-01</t>
        </is>
      </c>
      <c r="Y552" t="n">
        <v>275</v>
      </c>
      <c r="Z552" t="n">
        <v>205</v>
      </c>
      <c r="AA552" t="n">
        <v>226</v>
      </c>
      <c r="AB552" t="n">
        <v>1</v>
      </c>
      <c r="AC552" t="n">
        <v>1</v>
      </c>
      <c r="AD552" t="n">
        <v>7</v>
      </c>
      <c r="AE552" t="n">
        <v>9</v>
      </c>
      <c r="AF552" t="n">
        <v>4</v>
      </c>
      <c r="AG552" t="n">
        <v>6</v>
      </c>
      <c r="AH552" t="n">
        <v>2</v>
      </c>
      <c r="AI552" t="n">
        <v>2</v>
      </c>
      <c r="AJ552" t="n">
        <v>5</v>
      </c>
      <c r="AK552" t="n">
        <v>6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HYPERLINK("http://catalog.hathitrust.org/Record/000634546","HathiTrust Record")</f>
        <v/>
      </c>
      <c r="AS552">
        <f>HYPERLINK("https://creighton-primo.hosted.exlibrisgroup.com/primo-explore/search?tab=default_tab&amp;search_scope=EVERYTHING&amp;vid=01CRU&amp;lang=en_US&amp;offset=0&amp;query=any,contains,991000842439702656","Catalog Record")</f>
        <v/>
      </c>
      <c r="AT552">
        <f>HYPERLINK("http://www.worldcat.org/oclc/13526182","WorldCat Record")</f>
        <v/>
      </c>
      <c r="AU552" t="inlineStr">
        <is>
          <t>138567372:eng</t>
        </is>
      </c>
      <c r="AV552" t="inlineStr">
        <is>
          <t>13526182</t>
        </is>
      </c>
      <c r="AW552" t="inlineStr">
        <is>
          <t>991000842439702656</t>
        </is>
      </c>
      <c r="AX552" t="inlineStr">
        <is>
          <t>991000842439702656</t>
        </is>
      </c>
      <c r="AY552" t="inlineStr">
        <is>
          <t>2260930890002656</t>
        </is>
      </c>
      <c r="AZ552" t="inlineStr">
        <is>
          <t>BOOK</t>
        </is>
      </c>
      <c r="BB552" t="inlineStr">
        <is>
          <t>9780306420368</t>
        </is>
      </c>
      <c r="BC552" t="inlineStr">
        <is>
          <t>32285001612794</t>
        </is>
      </c>
      <c r="BD552" t="inlineStr">
        <is>
          <t>893891064</t>
        </is>
      </c>
    </row>
    <row r="553">
      <c r="A553" t="inlineStr">
        <is>
          <t>No</t>
        </is>
      </c>
      <c r="B553" t="inlineStr">
        <is>
          <t>P99 .S47</t>
        </is>
      </c>
      <c r="C553" t="inlineStr">
        <is>
          <t>0                      P  0099000S  47</t>
        </is>
      </c>
      <c r="D553" t="inlineStr">
        <is>
          <t>Sight, sound, and sense / edited by Thomas A. Sebeok.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L553" t="inlineStr">
        <is>
          <t>Bloomington : Indiana University Press, c1978.</t>
        </is>
      </c>
      <c r="M553" t="inlineStr">
        <is>
          <t>1978</t>
        </is>
      </c>
      <c r="O553" t="inlineStr">
        <is>
          <t>eng</t>
        </is>
      </c>
      <c r="P553" t="inlineStr">
        <is>
          <t>inu</t>
        </is>
      </c>
      <c r="Q553" t="inlineStr">
        <is>
          <t>Advances in semiotics</t>
        </is>
      </c>
      <c r="R553" t="inlineStr">
        <is>
          <t xml:space="preserve">P  </t>
        </is>
      </c>
      <c r="S553" t="n">
        <v>3</v>
      </c>
      <c r="T553" t="n">
        <v>3</v>
      </c>
      <c r="U553" t="inlineStr">
        <is>
          <t>2003-05-05</t>
        </is>
      </c>
      <c r="V553" t="inlineStr">
        <is>
          <t>2003-05-05</t>
        </is>
      </c>
      <c r="W553" t="inlineStr">
        <is>
          <t>1993-04-01</t>
        </is>
      </c>
      <c r="X553" t="inlineStr">
        <is>
          <t>1993-04-01</t>
        </is>
      </c>
      <c r="Y553" t="n">
        <v>670</v>
      </c>
      <c r="Z553" t="n">
        <v>540</v>
      </c>
      <c r="AA553" t="n">
        <v>542</v>
      </c>
      <c r="AB553" t="n">
        <v>4</v>
      </c>
      <c r="AC553" t="n">
        <v>4</v>
      </c>
      <c r="AD553" t="n">
        <v>28</v>
      </c>
      <c r="AE553" t="n">
        <v>28</v>
      </c>
      <c r="AF553" t="n">
        <v>9</v>
      </c>
      <c r="AG553" t="n">
        <v>9</v>
      </c>
      <c r="AH553" t="n">
        <v>8</v>
      </c>
      <c r="AI553" t="n">
        <v>8</v>
      </c>
      <c r="AJ553" t="n">
        <v>15</v>
      </c>
      <c r="AK553" t="n">
        <v>15</v>
      </c>
      <c r="AL553" t="n">
        <v>3</v>
      </c>
      <c r="AM553" t="n">
        <v>3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HYPERLINK("http://catalog.hathitrust.org/Record/000293612","HathiTrust Record")</f>
        <v/>
      </c>
      <c r="AS553">
        <f>HYPERLINK("https://creighton-primo.hosted.exlibrisgroup.com/primo-explore/search?tab=default_tab&amp;search_scope=EVERYTHING&amp;vid=01CRU&amp;lang=en_US&amp;offset=0&amp;query=any,contains,991004363409702656","Catalog Record")</f>
        <v/>
      </c>
      <c r="AT553">
        <f>HYPERLINK("http://www.worldcat.org/oclc/3168432","WorldCat Record")</f>
        <v/>
      </c>
      <c r="AU553" t="inlineStr">
        <is>
          <t>3857799431:eng</t>
        </is>
      </c>
      <c r="AV553" t="inlineStr">
        <is>
          <t>3168432</t>
        </is>
      </c>
      <c r="AW553" t="inlineStr">
        <is>
          <t>991004363409702656</t>
        </is>
      </c>
      <c r="AX553" t="inlineStr">
        <is>
          <t>991004363409702656</t>
        </is>
      </c>
      <c r="AY553" t="inlineStr">
        <is>
          <t>2262970700002656</t>
        </is>
      </c>
      <c r="AZ553" t="inlineStr">
        <is>
          <t>BOOK</t>
        </is>
      </c>
      <c r="BB553" t="inlineStr">
        <is>
          <t>9780253352309</t>
        </is>
      </c>
      <c r="BC553" t="inlineStr">
        <is>
          <t>32285001612836</t>
        </is>
      </c>
      <c r="BD553" t="inlineStr">
        <is>
          <t>893687638</t>
        </is>
      </c>
    </row>
    <row r="554">
      <c r="A554" t="inlineStr">
        <is>
          <t>No</t>
        </is>
      </c>
      <c r="B554" t="inlineStr">
        <is>
          <t>P99 .T613 1982</t>
        </is>
      </c>
      <c r="C554" t="inlineStr">
        <is>
          <t>0                      P  0099000T  613         1982</t>
        </is>
      </c>
      <c r="D554" t="inlineStr">
        <is>
          <t>Theories of the symbol / Tzvetan Todorov ; Catherine Porter, translator.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Todorov, Tzvetan, 1939-2017.</t>
        </is>
      </c>
      <c r="L554" t="inlineStr">
        <is>
          <t>Oxford : Blackwell ; Ithaca, N.Y. : Cornell University Press, c1982.</t>
        </is>
      </c>
      <c r="M554" t="inlineStr">
        <is>
          <t>1982</t>
        </is>
      </c>
      <c r="O554" t="inlineStr">
        <is>
          <t>eng</t>
        </is>
      </c>
      <c r="P554" t="inlineStr">
        <is>
          <t>enk</t>
        </is>
      </c>
      <c r="R554" t="inlineStr">
        <is>
          <t xml:space="preserve">P  </t>
        </is>
      </c>
      <c r="S554" t="n">
        <v>4</v>
      </c>
      <c r="T554" t="n">
        <v>4</v>
      </c>
      <c r="U554" t="inlineStr">
        <is>
          <t>1997-05-14</t>
        </is>
      </c>
      <c r="V554" t="inlineStr">
        <is>
          <t>1997-05-14</t>
        </is>
      </c>
      <c r="W554" t="inlineStr">
        <is>
          <t>1993-04-01</t>
        </is>
      </c>
      <c r="X554" t="inlineStr">
        <is>
          <t>1993-04-01</t>
        </is>
      </c>
      <c r="Y554" t="n">
        <v>744</v>
      </c>
      <c r="Z554" t="n">
        <v>633</v>
      </c>
      <c r="AA554" t="n">
        <v>668</v>
      </c>
      <c r="AB554" t="n">
        <v>4</v>
      </c>
      <c r="AC554" t="n">
        <v>4</v>
      </c>
      <c r="AD554" t="n">
        <v>38</v>
      </c>
      <c r="AE554" t="n">
        <v>38</v>
      </c>
      <c r="AF554" t="n">
        <v>15</v>
      </c>
      <c r="AG554" t="n">
        <v>15</v>
      </c>
      <c r="AH554" t="n">
        <v>9</v>
      </c>
      <c r="AI554" t="n">
        <v>9</v>
      </c>
      <c r="AJ554" t="n">
        <v>20</v>
      </c>
      <c r="AK554" t="n">
        <v>20</v>
      </c>
      <c r="AL554" t="n">
        <v>3</v>
      </c>
      <c r="AM554" t="n">
        <v>3</v>
      </c>
      <c r="AN554" t="n">
        <v>1</v>
      </c>
      <c r="AO554" t="n">
        <v>1</v>
      </c>
      <c r="AP554" t="inlineStr">
        <is>
          <t>No</t>
        </is>
      </c>
      <c r="AQ554" t="inlineStr">
        <is>
          <t>No</t>
        </is>
      </c>
      <c r="AS554">
        <f>HYPERLINK("https://creighton-primo.hosted.exlibrisgroup.com/primo-explore/search?tab=default_tab&amp;search_scope=EVERYTHING&amp;vid=01CRU&amp;lang=en_US&amp;offset=0&amp;query=any,contains,991005183119702656","Catalog Record")</f>
        <v/>
      </c>
      <c r="AT554">
        <f>HYPERLINK("http://www.worldcat.org/oclc/7947634","WorldCat Record")</f>
        <v/>
      </c>
      <c r="AU554" t="inlineStr">
        <is>
          <t>450426:eng</t>
        </is>
      </c>
      <c r="AV554" t="inlineStr">
        <is>
          <t>7947634</t>
        </is>
      </c>
      <c r="AW554" t="inlineStr">
        <is>
          <t>991005183119702656</t>
        </is>
      </c>
      <c r="AX554" t="inlineStr">
        <is>
          <t>991005183119702656</t>
        </is>
      </c>
      <c r="AY554" t="inlineStr">
        <is>
          <t>2270010780002656</t>
        </is>
      </c>
      <c r="AZ554" t="inlineStr">
        <is>
          <t>BOOK</t>
        </is>
      </c>
      <c r="BB554" t="inlineStr">
        <is>
          <t>9780801411922</t>
        </is>
      </c>
      <c r="BC554" t="inlineStr">
        <is>
          <t>32285001612869</t>
        </is>
      </c>
      <c r="BD554" t="inlineStr">
        <is>
          <t>893437296</t>
        </is>
      </c>
    </row>
    <row r="555">
      <c r="A555" t="inlineStr">
        <is>
          <t>No</t>
        </is>
      </c>
      <c r="B555" t="inlineStr">
        <is>
          <t>P99.5 .G7 1980</t>
        </is>
      </c>
      <c r="C555" t="inlineStr">
        <is>
          <t>0                      P  0099500G  7           1980</t>
        </is>
      </c>
      <c r="D555" t="inlineStr">
        <is>
          <t>Aspects of nonverbal communication in the ancient Near East / Mayer I. Gruber.</t>
        </is>
      </c>
      <c r="E555" t="inlineStr">
        <is>
          <t>V. 1</t>
        </is>
      </c>
      <c r="F555" t="inlineStr">
        <is>
          <t>Yes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Gruber, Mayer I. (Mayer Irwin)</t>
        </is>
      </c>
      <c r="L555" t="inlineStr">
        <is>
          <t>Rome : Biblical Institute Press, 1980.</t>
        </is>
      </c>
      <c r="M555" t="inlineStr">
        <is>
          <t>1980</t>
        </is>
      </c>
      <c r="O555" t="inlineStr">
        <is>
          <t>eng</t>
        </is>
      </c>
      <c r="P555" t="inlineStr">
        <is>
          <t xml:space="preserve">it </t>
        </is>
      </c>
      <c r="Q555" t="inlineStr">
        <is>
          <t>Studia Pohl ; 12</t>
        </is>
      </c>
      <c r="R555" t="inlineStr">
        <is>
          <t xml:space="preserve">P  </t>
        </is>
      </c>
      <c r="S555" t="n">
        <v>2</v>
      </c>
      <c r="T555" t="n">
        <v>4</v>
      </c>
      <c r="U555" t="inlineStr">
        <is>
          <t>2000-08-09</t>
        </is>
      </c>
      <c r="V555" t="inlineStr">
        <is>
          <t>2000-08-09</t>
        </is>
      </c>
      <c r="W555" t="inlineStr">
        <is>
          <t>1993-04-01</t>
        </is>
      </c>
      <c r="X555" t="inlineStr">
        <is>
          <t>1993-04-01</t>
        </is>
      </c>
      <c r="Y555" t="n">
        <v>226</v>
      </c>
      <c r="Z555" t="n">
        <v>172</v>
      </c>
      <c r="AA555" t="n">
        <v>178</v>
      </c>
      <c r="AB555" t="n">
        <v>1</v>
      </c>
      <c r="AC555" t="n">
        <v>1</v>
      </c>
      <c r="AD555" t="n">
        <v>8</v>
      </c>
      <c r="AE555" t="n">
        <v>8</v>
      </c>
      <c r="AF555" t="n">
        <v>1</v>
      </c>
      <c r="AG555" t="n">
        <v>1</v>
      </c>
      <c r="AH555" t="n">
        <v>4</v>
      </c>
      <c r="AI555" t="n">
        <v>4</v>
      </c>
      <c r="AJ555" t="n">
        <v>6</v>
      </c>
      <c r="AK555" t="n">
        <v>6</v>
      </c>
      <c r="AL555" t="n">
        <v>0</v>
      </c>
      <c r="AM555" t="n">
        <v>0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HYPERLINK("http://catalog.hathitrust.org/Record/000492652","HathiTrust Record")</f>
        <v/>
      </c>
      <c r="AS555">
        <f>HYPERLINK("https://creighton-primo.hosted.exlibrisgroup.com/primo-explore/search?tab=default_tab&amp;search_scope=EVERYTHING&amp;vid=01CRU&amp;lang=en_US&amp;offset=0&amp;query=any,contains,991005145299702656","Catalog Record")</f>
        <v/>
      </c>
      <c r="AT555">
        <f>HYPERLINK("http://www.worldcat.org/oclc/7657487","WorldCat Record")</f>
        <v/>
      </c>
      <c r="AU555" t="inlineStr">
        <is>
          <t>12461078:eng</t>
        </is>
      </c>
      <c r="AV555" t="inlineStr">
        <is>
          <t>7657487</t>
        </is>
      </c>
      <c r="AW555" t="inlineStr">
        <is>
          <t>991005145299702656</t>
        </is>
      </c>
      <c r="AX555" t="inlineStr">
        <is>
          <t>991005145299702656</t>
        </is>
      </c>
      <c r="AY555" t="inlineStr">
        <is>
          <t>2260975350002656</t>
        </is>
      </c>
      <c r="AZ555" t="inlineStr">
        <is>
          <t>BOOK</t>
        </is>
      </c>
      <c r="BC555" t="inlineStr">
        <is>
          <t>32285001612885</t>
        </is>
      </c>
      <c r="BD555" t="inlineStr">
        <is>
          <t>893443478</t>
        </is>
      </c>
    </row>
    <row r="556">
      <c r="A556" t="inlineStr">
        <is>
          <t>No</t>
        </is>
      </c>
      <c r="B556" t="inlineStr">
        <is>
          <t>P99.5 .G7 1980</t>
        </is>
      </c>
      <c r="C556" t="inlineStr">
        <is>
          <t>0                      P  0099500G  7           1980</t>
        </is>
      </c>
      <c r="D556" t="inlineStr">
        <is>
          <t>Aspects of nonverbal communication in the ancient Near East / Mayer I. Gruber.</t>
        </is>
      </c>
      <c r="E556" t="inlineStr">
        <is>
          <t>V. 2</t>
        </is>
      </c>
      <c r="F556" t="inlineStr">
        <is>
          <t>Yes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Gruber, Mayer I. (Mayer Irwin)</t>
        </is>
      </c>
      <c r="L556" t="inlineStr">
        <is>
          <t>Rome : Biblical Institute Press, 1980.</t>
        </is>
      </c>
      <c r="M556" t="inlineStr">
        <is>
          <t>1980</t>
        </is>
      </c>
      <c r="O556" t="inlineStr">
        <is>
          <t>eng</t>
        </is>
      </c>
      <c r="P556" t="inlineStr">
        <is>
          <t xml:space="preserve">it </t>
        </is>
      </c>
      <c r="Q556" t="inlineStr">
        <is>
          <t>Studia Pohl ; 12</t>
        </is>
      </c>
      <c r="R556" t="inlineStr">
        <is>
          <t xml:space="preserve">P  </t>
        </is>
      </c>
      <c r="S556" t="n">
        <v>2</v>
      </c>
      <c r="T556" t="n">
        <v>4</v>
      </c>
      <c r="U556" t="inlineStr">
        <is>
          <t>2000-08-09</t>
        </is>
      </c>
      <c r="V556" t="inlineStr">
        <is>
          <t>2000-08-09</t>
        </is>
      </c>
      <c r="W556" t="inlineStr">
        <is>
          <t>1993-04-01</t>
        </is>
      </c>
      <c r="X556" t="inlineStr">
        <is>
          <t>1993-04-01</t>
        </is>
      </c>
      <c r="Y556" t="n">
        <v>226</v>
      </c>
      <c r="Z556" t="n">
        <v>172</v>
      </c>
      <c r="AA556" t="n">
        <v>178</v>
      </c>
      <c r="AB556" t="n">
        <v>1</v>
      </c>
      <c r="AC556" t="n">
        <v>1</v>
      </c>
      <c r="AD556" t="n">
        <v>8</v>
      </c>
      <c r="AE556" t="n">
        <v>8</v>
      </c>
      <c r="AF556" t="n">
        <v>1</v>
      </c>
      <c r="AG556" t="n">
        <v>1</v>
      </c>
      <c r="AH556" t="n">
        <v>4</v>
      </c>
      <c r="AI556" t="n">
        <v>4</v>
      </c>
      <c r="AJ556" t="n">
        <v>6</v>
      </c>
      <c r="AK556" t="n">
        <v>6</v>
      </c>
      <c r="AL556" t="n">
        <v>0</v>
      </c>
      <c r="AM556" t="n">
        <v>0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HYPERLINK("http://catalog.hathitrust.org/Record/000492652","HathiTrust Record")</f>
        <v/>
      </c>
      <c r="AS556">
        <f>HYPERLINK("https://creighton-primo.hosted.exlibrisgroup.com/primo-explore/search?tab=default_tab&amp;search_scope=EVERYTHING&amp;vid=01CRU&amp;lang=en_US&amp;offset=0&amp;query=any,contains,991005145299702656","Catalog Record")</f>
        <v/>
      </c>
      <c r="AT556">
        <f>HYPERLINK("http://www.worldcat.org/oclc/7657487","WorldCat Record")</f>
        <v/>
      </c>
      <c r="AU556" t="inlineStr">
        <is>
          <t>12461078:eng</t>
        </is>
      </c>
      <c r="AV556" t="inlineStr">
        <is>
          <t>7657487</t>
        </is>
      </c>
      <c r="AW556" t="inlineStr">
        <is>
          <t>991005145299702656</t>
        </is>
      </c>
      <c r="AX556" t="inlineStr">
        <is>
          <t>991005145299702656</t>
        </is>
      </c>
      <c r="AY556" t="inlineStr">
        <is>
          <t>2260975350002656</t>
        </is>
      </c>
      <c r="AZ556" t="inlineStr">
        <is>
          <t>BOOK</t>
        </is>
      </c>
      <c r="BC556" t="inlineStr">
        <is>
          <t>32285001612893</t>
        </is>
      </c>
      <c r="BD556" t="inlineStr">
        <is>
          <t>893412389</t>
        </is>
      </c>
    </row>
    <row r="557">
      <c r="A557" t="inlineStr">
        <is>
          <t>No</t>
        </is>
      </c>
      <c r="B557" t="inlineStr">
        <is>
          <t>P99.5 .H37 1978</t>
        </is>
      </c>
      <c r="C557" t="inlineStr">
        <is>
          <t>0                      P  0099500H  37          1978</t>
        </is>
      </c>
      <c r="D557" t="inlineStr">
        <is>
          <t>Nonverbal communication : the state of the art / Robert G. Harper, Arthur N. Wiens, Joseph D. Matarazzo.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Harper, Robert Gale, 1944-</t>
        </is>
      </c>
      <c r="L557" t="inlineStr">
        <is>
          <t>New York : Wiley, c1978.</t>
        </is>
      </c>
      <c r="M557" t="inlineStr">
        <is>
          <t>1978</t>
        </is>
      </c>
      <c r="O557" t="inlineStr">
        <is>
          <t>eng</t>
        </is>
      </c>
      <c r="P557" t="inlineStr">
        <is>
          <t>nyu</t>
        </is>
      </c>
      <c r="Q557" t="inlineStr">
        <is>
          <t>Wiley series on personality processes</t>
        </is>
      </c>
      <c r="R557" t="inlineStr">
        <is>
          <t xml:space="preserve">P  </t>
        </is>
      </c>
      <c r="S557" t="n">
        <v>3</v>
      </c>
      <c r="T557" t="n">
        <v>3</v>
      </c>
      <c r="U557" t="inlineStr">
        <is>
          <t>2001-09-12</t>
        </is>
      </c>
      <c r="V557" t="inlineStr">
        <is>
          <t>2001-09-12</t>
        </is>
      </c>
      <c r="W557" t="inlineStr">
        <is>
          <t>1992-04-24</t>
        </is>
      </c>
      <c r="X557" t="inlineStr">
        <is>
          <t>1992-04-24</t>
        </is>
      </c>
      <c r="Y557" t="n">
        <v>847</v>
      </c>
      <c r="Z557" t="n">
        <v>676</v>
      </c>
      <c r="AA557" t="n">
        <v>683</v>
      </c>
      <c r="AB557" t="n">
        <v>9</v>
      </c>
      <c r="AC557" t="n">
        <v>9</v>
      </c>
      <c r="AD557" t="n">
        <v>38</v>
      </c>
      <c r="AE557" t="n">
        <v>38</v>
      </c>
      <c r="AF557" t="n">
        <v>18</v>
      </c>
      <c r="AG557" t="n">
        <v>18</v>
      </c>
      <c r="AH557" t="n">
        <v>6</v>
      </c>
      <c r="AI557" t="n">
        <v>6</v>
      </c>
      <c r="AJ557" t="n">
        <v>16</v>
      </c>
      <c r="AK557" t="n">
        <v>16</v>
      </c>
      <c r="AL557" t="n">
        <v>6</v>
      </c>
      <c r="AM557" t="n">
        <v>6</v>
      </c>
      <c r="AN557" t="n">
        <v>1</v>
      </c>
      <c r="AO557" t="n">
        <v>1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HYPERLINK("http://catalog.hathitrust.org/Record/000091484","HathiTrust Record")</f>
        <v/>
      </c>
      <c r="AS557">
        <f>HYPERLINK("https://creighton-primo.hosted.exlibrisgroup.com/primo-explore/search?tab=default_tab&amp;search_scope=EVERYTHING&amp;vid=01CRU&amp;lang=en_US&amp;offset=0&amp;query=any,contains,991004475049702656","Catalog Record")</f>
        <v/>
      </c>
      <c r="AT557">
        <f>HYPERLINK("http://www.worldcat.org/oclc/3608849","WorldCat Record")</f>
        <v/>
      </c>
      <c r="AU557" t="inlineStr">
        <is>
          <t>488417:eng</t>
        </is>
      </c>
      <c r="AV557" t="inlineStr">
        <is>
          <t>3608849</t>
        </is>
      </c>
      <c r="AW557" t="inlineStr">
        <is>
          <t>991004475049702656</t>
        </is>
      </c>
      <c r="AX557" t="inlineStr">
        <is>
          <t>991004475049702656</t>
        </is>
      </c>
      <c r="AY557" t="inlineStr">
        <is>
          <t>2271042540002656</t>
        </is>
      </c>
      <c r="AZ557" t="inlineStr">
        <is>
          <t>BOOK</t>
        </is>
      </c>
      <c r="BB557" t="inlineStr">
        <is>
          <t>9780471026723</t>
        </is>
      </c>
      <c r="BC557" t="inlineStr">
        <is>
          <t>32285001071306</t>
        </is>
      </c>
      <c r="BD557" t="inlineStr">
        <is>
          <t>893229404</t>
        </is>
      </c>
    </row>
    <row r="558">
      <c r="A558" t="inlineStr">
        <is>
          <t>No</t>
        </is>
      </c>
      <c r="B558" t="inlineStr">
        <is>
          <t>P99.5 .J67 1996</t>
        </is>
      </c>
      <c r="C558" t="inlineStr">
        <is>
          <t>0                      P  0099500J  67          1996</t>
        </is>
      </c>
      <c r="D558" t="inlineStr">
        <is>
          <t>Touch / Gabriel Josipovici.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Josipovici, Gabriel, 1940-</t>
        </is>
      </c>
      <c r="L558" t="inlineStr">
        <is>
          <t>New Haven : Yale University Press, c1996.</t>
        </is>
      </c>
      <c r="M558" t="inlineStr">
        <is>
          <t>1996</t>
        </is>
      </c>
      <c r="O558" t="inlineStr">
        <is>
          <t>eng</t>
        </is>
      </c>
      <c r="P558" t="inlineStr">
        <is>
          <t>ctu</t>
        </is>
      </c>
      <c r="R558" t="inlineStr">
        <is>
          <t xml:space="preserve">P  </t>
        </is>
      </c>
      <c r="S558" t="n">
        <v>8</v>
      </c>
      <c r="T558" t="n">
        <v>8</v>
      </c>
      <c r="U558" t="inlineStr">
        <is>
          <t>2006-03-21</t>
        </is>
      </c>
      <c r="V558" t="inlineStr">
        <is>
          <t>2006-03-21</t>
        </is>
      </c>
      <c r="W558" t="inlineStr">
        <is>
          <t>1997-10-03</t>
        </is>
      </c>
      <c r="X558" t="inlineStr">
        <is>
          <t>1997-10-03</t>
        </is>
      </c>
      <c r="Y558" t="n">
        <v>355</v>
      </c>
      <c r="Z558" t="n">
        <v>261</v>
      </c>
      <c r="AA558" t="n">
        <v>464</v>
      </c>
      <c r="AB558" t="n">
        <v>3</v>
      </c>
      <c r="AC558" t="n">
        <v>3</v>
      </c>
      <c r="AD558" t="n">
        <v>17</v>
      </c>
      <c r="AE558" t="n">
        <v>27</v>
      </c>
      <c r="AF558" t="n">
        <v>6</v>
      </c>
      <c r="AG558" t="n">
        <v>12</v>
      </c>
      <c r="AH558" t="n">
        <v>5</v>
      </c>
      <c r="AI558" t="n">
        <v>8</v>
      </c>
      <c r="AJ558" t="n">
        <v>10</v>
      </c>
      <c r="AK558" t="n">
        <v>14</v>
      </c>
      <c r="AL558" t="n">
        <v>2</v>
      </c>
      <c r="AM558" t="n">
        <v>2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HYPERLINK("https://creighton-primo.hosted.exlibrisgroup.com/primo-explore/search?tab=default_tab&amp;search_scope=EVERYTHING&amp;vid=01CRU&amp;lang=en_US&amp;offset=0&amp;query=any,contains,991002663459702656","Catalog Record")</f>
        <v/>
      </c>
      <c r="AT558">
        <f>HYPERLINK("http://www.worldcat.org/oclc/34824030","WorldCat Record")</f>
        <v/>
      </c>
      <c r="AU558" t="inlineStr">
        <is>
          <t>40039332:eng</t>
        </is>
      </c>
      <c r="AV558" t="inlineStr">
        <is>
          <t>34824030</t>
        </is>
      </c>
      <c r="AW558" t="inlineStr">
        <is>
          <t>991002663459702656</t>
        </is>
      </c>
      <c r="AX558" t="inlineStr">
        <is>
          <t>991002663459702656</t>
        </is>
      </c>
      <c r="AY558" t="inlineStr">
        <is>
          <t>2262098830002656</t>
        </is>
      </c>
      <c r="AZ558" t="inlineStr">
        <is>
          <t>BOOK</t>
        </is>
      </c>
      <c r="BB558" t="inlineStr">
        <is>
          <t>9780300066906</t>
        </is>
      </c>
      <c r="BC558" t="inlineStr">
        <is>
          <t>32285003252607</t>
        </is>
      </c>
      <c r="BD558" t="inlineStr">
        <is>
          <t>893245461</t>
        </is>
      </c>
    </row>
    <row r="559">
      <c r="A559" t="inlineStr">
        <is>
          <t>No</t>
        </is>
      </c>
      <c r="B559" t="inlineStr">
        <is>
          <t>P99.5 .K4</t>
        </is>
      </c>
      <c r="C559" t="inlineStr">
        <is>
          <t>0                      P  0099500K  4</t>
        </is>
      </c>
      <c r="D559" t="inlineStr">
        <is>
          <t>Nonverbal communication : a research guide &amp; bibliography / by Mary Ritchie Key.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Key, Mary Ritchie.</t>
        </is>
      </c>
      <c r="L559" t="inlineStr">
        <is>
          <t>Metuchen, N.J. : Scarecrow Press, 1977.</t>
        </is>
      </c>
      <c r="M559" t="inlineStr">
        <is>
          <t>1977</t>
        </is>
      </c>
      <c r="O559" t="inlineStr">
        <is>
          <t>eng</t>
        </is>
      </c>
      <c r="P559" t="inlineStr">
        <is>
          <t>nju</t>
        </is>
      </c>
      <c r="R559" t="inlineStr">
        <is>
          <t xml:space="preserve">P  </t>
        </is>
      </c>
      <c r="S559" t="n">
        <v>5</v>
      </c>
      <c r="T559" t="n">
        <v>5</v>
      </c>
      <c r="U559" t="inlineStr">
        <is>
          <t>2010-11-02</t>
        </is>
      </c>
      <c r="V559" t="inlineStr">
        <is>
          <t>2010-11-02</t>
        </is>
      </c>
      <c r="W559" t="inlineStr">
        <is>
          <t>1990-10-25</t>
        </is>
      </c>
      <c r="X559" t="inlineStr">
        <is>
          <t>1990-10-25</t>
        </is>
      </c>
      <c r="Y559" t="n">
        <v>508</v>
      </c>
      <c r="Z559" t="n">
        <v>411</v>
      </c>
      <c r="AA559" t="n">
        <v>419</v>
      </c>
      <c r="AB559" t="n">
        <v>7</v>
      </c>
      <c r="AC559" t="n">
        <v>7</v>
      </c>
      <c r="AD559" t="n">
        <v>21</v>
      </c>
      <c r="AE559" t="n">
        <v>21</v>
      </c>
      <c r="AF559" t="n">
        <v>5</v>
      </c>
      <c r="AG559" t="n">
        <v>5</v>
      </c>
      <c r="AH559" t="n">
        <v>4</v>
      </c>
      <c r="AI559" t="n">
        <v>4</v>
      </c>
      <c r="AJ559" t="n">
        <v>12</v>
      </c>
      <c r="AK559" t="n">
        <v>12</v>
      </c>
      <c r="AL559" t="n">
        <v>5</v>
      </c>
      <c r="AM559" t="n">
        <v>5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HYPERLINK("http://catalog.hathitrust.org/Record/000169716","HathiTrust Record")</f>
        <v/>
      </c>
      <c r="AS559">
        <f>HYPERLINK("https://creighton-primo.hosted.exlibrisgroup.com/primo-explore/search?tab=default_tab&amp;search_scope=EVERYTHING&amp;vid=01CRU&amp;lang=en_US&amp;offset=0&amp;query=any,contains,991004202159702656","Catalog Record")</f>
        <v/>
      </c>
      <c r="AT559">
        <f>HYPERLINK("http://www.worldcat.org/oclc/2655673","WorldCat Record")</f>
        <v/>
      </c>
      <c r="AU559" t="inlineStr">
        <is>
          <t>3857078951:eng</t>
        </is>
      </c>
      <c r="AV559" t="inlineStr">
        <is>
          <t>2655673</t>
        </is>
      </c>
      <c r="AW559" t="inlineStr">
        <is>
          <t>991004202159702656</t>
        </is>
      </c>
      <c r="AX559" t="inlineStr">
        <is>
          <t>991004202159702656</t>
        </is>
      </c>
      <c r="AY559" t="inlineStr">
        <is>
          <t>2256092570002656</t>
        </is>
      </c>
      <c r="AZ559" t="inlineStr">
        <is>
          <t>BOOK</t>
        </is>
      </c>
      <c r="BB559" t="inlineStr">
        <is>
          <t>9780810810143</t>
        </is>
      </c>
      <c r="BC559" t="inlineStr">
        <is>
          <t>32285000353739</t>
        </is>
      </c>
      <c r="BD559" t="inlineStr">
        <is>
          <t>893894695</t>
        </is>
      </c>
    </row>
    <row r="560">
      <c r="A560" t="inlineStr">
        <is>
          <t>No</t>
        </is>
      </c>
      <c r="B560" t="inlineStr">
        <is>
          <t>P99.5 .M34 1983</t>
        </is>
      </c>
      <c r="C560" t="inlineStr">
        <is>
          <t>0                      P  0099500M  34          1983</t>
        </is>
      </c>
      <c r="D560" t="inlineStr">
        <is>
          <t>Nonverbal communication / Loretta A. Malandro and Larry L. Barker.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Malandro, Loretta A.</t>
        </is>
      </c>
      <c r="L560" t="inlineStr">
        <is>
          <t>Reading, MA : Addison-Wesley Pub. Co., c1983.</t>
        </is>
      </c>
      <c r="M560" t="inlineStr">
        <is>
          <t>1983</t>
        </is>
      </c>
      <c r="O560" t="inlineStr">
        <is>
          <t>eng</t>
        </is>
      </c>
      <c r="P560" t="inlineStr">
        <is>
          <t>mau</t>
        </is>
      </c>
      <c r="R560" t="inlineStr">
        <is>
          <t xml:space="preserve">P  </t>
        </is>
      </c>
      <c r="S560" t="n">
        <v>18</v>
      </c>
      <c r="T560" t="n">
        <v>18</v>
      </c>
      <c r="U560" t="inlineStr">
        <is>
          <t>2010-11-02</t>
        </is>
      </c>
      <c r="V560" t="inlineStr">
        <is>
          <t>2010-11-02</t>
        </is>
      </c>
      <c r="W560" t="inlineStr">
        <is>
          <t>1992-03-10</t>
        </is>
      </c>
      <c r="X560" t="inlineStr">
        <is>
          <t>1992-03-10</t>
        </is>
      </c>
      <c r="Y560" t="n">
        <v>187</v>
      </c>
      <c r="Z560" t="n">
        <v>160</v>
      </c>
      <c r="AA560" t="n">
        <v>334</v>
      </c>
      <c r="AB560" t="n">
        <v>4</v>
      </c>
      <c r="AC560" t="n">
        <v>5</v>
      </c>
      <c r="AD560" t="n">
        <v>6</v>
      </c>
      <c r="AE560" t="n">
        <v>11</v>
      </c>
      <c r="AF560" t="n">
        <v>2</v>
      </c>
      <c r="AG560" t="n">
        <v>4</v>
      </c>
      <c r="AH560" t="n">
        <v>1</v>
      </c>
      <c r="AI560" t="n">
        <v>2</v>
      </c>
      <c r="AJ560" t="n">
        <v>0</v>
      </c>
      <c r="AK560" t="n">
        <v>2</v>
      </c>
      <c r="AL560" t="n">
        <v>3</v>
      </c>
      <c r="AM560" t="n">
        <v>4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HYPERLINK("http://catalog.hathitrust.org/Record/000312184","HathiTrust Record")</f>
        <v/>
      </c>
      <c r="AS560">
        <f>HYPERLINK("https://creighton-primo.hosted.exlibrisgroup.com/primo-explore/search?tab=default_tab&amp;search_scope=EVERYTHING&amp;vid=01CRU&amp;lang=en_US&amp;offset=0&amp;query=any,contains,991005219959702656","Catalog Record")</f>
        <v/>
      </c>
      <c r="AT560">
        <f>HYPERLINK("http://www.worldcat.org/oclc/8220871","WorldCat Record")</f>
        <v/>
      </c>
      <c r="AU560" t="inlineStr">
        <is>
          <t>407061:eng</t>
        </is>
      </c>
      <c r="AV560" t="inlineStr">
        <is>
          <t>8220871</t>
        </is>
      </c>
      <c r="AW560" t="inlineStr">
        <is>
          <t>991005219959702656</t>
        </is>
      </c>
      <c r="AX560" t="inlineStr">
        <is>
          <t>991005219959702656</t>
        </is>
      </c>
      <c r="AY560" t="inlineStr">
        <is>
          <t>2268476080002656</t>
        </is>
      </c>
      <c r="AZ560" t="inlineStr">
        <is>
          <t>BOOK</t>
        </is>
      </c>
      <c r="BB560" t="inlineStr">
        <is>
          <t>9780201053364</t>
        </is>
      </c>
      <c r="BC560" t="inlineStr">
        <is>
          <t>32285000996545</t>
        </is>
      </c>
      <c r="BD560" t="inlineStr">
        <is>
          <t>893248567</t>
        </is>
      </c>
    </row>
    <row r="561">
      <c r="A561" t="inlineStr">
        <is>
          <t>No</t>
        </is>
      </c>
      <c r="B561" t="inlineStr">
        <is>
          <t>P99.5 .N64 1983</t>
        </is>
      </c>
      <c r="C561" t="inlineStr">
        <is>
          <t>0                      P  0099500N  64          1983</t>
        </is>
      </c>
      <c r="D561" t="inlineStr">
        <is>
          <t>Nonverbal interaction / John M. Wiemann and Randall P. Harrison, editors.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L561" t="inlineStr">
        <is>
          <t>Beverly Hills : Sage Publications, c1983.</t>
        </is>
      </c>
      <c r="M561" t="inlineStr">
        <is>
          <t>1983</t>
        </is>
      </c>
      <c r="O561" t="inlineStr">
        <is>
          <t>eng</t>
        </is>
      </c>
      <c r="P561" t="inlineStr">
        <is>
          <t>cau</t>
        </is>
      </c>
      <c r="Q561" t="inlineStr">
        <is>
          <t>Sage annual reviews of communication research ; v. 11</t>
        </is>
      </c>
      <c r="R561" t="inlineStr">
        <is>
          <t xml:space="preserve">P  </t>
        </is>
      </c>
      <c r="S561" t="n">
        <v>8</v>
      </c>
      <c r="T561" t="n">
        <v>8</v>
      </c>
      <c r="U561" t="inlineStr">
        <is>
          <t>2010-11-02</t>
        </is>
      </c>
      <c r="V561" t="inlineStr">
        <is>
          <t>2010-11-02</t>
        </is>
      </c>
      <c r="W561" t="inlineStr">
        <is>
          <t>1991-11-13</t>
        </is>
      </c>
      <c r="X561" t="inlineStr">
        <is>
          <t>1991-11-13</t>
        </is>
      </c>
      <c r="Y561" t="n">
        <v>556</v>
      </c>
      <c r="Z561" t="n">
        <v>413</v>
      </c>
      <c r="AA561" t="n">
        <v>431</v>
      </c>
      <c r="AB561" t="n">
        <v>6</v>
      </c>
      <c r="AC561" t="n">
        <v>6</v>
      </c>
      <c r="AD561" t="n">
        <v>26</v>
      </c>
      <c r="AE561" t="n">
        <v>28</v>
      </c>
      <c r="AF561" t="n">
        <v>13</v>
      </c>
      <c r="AG561" t="n">
        <v>14</v>
      </c>
      <c r="AH561" t="n">
        <v>3</v>
      </c>
      <c r="AI561" t="n">
        <v>4</v>
      </c>
      <c r="AJ561" t="n">
        <v>13</v>
      </c>
      <c r="AK561" t="n">
        <v>13</v>
      </c>
      <c r="AL561" t="n">
        <v>5</v>
      </c>
      <c r="AM561" t="n">
        <v>5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HYPERLINK("http://catalog.hathitrust.org/Record/000117544","HathiTrust Record")</f>
        <v/>
      </c>
      <c r="AS561">
        <f>HYPERLINK("https://creighton-primo.hosted.exlibrisgroup.com/primo-explore/search?tab=default_tab&amp;search_scope=EVERYTHING&amp;vid=01CRU&amp;lang=en_US&amp;offset=0&amp;query=any,contains,991000096399702656","Catalog Record")</f>
        <v/>
      </c>
      <c r="AT561">
        <f>HYPERLINK("http://www.worldcat.org/oclc/8929237","WorldCat Record")</f>
        <v/>
      </c>
      <c r="AU561" t="inlineStr">
        <is>
          <t>350338038:eng</t>
        </is>
      </c>
      <c r="AV561" t="inlineStr">
        <is>
          <t>8929237</t>
        </is>
      </c>
      <c r="AW561" t="inlineStr">
        <is>
          <t>991000096399702656</t>
        </is>
      </c>
      <c r="AX561" t="inlineStr">
        <is>
          <t>991000096399702656</t>
        </is>
      </c>
      <c r="AY561" t="inlineStr">
        <is>
          <t>2266385950002656</t>
        </is>
      </c>
      <c r="AZ561" t="inlineStr">
        <is>
          <t>BOOK</t>
        </is>
      </c>
      <c r="BB561" t="inlineStr">
        <is>
          <t>9780803919310</t>
        </is>
      </c>
      <c r="BC561" t="inlineStr">
        <is>
          <t>32285000823962</t>
        </is>
      </c>
      <c r="BD561" t="inlineStr">
        <is>
          <t>893771377</t>
        </is>
      </c>
    </row>
    <row r="562">
      <c r="A562" t="inlineStr">
        <is>
          <t>No</t>
        </is>
      </c>
      <c r="B562" t="inlineStr">
        <is>
          <t>P99.5 .P69 1983</t>
        </is>
      </c>
      <c r="C562" t="inlineStr">
        <is>
          <t>0                      P  0099500P  69          1983</t>
        </is>
      </c>
      <c r="D562" t="inlineStr">
        <is>
          <t>New perspectives in nonverbal communication : studies in cultural anthropology, social psychology, linguistics, literature, and semiotics / by Fernando Poyatos.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Poyatos, Fernando.</t>
        </is>
      </c>
      <c r="L562" t="inlineStr">
        <is>
          <t>Oxford [Oxfordshire] ; New York : Pergamon Press, 1983.</t>
        </is>
      </c>
      <c r="M562" t="inlineStr">
        <is>
          <t>1983</t>
        </is>
      </c>
      <c r="N562" t="inlineStr">
        <is>
          <t>1st ed.</t>
        </is>
      </c>
      <c r="O562" t="inlineStr">
        <is>
          <t>eng</t>
        </is>
      </c>
      <c r="P562" t="inlineStr">
        <is>
          <t>enk</t>
        </is>
      </c>
      <c r="Q562" t="inlineStr">
        <is>
          <t>Language &amp; communication library ; 5</t>
        </is>
      </c>
      <c r="R562" t="inlineStr">
        <is>
          <t xml:space="preserve">P  </t>
        </is>
      </c>
      <c r="S562" t="n">
        <v>17</v>
      </c>
      <c r="T562" t="n">
        <v>17</v>
      </c>
      <c r="U562" t="inlineStr">
        <is>
          <t>2006-03-21</t>
        </is>
      </c>
      <c r="V562" t="inlineStr">
        <is>
          <t>2006-03-21</t>
        </is>
      </c>
      <c r="W562" t="inlineStr">
        <is>
          <t>1991-12-05</t>
        </is>
      </c>
      <c r="X562" t="inlineStr">
        <is>
          <t>1991-12-05</t>
        </is>
      </c>
      <c r="Y562" t="n">
        <v>531</v>
      </c>
      <c r="Z562" t="n">
        <v>361</v>
      </c>
      <c r="AA562" t="n">
        <v>369</v>
      </c>
      <c r="AB562" t="n">
        <v>3</v>
      </c>
      <c r="AC562" t="n">
        <v>3</v>
      </c>
      <c r="AD562" t="n">
        <v>19</v>
      </c>
      <c r="AE562" t="n">
        <v>19</v>
      </c>
      <c r="AF562" t="n">
        <v>8</v>
      </c>
      <c r="AG562" t="n">
        <v>8</v>
      </c>
      <c r="AH562" t="n">
        <v>3</v>
      </c>
      <c r="AI562" t="n">
        <v>3</v>
      </c>
      <c r="AJ562" t="n">
        <v>11</v>
      </c>
      <c r="AK562" t="n">
        <v>11</v>
      </c>
      <c r="AL562" t="n">
        <v>2</v>
      </c>
      <c r="AM562" t="n">
        <v>2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HYPERLINK("http://catalog.hathitrust.org/Record/000166111","HathiTrust Record")</f>
        <v/>
      </c>
      <c r="AS562">
        <f>HYPERLINK("https://creighton-primo.hosted.exlibrisgroup.com/primo-explore/search?tab=default_tab&amp;search_scope=EVERYTHING&amp;vid=01CRU&amp;lang=en_US&amp;offset=0&amp;query=any,contains,991000153469702656","Catalog Record")</f>
        <v/>
      </c>
      <c r="AT562">
        <f>HYPERLINK("http://www.worldcat.org/oclc/9219037","WorldCat Record")</f>
        <v/>
      </c>
      <c r="AU562" t="inlineStr">
        <is>
          <t>836714012:eng</t>
        </is>
      </c>
      <c r="AV562" t="inlineStr">
        <is>
          <t>9219037</t>
        </is>
      </c>
      <c r="AW562" t="inlineStr">
        <is>
          <t>991000153469702656</t>
        </is>
      </c>
      <c r="AX562" t="inlineStr">
        <is>
          <t>991000153469702656</t>
        </is>
      </c>
      <c r="AY562" t="inlineStr">
        <is>
          <t>2268368450002656</t>
        </is>
      </c>
      <c r="AZ562" t="inlineStr">
        <is>
          <t>BOOK</t>
        </is>
      </c>
      <c r="BB562" t="inlineStr">
        <is>
          <t>9780080302041</t>
        </is>
      </c>
      <c r="BC562" t="inlineStr">
        <is>
          <t>32285000654714</t>
        </is>
      </c>
      <c r="BD562" t="inlineStr">
        <is>
          <t>893534064</t>
        </is>
      </c>
    </row>
    <row r="563">
      <c r="A563" t="inlineStr">
        <is>
          <t>No</t>
        </is>
      </c>
      <c r="B563" t="inlineStr">
        <is>
          <t>P99.5 .S54</t>
        </is>
      </c>
      <c r="C563" t="inlineStr">
        <is>
          <t>0                      P  0099500S  54</t>
        </is>
      </c>
      <c r="D563" t="inlineStr">
        <is>
          <t>Skill in nonverbal communication : individual differences / edited by Robert Rosenthal.</t>
        </is>
      </c>
      <c r="F563" t="inlineStr">
        <is>
          <t>No</t>
        </is>
      </c>
      <c r="G563" t="inlineStr">
        <is>
          <t>1</t>
        </is>
      </c>
      <c r="H563" t="inlineStr">
        <is>
          <t>Yes</t>
        </is>
      </c>
      <c r="I563" t="inlineStr">
        <is>
          <t>No</t>
        </is>
      </c>
      <c r="J563" t="inlineStr">
        <is>
          <t>0</t>
        </is>
      </c>
      <c r="L563" t="inlineStr">
        <is>
          <t>Cambridge, Mass. : Oelgeschlager, Gunn &amp; Hain, c1979.</t>
        </is>
      </c>
      <c r="M563" t="inlineStr">
        <is>
          <t>1979</t>
        </is>
      </c>
      <c r="O563" t="inlineStr">
        <is>
          <t>eng</t>
        </is>
      </c>
      <c r="P563" t="inlineStr">
        <is>
          <t>mau</t>
        </is>
      </c>
      <c r="R563" t="inlineStr">
        <is>
          <t xml:space="preserve">P  </t>
        </is>
      </c>
      <c r="S563" t="n">
        <v>10</v>
      </c>
      <c r="T563" t="n">
        <v>14</v>
      </c>
      <c r="U563" t="inlineStr">
        <is>
          <t>1994-12-09</t>
        </is>
      </c>
      <c r="V563" t="inlineStr">
        <is>
          <t>1996-06-06</t>
        </is>
      </c>
      <c r="W563" t="inlineStr">
        <is>
          <t>1992-03-10</t>
        </is>
      </c>
      <c r="X563" t="inlineStr">
        <is>
          <t>1992-03-10</t>
        </is>
      </c>
      <c r="Y563" t="n">
        <v>515</v>
      </c>
      <c r="Z563" t="n">
        <v>429</v>
      </c>
      <c r="AA563" t="n">
        <v>436</v>
      </c>
      <c r="AB563" t="n">
        <v>5</v>
      </c>
      <c r="AC563" t="n">
        <v>5</v>
      </c>
      <c r="AD563" t="n">
        <v>20</v>
      </c>
      <c r="AE563" t="n">
        <v>20</v>
      </c>
      <c r="AF563" t="n">
        <v>8</v>
      </c>
      <c r="AG563" t="n">
        <v>8</v>
      </c>
      <c r="AH563" t="n">
        <v>4</v>
      </c>
      <c r="AI563" t="n">
        <v>4</v>
      </c>
      <c r="AJ563" t="n">
        <v>9</v>
      </c>
      <c r="AK563" t="n">
        <v>9</v>
      </c>
      <c r="AL563" t="n">
        <v>3</v>
      </c>
      <c r="AM563" t="n">
        <v>3</v>
      </c>
      <c r="AN563" t="n">
        <v>0</v>
      </c>
      <c r="AO563" t="n">
        <v>0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HYPERLINK("http://catalog.hathitrust.org/Record/000687243","HathiTrust Record")</f>
        <v/>
      </c>
      <c r="AS563">
        <f>HYPERLINK("https://creighton-primo.hosted.exlibrisgroup.com/primo-explore/search?tab=default_tab&amp;search_scope=EVERYTHING&amp;vid=01CRU&amp;lang=en_US&amp;offset=0&amp;query=any,contains,991001765869702656","Catalog Record")</f>
        <v/>
      </c>
      <c r="AT563">
        <f>HYPERLINK("http://www.worldcat.org/oclc/5286145","WorldCat Record")</f>
        <v/>
      </c>
      <c r="AU563" t="inlineStr">
        <is>
          <t>16797972:eng</t>
        </is>
      </c>
      <c r="AV563" t="inlineStr">
        <is>
          <t>5286145</t>
        </is>
      </c>
      <c r="AW563" t="inlineStr">
        <is>
          <t>991001765869702656</t>
        </is>
      </c>
      <c r="AX563" t="inlineStr">
        <is>
          <t>991001765869702656</t>
        </is>
      </c>
      <c r="AY563" t="inlineStr">
        <is>
          <t>2271888960002656</t>
        </is>
      </c>
      <c r="AZ563" t="inlineStr">
        <is>
          <t>BOOK</t>
        </is>
      </c>
      <c r="BB563" t="inlineStr">
        <is>
          <t>9780899460000</t>
        </is>
      </c>
      <c r="BC563" t="inlineStr">
        <is>
          <t>32285000996537</t>
        </is>
      </c>
      <c r="BD563" t="inlineStr">
        <is>
          <t>893590617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