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QH 441 M632a 1999</t>
        </is>
      </c>
      <c r="C2" t="inlineStr">
        <is>
          <t>0                      QH 0441000M  632a        1999</t>
        </is>
      </c>
      <c r="D2" t="inlineStr">
        <is>
          <t>Applied molecular genetics / Roger L. Miesfeld.</t>
        </is>
      </c>
      <c r="F2" t="inlineStr">
        <is>
          <t>No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Miesfeld, Roger L.</t>
        </is>
      </c>
      <c r="L2" t="inlineStr">
        <is>
          <t>New York : John Wiley, c1999.</t>
        </is>
      </c>
      <c r="M2" t="inlineStr">
        <is>
          <t>1999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QH </t>
        </is>
      </c>
      <c r="S2" t="n">
        <v>11</v>
      </c>
      <c r="T2" t="n">
        <v>30</v>
      </c>
      <c r="U2" t="inlineStr">
        <is>
          <t>2006-03-08</t>
        </is>
      </c>
      <c r="V2" t="inlineStr">
        <is>
          <t>2008-04-24</t>
        </is>
      </c>
      <c r="W2" t="inlineStr">
        <is>
          <t>2000-08-23</t>
        </is>
      </c>
      <c r="X2" t="inlineStr">
        <is>
          <t>2000-08-23</t>
        </is>
      </c>
      <c r="Y2" t="n">
        <v>643</v>
      </c>
      <c r="Z2" t="n">
        <v>524</v>
      </c>
      <c r="AA2" t="n">
        <v>526</v>
      </c>
      <c r="AB2" t="n">
        <v>4</v>
      </c>
      <c r="AC2" t="n">
        <v>4</v>
      </c>
      <c r="AD2" t="n">
        <v>30</v>
      </c>
      <c r="AE2" t="n">
        <v>30</v>
      </c>
      <c r="AF2" t="n">
        <v>14</v>
      </c>
      <c r="AG2" t="n">
        <v>14</v>
      </c>
      <c r="AH2" t="n">
        <v>7</v>
      </c>
      <c r="AI2" t="n">
        <v>7</v>
      </c>
      <c r="AJ2" t="n">
        <v>14</v>
      </c>
      <c r="AK2" t="n">
        <v>14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HYPERLINK("http://catalog.hathitrust.org/Record/003333370","HathiTrust Record")</f>
        <v/>
      </c>
      <c r="AS2">
        <f>HYPERLINK("https://creighton-primo.hosted.exlibrisgroup.com/primo-explore/search?tab=default_tab&amp;search_scope=EVERYTHING&amp;vid=01CRU&amp;lang=en_US&amp;offset=0&amp;query=any,contains,991001798959702656","Catalog Record")</f>
        <v/>
      </c>
      <c r="AT2">
        <f>HYPERLINK("http://www.worldcat.org/oclc/39368508","WorldCat Record")</f>
        <v/>
      </c>
      <c r="AU2" t="inlineStr">
        <is>
          <t>25701017:eng</t>
        </is>
      </c>
      <c r="AV2" t="inlineStr">
        <is>
          <t>39368508</t>
        </is>
      </c>
      <c r="AW2" t="inlineStr">
        <is>
          <t>991001798959702656</t>
        </is>
      </c>
      <c r="AX2" t="inlineStr">
        <is>
          <t>991001798959702656</t>
        </is>
      </c>
      <c r="AY2" t="inlineStr">
        <is>
          <t>2258080800002656</t>
        </is>
      </c>
      <c r="AZ2" t="inlineStr">
        <is>
          <t>BOOK</t>
        </is>
      </c>
      <c r="BB2" t="inlineStr">
        <is>
          <t>9780471156765</t>
        </is>
      </c>
      <c r="BC2" t="inlineStr">
        <is>
          <t>32285003759064</t>
        </is>
      </c>
      <c r="BD2" t="inlineStr">
        <is>
          <t>893322266</t>
        </is>
      </c>
    </row>
    <row r="3">
      <c r="A3" t="inlineStr">
        <is>
          <t>No</t>
        </is>
      </c>
      <c r="B3" t="inlineStr">
        <is>
          <t>QH102 .P36</t>
        </is>
      </c>
      <c r="C3" t="inlineStr">
        <is>
          <t>0                      QH 0102000P  36</t>
        </is>
      </c>
      <c r="D3" t="inlineStr">
        <is>
          <t>Perspectives in grassland ecology : results and applications of the US/IBP Grassland Biome study / edited by Norman R. French.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Springer-Verlag, c1979.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Q3" t="inlineStr">
        <is>
          <t>Ecological studies ; v. 32</t>
        </is>
      </c>
      <c r="R3" t="inlineStr">
        <is>
          <t xml:space="preserve">QH </t>
        </is>
      </c>
      <c r="S3" t="n">
        <v>22</v>
      </c>
      <c r="T3" t="n">
        <v>22</v>
      </c>
      <c r="U3" t="inlineStr">
        <is>
          <t>2001-09-30</t>
        </is>
      </c>
      <c r="V3" t="inlineStr">
        <is>
          <t>2001-09-30</t>
        </is>
      </c>
      <c r="W3" t="inlineStr">
        <is>
          <t>1991-11-13</t>
        </is>
      </c>
      <c r="X3" t="inlineStr">
        <is>
          <t>1991-11-13</t>
        </is>
      </c>
      <c r="Y3" t="n">
        <v>483</v>
      </c>
      <c r="Z3" t="n">
        <v>321</v>
      </c>
      <c r="AA3" t="n">
        <v>340</v>
      </c>
      <c r="AB3" t="n">
        <v>8</v>
      </c>
      <c r="AC3" t="n">
        <v>8</v>
      </c>
      <c r="AD3" t="n">
        <v>14</v>
      </c>
      <c r="AE3" t="n">
        <v>15</v>
      </c>
      <c r="AF3" t="n">
        <v>2</v>
      </c>
      <c r="AG3" t="n">
        <v>3</v>
      </c>
      <c r="AH3" t="n">
        <v>3</v>
      </c>
      <c r="AI3" t="n">
        <v>3</v>
      </c>
      <c r="AJ3" t="n">
        <v>4</v>
      </c>
      <c r="AK3" t="n">
        <v>5</v>
      </c>
      <c r="AL3" t="n">
        <v>7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HYPERLINK("http://catalog.hathitrust.org/Record/000256096","HathiTrust Record")</f>
        <v/>
      </c>
      <c r="AS3">
        <f>HYPERLINK("https://creighton-primo.hosted.exlibrisgroup.com/primo-explore/search?tab=default_tab&amp;search_scope=EVERYTHING&amp;vid=01CRU&amp;lang=en_US&amp;offset=0&amp;query=any,contains,991004654249702656","Catalog Record")</f>
        <v/>
      </c>
      <c r="AT3">
        <f>HYPERLINK("http://www.worldcat.org/oclc/4494820","WorldCat Record")</f>
        <v/>
      </c>
      <c r="AU3" t="inlineStr">
        <is>
          <t>865289594:eng</t>
        </is>
      </c>
      <c r="AV3" t="inlineStr">
        <is>
          <t>4494820</t>
        </is>
      </c>
      <c r="AW3" t="inlineStr">
        <is>
          <t>991004654249702656</t>
        </is>
      </c>
      <c r="AX3" t="inlineStr">
        <is>
          <t>991004654249702656</t>
        </is>
      </c>
      <c r="AY3" t="inlineStr">
        <is>
          <t>2265306000002656</t>
        </is>
      </c>
      <c r="AZ3" t="inlineStr">
        <is>
          <t>BOOK</t>
        </is>
      </c>
      <c r="BB3" t="inlineStr">
        <is>
          <t>9780387903842</t>
        </is>
      </c>
      <c r="BC3" t="inlineStr">
        <is>
          <t>32285000824168</t>
        </is>
      </c>
      <c r="BD3" t="inlineStr">
        <is>
          <t>893612598</t>
        </is>
      </c>
    </row>
    <row r="4">
      <c r="A4" t="inlineStr">
        <is>
          <t>No</t>
        </is>
      </c>
      <c r="B4" t="inlineStr">
        <is>
          <t>QH102 .S5</t>
        </is>
      </c>
      <c r="C4" t="inlineStr">
        <is>
          <t>0                      QH 0102000S  5</t>
        </is>
      </c>
      <c r="D4" t="inlineStr">
        <is>
          <t>The ecology of North America.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Shelford, Victor E. (Victor Ernest), 1877-1968.</t>
        </is>
      </c>
      <c r="L4" t="inlineStr">
        <is>
          <t>Urbana : University of Illinois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QH </t>
        </is>
      </c>
      <c r="S4" t="n">
        <v>10</v>
      </c>
      <c r="T4" t="n">
        <v>10</v>
      </c>
      <c r="U4" t="inlineStr">
        <is>
          <t>2008-10-08</t>
        </is>
      </c>
      <c r="V4" t="inlineStr">
        <is>
          <t>2008-10-08</t>
        </is>
      </c>
      <c r="W4" t="inlineStr">
        <is>
          <t>1993-01-05</t>
        </is>
      </c>
      <c r="X4" t="inlineStr">
        <is>
          <t>1993-01-05</t>
        </is>
      </c>
      <c r="Y4" t="n">
        <v>1265</v>
      </c>
      <c r="Z4" t="n">
        <v>1139</v>
      </c>
      <c r="AA4" t="n">
        <v>1176</v>
      </c>
      <c r="AB4" t="n">
        <v>11</v>
      </c>
      <c r="AC4" t="n">
        <v>11</v>
      </c>
      <c r="AD4" t="n">
        <v>38</v>
      </c>
      <c r="AE4" t="n">
        <v>39</v>
      </c>
      <c r="AF4" t="n">
        <v>14</v>
      </c>
      <c r="AG4" t="n">
        <v>15</v>
      </c>
      <c r="AH4" t="n">
        <v>7</v>
      </c>
      <c r="AI4" t="n">
        <v>7</v>
      </c>
      <c r="AJ4" t="n">
        <v>17</v>
      </c>
      <c r="AK4" t="n">
        <v>18</v>
      </c>
      <c r="AL4" t="n">
        <v>10</v>
      </c>
      <c r="AM4" t="n">
        <v>10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HYPERLINK("http://catalog.hathitrust.org/Record/001490558","HathiTrust Record")</f>
        <v/>
      </c>
      <c r="AS4">
        <f>HYPERLINK("https://creighton-primo.hosted.exlibrisgroup.com/primo-explore/search?tab=default_tab&amp;search_scope=EVERYTHING&amp;vid=01CRU&amp;lang=en_US&amp;offset=0&amp;query=any,contains,991001913689702656","Catalog Record")</f>
        <v/>
      </c>
      <c r="AT4">
        <f>HYPERLINK("http://www.worldcat.org/oclc/242938","WorldCat Record")</f>
        <v/>
      </c>
      <c r="AU4" t="inlineStr">
        <is>
          <t>1391346:eng</t>
        </is>
      </c>
      <c r="AV4" t="inlineStr">
        <is>
          <t>242938</t>
        </is>
      </c>
      <c r="AW4" t="inlineStr">
        <is>
          <t>991001913689702656</t>
        </is>
      </c>
      <c r="AX4" t="inlineStr">
        <is>
          <t>991001913689702656</t>
        </is>
      </c>
      <c r="AY4" t="inlineStr">
        <is>
          <t>2269525250002656</t>
        </is>
      </c>
      <c r="AZ4" t="inlineStr">
        <is>
          <t>BOOK</t>
        </is>
      </c>
      <c r="BC4" t="inlineStr">
        <is>
          <t>32285001471852</t>
        </is>
      </c>
      <c r="BD4" t="inlineStr">
        <is>
          <t>893779190</t>
        </is>
      </c>
    </row>
    <row r="5">
      <c r="A5" t="inlineStr">
        <is>
          <t>No</t>
        </is>
      </c>
      <c r="B5" t="inlineStr">
        <is>
          <t>QH104 .B67</t>
        </is>
      </c>
      <c r="C5" t="inlineStr">
        <is>
          <t>0                      QH 0104000B  67</t>
        </is>
      </c>
      <c r="D5" t="inlineStr">
        <is>
          <t>Our natural world; the land and wildlife of America as seen and described by writers since the country's discovery. Compiled and edited with comments by Hal Borland. With drawings by Rachel S. Horne.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Borland, Hal, 1900-1978 editor.</t>
        </is>
      </c>
      <c r="L5" t="inlineStr">
        <is>
          <t>Garden City, N.Y., Doubleday, 1965.</t>
        </is>
      </c>
      <c r="M5" t="inlineStr">
        <is>
          <t>1965</t>
        </is>
      </c>
      <c r="N5" t="inlineStr">
        <is>
          <t>[1st ed.]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QH </t>
        </is>
      </c>
      <c r="S5" t="n">
        <v>1</v>
      </c>
      <c r="T5" t="n">
        <v>1</v>
      </c>
      <c r="U5" t="inlineStr">
        <is>
          <t>2007-07-23</t>
        </is>
      </c>
      <c r="V5" t="inlineStr">
        <is>
          <t>2007-07-23</t>
        </is>
      </c>
      <c r="W5" t="inlineStr">
        <is>
          <t>1997-06-30</t>
        </is>
      </c>
      <c r="X5" t="inlineStr">
        <is>
          <t>1997-06-30</t>
        </is>
      </c>
      <c r="Y5" t="n">
        <v>541</v>
      </c>
      <c r="Z5" t="n">
        <v>530</v>
      </c>
      <c r="AA5" t="n">
        <v>738</v>
      </c>
      <c r="AB5" t="n">
        <v>9</v>
      </c>
      <c r="AC5" t="n">
        <v>10</v>
      </c>
      <c r="AD5" t="n">
        <v>8</v>
      </c>
      <c r="AE5" t="n">
        <v>15</v>
      </c>
      <c r="AF5" t="n">
        <v>3</v>
      </c>
      <c r="AG5" t="n">
        <v>6</v>
      </c>
      <c r="AH5" t="n">
        <v>1</v>
      </c>
      <c r="AI5" t="n">
        <v>3</v>
      </c>
      <c r="AJ5" t="n">
        <v>1</v>
      </c>
      <c r="AK5" t="n">
        <v>3</v>
      </c>
      <c r="AL5" t="n">
        <v>3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HYPERLINK("http://catalog.hathitrust.org/Record/006213676","HathiTrust Record")</f>
        <v/>
      </c>
      <c r="AS5">
        <f>HYPERLINK("https://creighton-primo.hosted.exlibrisgroup.com/primo-explore/search?tab=default_tab&amp;search_scope=EVERYTHING&amp;vid=01CRU&amp;lang=en_US&amp;offset=0&amp;query=any,contains,991003179829702656","Catalog Record")</f>
        <v/>
      </c>
      <c r="AT5">
        <f>HYPERLINK("http://www.worldcat.org/oclc/711532","WorldCat Record")</f>
        <v/>
      </c>
      <c r="AU5" t="inlineStr">
        <is>
          <t>53925812:eng</t>
        </is>
      </c>
      <c r="AV5" t="inlineStr">
        <is>
          <t>711532</t>
        </is>
      </c>
      <c r="AW5" t="inlineStr">
        <is>
          <t>991003179829702656</t>
        </is>
      </c>
      <c r="AX5" t="inlineStr">
        <is>
          <t>991003179829702656</t>
        </is>
      </c>
      <c r="AY5" t="inlineStr">
        <is>
          <t>2261915030002656</t>
        </is>
      </c>
      <c r="AZ5" t="inlineStr">
        <is>
          <t>BOOK</t>
        </is>
      </c>
      <c r="BC5" t="inlineStr">
        <is>
          <t>32285002865870</t>
        </is>
      </c>
      <c r="BD5" t="inlineStr">
        <is>
          <t>893524508</t>
        </is>
      </c>
    </row>
    <row r="6">
      <c r="A6" t="inlineStr">
        <is>
          <t>No</t>
        </is>
      </c>
      <c r="B6" t="inlineStr">
        <is>
          <t>QH104 .H57</t>
        </is>
      </c>
      <c r="C6" t="inlineStr">
        <is>
          <t>0                      QH 0104000H  57</t>
        </is>
      </c>
      <c r="D6" t="inlineStr">
        <is>
          <t>History of American ecology / with an introd. by Frank N. Egerton.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New York : Arno Press, 1977.</t>
        </is>
      </c>
      <c r="M6" t="inlineStr">
        <is>
          <t>1977</t>
        </is>
      </c>
      <c r="O6" t="inlineStr">
        <is>
          <t>eng</t>
        </is>
      </c>
      <c r="P6" t="inlineStr">
        <is>
          <t>nyu</t>
        </is>
      </c>
      <c r="Q6" t="inlineStr">
        <is>
          <t>History of ecology</t>
        </is>
      </c>
      <c r="R6" t="inlineStr">
        <is>
          <t xml:space="preserve">QH </t>
        </is>
      </c>
      <c r="S6" t="n">
        <v>3</v>
      </c>
      <c r="T6" t="n">
        <v>3</v>
      </c>
      <c r="U6" t="inlineStr">
        <is>
          <t>1998-06-23</t>
        </is>
      </c>
      <c r="V6" t="inlineStr">
        <is>
          <t>1998-06-23</t>
        </is>
      </c>
      <c r="W6" t="inlineStr">
        <is>
          <t>1992-06-18</t>
        </is>
      </c>
      <c r="X6" t="inlineStr">
        <is>
          <t>1992-06-18</t>
        </is>
      </c>
      <c r="Y6" t="n">
        <v>252</v>
      </c>
      <c r="Z6" t="n">
        <v>221</v>
      </c>
      <c r="AA6" t="n">
        <v>226</v>
      </c>
      <c r="AB6" t="n">
        <v>1</v>
      </c>
      <c r="AC6" t="n">
        <v>1</v>
      </c>
      <c r="AD6" t="n">
        <v>6</v>
      </c>
      <c r="AE6" t="n">
        <v>6</v>
      </c>
      <c r="AF6" t="n">
        <v>1</v>
      </c>
      <c r="AG6" t="n">
        <v>1</v>
      </c>
      <c r="AH6" t="n">
        <v>2</v>
      </c>
      <c r="AI6" t="n">
        <v>2</v>
      </c>
      <c r="AJ6" t="n">
        <v>4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HYPERLINK("https://creighton-primo.hosted.exlibrisgroup.com/primo-explore/search?tab=default_tab&amp;search_scope=EVERYTHING&amp;vid=01CRU&amp;lang=en_US&amp;offset=0&amp;query=any,contains,991004334159702656","Catalog Record")</f>
        <v/>
      </c>
      <c r="AT6">
        <f>HYPERLINK("http://www.worldcat.org/oclc/3071634","WorldCat Record")</f>
        <v/>
      </c>
      <c r="AU6" t="inlineStr">
        <is>
          <t>4989053605:eng</t>
        </is>
      </c>
      <c r="AV6" t="inlineStr">
        <is>
          <t>3071634</t>
        </is>
      </c>
      <c r="AW6" t="inlineStr">
        <is>
          <t>991004334159702656</t>
        </is>
      </c>
      <c r="AX6" t="inlineStr">
        <is>
          <t>991004334159702656</t>
        </is>
      </c>
      <c r="AY6" t="inlineStr">
        <is>
          <t>2267822660002656</t>
        </is>
      </c>
      <c r="AZ6" t="inlineStr">
        <is>
          <t>BOOK</t>
        </is>
      </c>
      <c r="BB6" t="inlineStr">
        <is>
          <t>9780405103995</t>
        </is>
      </c>
      <c r="BC6" t="inlineStr">
        <is>
          <t>32285001099554</t>
        </is>
      </c>
      <c r="BD6" t="inlineStr">
        <is>
          <t>893693818</t>
        </is>
      </c>
    </row>
    <row r="7">
      <c r="A7" t="inlineStr">
        <is>
          <t>No</t>
        </is>
      </c>
      <c r="B7" t="inlineStr">
        <is>
          <t>QH104 .L95 1993</t>
        </is>
      </c>
      <c r="C7" t="inlineStr">
        <is>
          <t>0                      QH 0104000L  95          1993</t>
        </is>
      </c>
      <c r="D7" t="inlineStr">
        <is>
          <t>Practical handbook for wetland identification and delineation / John Grimson Lyon.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Lyon, John G.</t>
        </is>
      </c>
      <c r="L7" t="inlineStr">
        <is>
          <t>Boca Raton : Lewis Publishers, c1993.</t>
        </is>
      </c>
      <c r="M7" t="inlineStr">
        <is>
          <t>1993</t>
        </is>
      </c>
      <c r="O7" t="inlineStr">
        <is>
          <t>eng</t>
        </is>
      </c>
      <c r="P7" t="inlineStr">
        <is>
          <t>flu</t>
        </is>
      </c>
      <c r="R7" t="inlineStr">
        <is>
          <t xml:space="preserve">QH </t>
        </is>
      </c>
      <c r="S7" t="n">
        <v>5</v>
      </c>
      <c r="T7" t="n">
        <v>5</v>
      </c>
      <c r="U7" t="inlineStr">
        <is>
          <t>2009-05-15</t>
        </is>
      </c>
      <c r="V7" t="inlineStr">
        <is>
          <t>2009-05-15</t>
        </is>
      </c>
      <c r="W7" t="inlineStr">
        <is>
          <t>1996-04-10</t>
        </is>
      </c>
      <c r="X7" t="inlineStr">
        <is>
          <t>1996-04-10</t>
        </is>
      </c>
      <c r="Y7" t="n">
        <v>739</v>
      </c>
      <c r="Z7" t="n">
        <v>635</v>
      </c>
      <c r="AA7" t="n">
        <v>725</v>
      </c>
      <c r="AB7" t="n">
        <v>5</v>
      </c>
      <c r="AC7" t="n">
        <v>6</v>
      </c>
      <c r="AD7" t="n">
        <v>19</v>
      </c>
      <c r="AE7" t="n">
        <v>23</v>
      </c>
      <c r="AF7" t="n">
        <v>8</v>
      </c>
      <c r="AG7" t="n">
        <v>10</v>
      </c>
      <c r="AH7" t="n">
        <v>1</v>
      </c>
      <c r="AI7" t="n">
        <v>2</v>
      </c>
      <c r="AJ7" t="n">
        <v>8</v>
      </c>
      <c r="AK7" t="n">
        <v>9</v>
      </c>
      <c r="AL7" t="n">
        <v>4</v>
      </c>
      <c r="AM7" t="n">
        <v>5</v>
      </c>
      <c r="AN7" t="n">
        <v>1</v>
      </c>
      <c r="AO7" t="n">
        <v>1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HYPERLINK("https://creighton-primo.hosted.exlibrisgroup.com/primo-explore/search?tab=default_tab&amp;search_scope=EVERYTHING&amp;vid=01CRU&amp;lang=en_US&amp;offset=0&amp;query=any,contains,991005416249702656","Catalog Record")</f>
        <v/>
      </c>
      <c r="AT7">
        <f>HYPERLINK("http://www.worldcat.org/oclc/27186794","WorldCat Record")</f>
        <v/>
      </c>
      <c r="AU7" t="inlineStr">
        <is>
          <t>375647:eng</t>
        </is>
      </c>
      <c r="AV7" t="inlineStr">
        <is>
          <t>27186794</t>
        </is>
      </c>
      <c r="AW7" t="inlineStr">
        <is>
          <t>991005416249702656</t>
        </is>
      </c>
      <c r="AX7" t="inlineStr">
        <is>
          <t>991005416249702656</t>
        </is>
      </c>
      <c r="AY7" t="inlineStr">
        <is>
          <t>2270436890002656</t>
        </is>
      </c>
      <c r="AZ7" t="inlineStr">
        <is>
          <t>BOOK</t>
        </is>
      </c>
      <c r="BB7" t="inlineStr">
        <is>
          <t>9780873715904</t>
        </is>
      </c>
      <c r="BC7" t="inlineStr">
        <is>
          <t>32285002151206</t>
        </is>
      </c>
      <c r="BD7" t="inlineStr">
        <is>
          <t>893811092</t>
        </is>
      </c>
    </row>
    <row r="8">
      <c r="A8" t="inlineStr">
        <is>
          <t>No</t>
        </is>
      </c>
      <c r="B8" t="inlineStr">
        <is>
          <t>QH104 .P46 1990</t>
        </is>
      </c>
      <c r="C8" t="inlineStr">
        <is>
          <t>0                      QH 0104000P  46          1990</t>
        </is>
      </c>
      <c r="D8" t="inlineStr">
        <is>
          <t>Prairie, the land and its people / text and photography Mil Penner and Carol Schmidt ; foreword Senator Nancy Landon Kassebaum ; design Liz King.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Penner, Mil.</t>
        </is>
      </c>
      <c r="L8" t="inlineStr">
        <is>
          <t>Inman, KS : The Sounds of Kansas, 1990, c1989.</t>
        </is>
      </c>
      <c r="M8" t="inlineStr">
        <is>
          <t>1990</t>
        </is>
      </c>
      <c r="O8" t="inlineStr">
        <is>
          <t>eng</t>
        </is>
      </c>
      <c r="P8" t="inlineStr">
        <is>
          <t>ksu</t>
        </is>
      </c>
      <c r="R8" t="inlineStr">
        <is>
          <t xml:space="preserve">QH </t>
        </is>
      </c>
      <c r="S8" t="n">
        <v>6</v>
      </c>
      <c r="T8" t="n">
        <v>6</v>
      </c>
      <c r="U8" t="inlineStr">
        <is>
          <t>1999-09-22</t>
        </is>
      </c>
      <c r="V8" t="inlineStr">
        <is>
          <t>1999-09-22</t>
        </is>
      </c>
      <c r="W8" t="inlineStr">
        <is>
          <t>1990-03-08</t>
        </is>
      </c>
      <c r="X8" t="inlineStr">
        <is>
          <t>1990-03-08</t>
        </is>
      </c>
      <c r="Y8" t="n">
        <v>195</v>
      </c>
      <c r="Z8" t="n">
        <v>194</v>
      </c>
      <c r="AA8" t="n">
        <v>206</v>
      </c>
      <c r="AB8" t="n">
        <v>7</v>
      </c>
      <c r="AC8" t="n">
        <v>7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HYPERLINK("https://creighton-primo.hosted.exlibrisgroup.com/primo-explore/search?tab=default_tab&amp;search_scope=EVERYTHING&amp;vid=01CRU&amp;lang=en_US&amp;offset=0&amp;query=any,contains,991001595429702656","Catalog Record")</f>
        <v/>
      </c>
      <c r="AT8">
        <f>HYPERLINK("http://www.worldcat.org/oclc/20625329","WorldCat Record")</f>
        <v/>
      </c>
      <c r="AU8" t="inlineStr">
        <is>
          <t>22392745:eng</t>
        </is>
      </c>
      <c r="AV8" t="inlineStr">
        <is>
          <t>20625329</t>
        </is>
      </c>
      <c r="AW8" t="inlineStr">
        <is>
          <t>991001595429702656</t>
        </is>
      </c>
      <c r="AX8" t="inlineStr">
        <is>
          <t>991001595429702656</t>
        </is>
      </c>
      <c r="AY8" t="inlineStr">
        <is>
          <t>2267796430002656</t>
        </is>
      </c>
      <c r="AZ8" t="inlineStr">
        <is>
          <t>BOOK</t>
        </is>
      </c>
      <c r="BB8" t="inlineStr">
        <is>
          <t>9780961559717</t>
        </is>
      </c>
      <c r="BC8" t="inlineStr">
        <is>
          <t>32285000043132</t>
        </is>
      </c>
      <c r="BD8" t="inlineStr">
        <is>
          <t>893408219</t>
        </is>
      </c>
    </row>
    <row r="9">
      <c r="A9" t="inlineStr">
        <is>
          <t>No</t>
        </is>
      </c>
      <c r="B9" t="inlineStr">
        <is>
          <t>QH104 .T78</t>
        </is>
      </c>
      <c r="C9" t="inlineStr">
        <is>
          <t>0                      QH 0104000T  78</t>
        </is>
      </c>
      <c r="D9" t="inlineStr">
        <is>
          <t>The True Prairie ecosystem / P. G. Risser ... [et al.].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Stroudsburg, Pa. : Dowden, Hutchinson &amp; Ross ; [New York] : distributed world wide by Academic Press, c1981.</t>
        </is>
      </c>
      <c r="M9" t="inlineStr">
        <is>
          <t>1979</t>
        </is>
      </c>
      <c r="O9" t="inlineStr">
        <is>
          <t>eng</t>
        </is>
      </c>
      <c r="P9" t="inlineStr">
        <is>
          <t>pau</t>
        </is>
      </c>
      <c r="Q9" t="inlineStr">
        <is>
          <t>US/IBP synthesis series ; v. 16</t>
        </is>
      </c>
      <c r="R9" t="inlineStr">
        <is>
          <t xml:space="preserve">QH </t>
        </is>
      </c>
      <c r="S9" t="n">
        <v>18</v>
      </c>
      <c r="T9" t="n">
        <v>18</v>
      </c>
      <c r="U9" t="inlineStr">
        <is>
          <t>2002-10-04</t>
        </is>
      </c>
      <c r="V9" t="inlineStr">
        <is>
          <t>2002-10-04</t>
        </is>
      </c>
      <c r="W9" t="inlineStr">
        <is>
          <t>1993-03-11</t>
        </is>
      </c>
      <c r="X9" t="inlineStr">
        <is>
          <t>1993-03-11</t>
        </is>
      </c>
      <c r="Y9" t="n">
        <v>427</v>
      </c>
      <c r="Z9" t="n">
        <v>369</v>
      </c>
      <c r="AA9" t="n">
        <v>380</v>
      </c>
      <c r="AB9" t="n">
        <v>6</v>
      </c>
      <c r="AC9" t="n">
        <v>6</v>
      </c>
      <c r="AD9" t="n">
        <v>15</v>
      </c>
      <c r="AE9" t="n">
        <v>15</v>
      </c>
      <c r="AF9" t="n">
        <v>5</v>
      </c>
      <c r="AG9" t="n">
        <v>5</v>
      </c>
      <c r="AH9" t="n">
        <v>4</v>
      </c>
      <c r="AI9" t="n">
        <v>4</v>
      </c>
      <c r="AJ9" t="n">
        <v>3</v>
      </c>
      <c r="AK9" t="n">
        <v>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HYPERLINK("http://catalog.hathitrust.org/Record/000204190","HathiTrust Record")</f>
        <v/>
      </c>
      <c r="AS9">
        <f>HYPERLINK("https://creighton-primo.hosted.exlibrisgroup.com/primo-explore/search?tab=default_tab&amp;search_scope=EVERYTHING&amp;vid=01CRU&amp;lang=en_US&amp;offset=0&amp;query=any,contains,991004820899702656","Catalog Record")</f>
        <v/>
      </c>
      <c r="AT9">
        <f>HYPERLINK("http://www.worldcat.org/oclc/5333739","WorldCat Record")</f>
        <v/>
      </c>
      <c r="AU9" t="inlineStr">
        <is>
          <t>17796395:eng</t>
        </is>
      </c>
      <c r="AV9" t="inlineStr">
        <is>
          <t>5333739</t>
        </is>
      </c>
      <c r="AW9" t="inlineStr">
        <is>
          <t>991004820899702656</t>
        </is>
      </c>
      <c r="AX9" t="inlineStr">
        <is>
          <t>991004820899702656</t>
        </is>
      </c>
      <c r="AY9" t="inlineStr">
        <is>
          <t>2265646160002656</t>
        </is>
      </c>
      <c r="AZ9" t="inlineStr">
        <is>
          <t>BOOK</t>
        </is>
      </c>
      <c r="BB9" t="inlineStr">
        <is>
          <t>9780879333614</t>
        </is>
      </c>
      <c r="BC9" t="inlineStr">
        <is>
          <t>32285001551661</t>
        </is>
      </c>
      <c r="BD9" t="inlineStr">
        <is>
          <t>893719415</t>
        </is>
      </c>
    </row>
    <row r="10">
      <c r="A10" t="inlineStr">
        <is>
          <t>No</t>
        </is>
      </c>
      <c r="B10" t="inlineStr">
        <is>
          <t>QH104.5.S58 A4 1985</t>
        </is>
      </c>
      <c r="C10" t="inlineStr">
        <is>
          <t>0                      QH 0104500S  58                 A  4           1985</t>
        </is>
      </c>
      <c r="D10" t="inlineStr">
        <is>
          <t>Sonoran Desert spring / John Alcock.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Alcock, John, 1942-</t>
        </is>
      </c>
      <c r="L10" t="inlineStr">
        <is>
          <t>Chicago : University of Chicago Press, c1985.</t>
        </is>
      </c>
      <c r="M10" t="inlineStr">
        <is>
          <t>1985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QH </t>
        </is>
      </c>
      <c r="S10" t="n">
        <v>8</v>
      </c>
      <c r="T10" t="n">
        <v>8</v>
      </c>
      <c r="U10" t="inlineStr">
        <is>
          <t>2003-02-23</t>
        </is>
      </c>
      <c r="V10" t="inlineStr">
        <is>
          <t>2003-02-23</t>
        </is>
      </c>
      <c r="W10" t="inlineStr">
        <is>
          <t>1993-03-11</t>
        </is>
      </c>
      <c r="X10" t="inlineStr">
        <is>
          <t>1993-03-11</t>
        </is>
      </c>
      <c r="Y10" t="n">
        <v>481</v>
      </c>
      <c r="Z10" t="n">
        <v>436</v>
      </c>
      <c r="AA10" t="n">
        <v>520</v>
      </c>
      <c r="AB10" t="n">
        <v>2</v>
      </c>
      <c r="AC10" t="n">
        <v>3</v>
      </c>
      <c r="AD10" t="n">
        <v>8</v>
      </c>
      <c r="AE10" t="n">
        <v>14</v>
      </c>
      <c r="AF10" t="n">
        <v>3</v>
      </c>
      <c r="AG10" t="n">
        <v>6</v>
      </c>
      <c r="AH10" t="n">
        <v>2</v>
      </c>
      <c r="AI10" t="n">
        <v>4</v>
      </c>
      <c r="AJ10" t="n">
        <v>5</v>
      </c>
      <c r="AK10" t="n">
        <v>6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HYPERLINK("https://creighton-primo.hosted.exlibrisgroup.com/primo-explore/search?tab=default_tab&amp;search_scope=EVERYTHING&amp;vid=01CRU&amp;lang=en_US&amp;offset=0&amp;query=any,contains,991000489259702656","Catalog Record")</f>
        <v/>
      </c>
      <c r="AT10">
        <f>HYPERLINK("http://www.worldcat.org/oclc/11091150","WorldCat Record")</f>
        <v/>
      </c>
      <c r="AU10" t="inlineStr">
        <is>
          <t>4102558:eng</t>
        </is>
      </c>
      <c r="AV10" t="inlineStr">
        <is>
          <t>11091150</t>
        </is>
      </c>
      <c r="AW10" t="inlineStr">
        <is>
          <t>991000489259702656</t>
        </is>
      </c>
      <c r="AX10" t="inlineStr">
        <is>
          <t>991000489259702656</t>
        </is>
      </c>
      <c r="AY10" t="inlineStr">
        <is>
          <t>2270730890002656</t>
        </is>
      </c>
      <c r="AZ10" t="inlineStr">
        <is>
          <t>BOOK</t>
        </is>
      </c>
      <c r="BB10" t="inlineStr">
        <is>
          <t>9780226012582</t>
        </is>
      </c>
      <c r="BC10" t="inlineStr">
        <is>
          <t>32285001551711</t>
        </is>
      </c>
      <c r="BD10" t="inlineStr">
        <is>
          <t>893896917</t>
        </is>
      </c>
    </row>
    <row r="11">
      <c r="A11" t="inlineStr">
        <is>
          <t>No</t>
        </is>
      </c>
      <c r="B11" t="inlineStr">
        <is>
          <t>QH104.5.S58 N34 1994</t>
        </is>
      </c>
      <c r="C11" t="inlineStr">
        <is>
          <t>0                      QH 0104500S  58                 N  34          1994</t>
        </is>
      </c>
      <c r="D11" t="inlineStr">
        <is>
          <t>Desert legends : re-storying the Sonoran borderlands / stories by Gary Paul Nabhan ; photographs by Mark Klett.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Nabhan, Gary Paul.</t>
        </is>
      </c>
      <c r="L11" t="inlineStr">
        <is>
          <t>New York : Holt, 1994.</t>
        </is>
      </c>
      <c r="M11" t="inlineStr">
        <is>
          <t>1994</t>
        </is>
      </c>
      <c r="N11" t="inlineStr">
        <is>
          <t>1st ed.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QH </t>
        </is>
      </c>
      <c r="S11" t="n">
        <v>8</v>
      </c>
      <c r="T11" t="n">
        <v>8</v>
      </c>
      <c r="U11" t="inlineStr">
        <is>
          <t>1998-02-21</t>
        </is>
      </c>
      <c r="V11" t="inlineStr">
        <is>
          <t>1998-02-21</t>
        </is>
      </c>
      <c r="W11" t="inlineStr">
        <is>
          <t>1995-07-05</t>
        </is>
      </c>
      <c r="X11" t="inlineStr">
        <is>
          <t>1995-07-05</t>
        </is>
      </c>
      <c r="Y11" t="n">
        <v>164</v>
      </c>
      <c r="Z11" t="n">
        <v>160</v>
      </c>
      <c r="AA11" t="n">
        <v>160</v>
      </c>
      <c r="AB11" t="n">
        <v>1</v>
      </c>
      <c r="AC11" t="n">
        <v>1</v>
      </c>
      <c r="AD11" t="n">
        <v>2</v>
      </c>
      <c r="AE11" t="n">
        <v>2</v>
      </c>
      <c r="AF11" t="n">
        <v>0</v>
      </c>
      <c r="AG11" t="n">
        <v>0</v>
      </c>
      <c r="AH11" t="n">
        <v>1</v>
      </c>
      <c r="AI11" t="n">
        <v>1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HYPERLINK("https://creighton-primo.hosted.exlibrisgroup.com/primo-explore/search?tab=default_tab&amp;search_scope=EVERYTHING&amp;vid=01CRU&amp;lang=en_US&amp;offset=0&amp;query=any,contains,991002340169702656","Catalog Record")</f>
        <v/>
      </c>
      <c r="AT11">
        <f>HYPERLINK("http://www.worldcat.org/oclc/30473400","WorldCat Record")</f>
        <v/>
      </c>
      <c r="AU11" t="inlineStr">
        <is>
          <t>820754106:eng</t>
        </is>
      </c>
      <c r="AV11" t="inlineStr">
        <is>
          <t>30473400</t>
        </is>
      </c>
      <c r="AW11" t="inlineStr">
        <is>
          <t>991002340169702656</t>
        </is>
      </c>
      <c r="AX11" t="inlineStr">
        <is>
          <t>991002340169702656</t>
        </is>
      </c>
      <c r="AY11" t="inlineStr">
        <is>
          <t>2262134810002656</t>
        </is>
      </c>
      <c r="AZ11" t="inlineStr">
        <is>
          <t>BOOK</t>
        </is>
      </c>
      <c r="BB11" t="inlineStr">
        <is>
          <t>9780805031003</t>
        </is>
      </c>
      <c r="BC11" t="inlineStr">
        <is>
          <t>32285002053394</t>
        </is>
      </c>
      <c r="BD11" t="inlineStr">
        <is>
          <t>893710164</t>
        </is>
      </c>
    </row>
    <row r="12">
      <c r="A12" t="inlineStr">
        <is>
          <t>No</t>
        </is>
      </c>
      <c r="B12" t="inlineStr">
        <is>
          <t>QH104.5.S6 C66 1995</t>
        </is>
      </c>
      <c r="C12" t="inlineStr">
        <is>
          <t>0                      QH 0104500S  6                  C  66          1995</t>
        </is>
      </c>
      <c r="D12" t="inlineStr">
        <is>
          <t>Defending the desert : conserving biodiversity on BLM lands in the Southwest / Allen Y. Cooperrider, David S. Wilcove and contributors ; foreword by Stewart L. Udall.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Cooperrider, Allen.</t>
        </is>
      </c>
      <c r="L12" t="inlineStr">
        <is>
          <t>New York : Environmental Defense Fund, c1995.</t>
        </is>
      </c>
      <c r="M12" t="inlineStr">
        <is>
          <t>1995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QH </t>
        </is>
      </c>
      <c r="S12" t="n">
        <v>2</v>
      </c>
      <c r="T12" t="n">
        <v>2</v>
      </c>
      <c r="U12" t="inlineStr">
        <is>
          <t>1997-02-22</t>
        </is>
      </c>
      <c r="V12" t="inlineStr">
        <is>
          <t>1997-02-22</t>
        </is>
      </c>
      <c r="W12" t="inlineStr">
        <is>
          <t>1996-03-28</t>
        </is>
      </c>
      <c r="X12" t="inlineStr">
        <is>
          <t>1996-03-28</t>
        </is>
      </c>
      <c r="Y12" t="n">
        <v>18</v>
      </c>
      <c r="Z12" t="n">
        <v>18</v>
      </c>
      <c r="AA12" t="n">
        <v>18</v>
      </c>
      <c r="AB12" t="n">
        <v>1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HYPERLINK("https://creighton-primo.hosted.exlibrisgroup.com/primo-explore/search?tab=default_tab&amp;search_scope=EVERYTHING&amp;vid=01CRU&amp;lang=en_US&amp;offset=0&amp;query=any,contains,991002605569702656","Catalog Record")</f>
        <v/>
      </c>
      <c r="AT12">
        <f>HYPERLINK("http://www.worldcat.org/oclc/34125135","WorldCat Record")</f>
        <v/>
      </c>
      <c r="AU12" t="inlineStr">
        <is>
          <t>39328116:eng</t>
        </is>
      </c>
      <c r="AV12" t="inlineStr">
        <is>
          <t>34125135</t>
        </is>
      </c>
      <c r="AW12" t="inlineStr">
        <is>
          <t>991002605569702656</t>
        </is>
      </c>
      <c r="AX12" t="inlineStr">
        <is>
          <t>991002605569702656</t>
        </is>
      </c>
      <c r="AY12" t="inlineStr">
        <is>
          <t>2269949800002656</t>
        </is>
      </c>
      <c r="AZ12" t="inlineStr">
        <is>
          <t>BOOK</t>
        </is>
      </c>
      <c r="BC12" t="inlineStr">
        <is>
          <t>32285002147915</t>
        </is>
      </c>
      <c r="BD12" t="inlineStr">
        <is>
          <t>893716661</t>
        </is>
      </c>
    </row>
    <row r="13">
      <c r="A13" t="inlineStr">
        <is>
          <t>No</t>
        </is>
      </c>
      <c r="B13" t="inlineStr">
        <is>
          <t>QH104.5.S6 K37 1992</t>
        </is>
      </c>
      <c r="C13" t="inlineStr">
        <is>
          <t>0                      QH 0104500S  6                  K  37          1992</t>
        </is>
      </c>
      <c r="D13" t="inlineStr">
        <is>
          <t>Desert time : a journey through the American Southwest / Diana Kappel-Smith.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Kappel-Smith, Diana.</t>
        </is>
      </c>
      <c r="L13" t="inlineStr">
        <is>
          <t>Boston : Little, Brown,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mau</t>
        </is>
      </c>
      <c r="R13" t="inlineStr">
        <is>
          <t xml:space="preserve">QH </t>
        </is>
      </c>
      <c r="S13" t="n">
        <v>1</v>
      </c>
      <c r="T13" t="n">
        <v>1</v>
      </c>
      <c r="U13" t="inlineStr">
        <is>
          <t>2008-05-22</t>
        </is>
      </c>
      <c r="V13" t="inlineStr">
        <is>
          <t>2008-05-22</t>
        </is>
      </c>
      <c r="W13" t="inlineStr">
        <is>
          <t>2008-05-22</t>
        </is>
      </c>
      <c r="X13" t="inlineStr">
        <is>
          <t>2008-05-22</t>
        </is>
      </c>
      <c r="Y13" t="n">
        <v>319</v>
      </c>
      <c r="Z13" t="n">
        <v>309</v>
      </c>
      <c r="AA13" t="n">
        <v>364</v>
      </c>
      <c r="AB13" t="n">
        <v>1</v>
      </c>
      <c r="AC13" t="n">
        <v>1</v>
      </c>
      <c r="AD13" t="n">
        <v>4</v>
      </c>
      <c r="AE13" t="n">
        <v>4</v>
      </c>
      <c r="AF13" t="n">
        <v>1</v>
      </c>
      <c r="AG13" t="n">
        <v>1</v>
      </c>
      <c r="AH13" t="n">
        <v>0</v>
      </c>
      <c r="AI13" t="n">
        <v>0</v>
      </c>
      <c r="AJ13" t="n">
        <v>4</v>
      </c>
      <c r="AK13" t="n">
        <v>4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HYPERLINK("https://creighton-primo.hosted.exlibrisgroup.com/primo-explore/search?tab=default_tab&amp;search_scope=EVERYTHING&amp;vid=01CRU&amp;lang=en_US&amp;offset=0&amp;query=any,contains,991005225749702656","Catalog Record")</f>
        <v/>
      </c>
      <c r="AT13">
        <f>HYPERLINK("http://www.worldcat.org/oclc/26261194","WorldCat Record")</f>
        <v/>
      </c>
      <c r="AU13" t="inlineStr">
        <is>
          <t>28760863:eng</t>
        </is>
      </c>
      <c r="AV13" t="inlineStr">
        <is>
          <t>26261194</t>
        </is>
      </c>
      <c r="AW13" t="inlineStr">
        <is>
          <t>991005225749702656</t>
        </is>
      </c>
      <c r="AX13" t="inlineStr">
        <is>
          <t>991005225749702656</t>
        </is>
      </c>
      <c r="AY13" t="inlineStr">
        <is>
          <t>2262932090002656</t>
        </is>
      </c>
      <c r="AZ13" t="inlineStr">
        <is>
          <t>BOOK</t>
        </is>
      </c>
      <c r="BB13" t="inlineStr">
        <is>
          <t>9780316482981</t>
        </is>
      </c>
      <c r="BC13" t="inlineStr">
        <is>
          <t>32285005440499</t>
        </is>
      </c>
      <c r="BD13" t="inlineStr">
        <is>
          <t>893520663</t>
        </is>
      </c>
    </row>
    <row r="14">
      <c r="A14" t="inlineStr">
        <is>
          <t>No</t>
        </is>
      </c>
      <c r="B14" t="inlineStr">
        <is>
          <t>QH104.5.S6 R57 2004</t>
        </is>
      </c>
      <c r="C14" t="inlineStr">
        <is>
          <t>0                      QH 0104500S  6                  R  57          2004</t>
        </is>
      </c>
      <c r="D14" t="inlineStr">
        <is>
          <t>Riparian areas of the southwestern United States : hydrology, ecology, and management / edited by Malchus B. Baker, Jr.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Boca Raton, Fla. : Lewis Publishers, c2004.</t>
        </is>
      </c>
      <c r="M14" t="inlineStr">
        <is>
          <t>2004</t>
        </is>
      </c>
      <c r="O14" t="inlineStr">
        <is>
          <t>eng</t>
        </is>
      </c>
      <c r="P14" t="inlineStr">
        <is>
          <t>flu</t>
        </is>
      </c>
      <c r="R14" t="inlineStr">
        <is>
          <t xml:space="preserve">QH </t>
        </is>
      </c>
      <c r="S14" t="n">
        <v>1</v>
      </c>
      <c r="T14" t="n">
        <v>1</v>
      </c>
      <c r="U14" t="inlineStr">
        <is>
          <t>2005-03-28</t>
        </is>
      </c>
      <c r="V14" t="inlineStr">
        <is>
          <t>2005-03-28</t>
        </is>
      </c>
      <c r="W14" t="inlineStr">
        <is>
          <t>2005-03-28</t>
        </is>
      </c>
      <c r="X14" t="inlineStr">
        <is>
          <t>2005-03-28</t>
        </is>
      </c>
      <c r="Y14" t="n">
        <v>190</v>
      </c>
      <c r="Z14" t="n">
        <v>155</v>
      </c>
      <c r="AA14" t="n">
        <v>206</v>
      </c>
      <c r="AB14" t="n">
        <v>2</v>
      </c>
      <c r="AC14" t="n">
        <v>2</v>
      </c>
      <c r="AD14" t="n">
        <v>3</v>
      </c>
      <c r="AE14" t="n">
        <v>3</v>
      </c>
      <c r="AF14" t="n">
        <v>1</v>
      </c>
      <c r="AG14" t="n">
        <v>1</v>
      </c>
      <c r="AH14" t="n">
        <v>1</v>
      </c>
      <c r="AI14" t="n">
        <v>1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HYPERLINK("https://creighton-primo.hosted.exlibrisgroup.com/primo-explore/search?tab=default_tab&amp;search_scope=EVERYTHING&amp;vid=01CRU&amp;lang=en_US&amp;offset=0&amp;query=any,contains,991004474579702656","Catalog Record")</f>
        <v/>
      </c>
      <c r="AT14">
        <f>HYPERLINK("http://www.worldcat.org/oclc/52031168","WorldCat Record")</f>
        <v/>
      </c>
      <c r="AU14" t="inlineStr">
        <is>
          <t>800301878:eng</t>
        </is>
      </c>
      <c r="AV14" t="inlineStr">
        <is>
          <t>52031168</t>
        </is>
      </c>
      <c r="AW14" t="inlineStr">
        <is>
          <t>991004474579702656</t>
        </is>
      </c>
      <c r="AX14" t="inlineStr">
        <is>
          <t>991004474579702656</t>
        </is>
      </c>
      <c r="AY14" t="inlineStr">
        <is>
          <t>2267278730002656</t>
        </is>
      </c>
      <c r="AZ14" t="inlineStr">
        <is>
          <t>BOOK</t>
        </is>
      </c>
      <c r="BB14" t="inlineStr">
        <is>
          <t>9781566706261</t>
        </is>
      </c>
      <c r="BC14" t="inlineStr">
        <is>
          <t>32285005045074</t>
        </is>
      </c>
      <c r="BD14" t="inlineStr">
        <is>
          <t>893624772</t>
        </is>
      </c>
    </row>
    <row r="15">
      <c r="A15" t="inlineStr">
        <is>
          <t>No</t>
        </is>
      </c>
      <c r="B15" t="inlineStr">
        <is>
          <t>QH104.5.W4 B67 2004</t>
        </is>
      </c>
      <c r="C15" t="inlineStr">
        <is>
          <t>0                      QH 0104500W  4                  B  67          2004</t>
        </is>
      </c>
      <c r="D15" t="inlineStr">
        <is>
          <t>Beyond the stony mountains : nature in the American west from Lewis and Clark to today / Daniel B. Botkin.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Botkin, Daniel B.</t>
        </is>
      </c>
      <c r="L15" t="inlineStr">
        <is>
          <t>New York : Oxford University Press, 2004.</t>
        </is>
      </c>
      <c r="M15" t="inlineStr">
        <is>
          <t>2004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QH </t>
        </is>
      </c>
      <c r="S15" t="n">
        <v>1</v>
      </c>
      <c r="T15" t="n">
        <v>1</v>
      </c>
      <c r="U15" t="inlineStr">
        <is>
          <t>2005-02-18</t>
        </is>
      </c>
      <c r="V15" t="inlineStr">
        <is>
          <t>2005-02-18</t>
        </is>
      </c>
      <c r="W15" t="inlineStr">
        <is>
          <t>2004-11-30</t>
        </is>
      </c>
      <c r="X15" t="inlineStr">
        <is>
          <t>2004-11-30</t>
        </is>
      </c>
      <c r="Y15" t="n">
        <v>643</v>
      </c>
      <c r="Z15" t="n">
        <v>619</v>
      </c>
      <c r="AA15" t="n">
        <v>869</v>
      </c>
      <c r="AB15" t="n">
        <v>8</v>
      </c>
      <c r="AC15" t="n">
        <v>18</v>
      </c>
      <c r="AD15" t="n">
        <v>16</v>
      </c>
      <c r="AE15" t="n">
        <v>26</v>
      </c>
      <c r="AF15" t="n">
        <v>3</v>
      </c>
      <c r="AG15" t="n">
        <v>4</v>
      </c>
      <c r="AH15" t="n">
        <v>3</v>
      </c>
      <c r="AI15" t="n">
        <v>4</v>
      </c>
      <c r="AJ15" t="n">
        <v>7</v>
      </c>
      <c r="AK15" t="n">
        <v>7</v>
      </c>
      <c r="AL15" t="n">
        <v>5</v>
      </c>
      <c r="AM15" t="n">
        <v>13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HYPERLINK("https://creighton-primo.hosted.exlibrisgroup.com/primo-explore/search?tab=default_tab&amp;search_scope=EVERYTHING&amp;vid=01CRU&amp;lang=en_US&amp;offset=0&amp;query=any,contains,991004407399702656","Catalog Record")</f>
        <v/>
      </c>
      <c r="AT15">
        <f>HYPERLINK("http://www.worldcat.org/oclc/52819794","WorldCat Record")</f>
        <v/>
      </c>
      <c r="AU15" t="inlineStr">
        <is>
          <t>662245:eng</t>
        </is>
      </c>
      <c r="AV15" t="inlineStr">
        <is>
          <t>52819794</t>
        </is>
      </c>
      <c r="AW15" t="inlineStr">
        <is>
          <t>991004407399702656</t>
        </is>
      </c>
      <c r="AX15" t="inlineStr">
        <is>
          <t>991004407399702656</t>
        </is>
      </c>
      <c r="AY15" t="inlineStr">
        <is>
          <t>2268230910002656</t>
        </is>
      </c>
      <c r="AZ15" t="inlineStr">
        <is>
          <t>BOOK</t>
        </is>
      </c>
      <c r="BB15" t="inlineStr">
        <is>
          <t>9780195162431</t>
        </is>
      </c>
      <c r="BC15" t="inlineStr">
        <is>
          <t>32285005013593</t>
        </is>
      </c>
      <c r="BD15" t="inlineStr">
        <is>
          <t>893618635</t>
        </is>
      </c>
    </row>
    <row r="16">
      <c r="A16" t="inlineStr">
        <is>
          <t>No</t>
        </is>
      </c>
      <c r="B16" t="inlineStr">
        <is>
          <t>QH104.5.W4 B68 1995</t>
        </is>
      </c>
      <c r="C16" t="inlineStr">
        <is>
          <t>0                      QH 0104500W  4                  B  68          1995</t>
        </is>
      </c>
      <c r="D16" t="inlineStr">
        <is>
          <t>Our natural history : the lessons of Lewis and Clark / Daniel B. Botkin.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Botkin, Daniel B.</t>
        </is>
      </c>
      <c r="L16" t="inlineStr">
        <is>
          <t>New York, NY : Putnam, c1995.</t>
        </is>
      </c>
      <c r="M16" t="inlineStr">
        <is>
          <t>1995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QH </t>
        </is>
      </c>
      <c r="S16" t="n">
        <v>2</v>
      </c>
      <c r="T16" t="n">
        <v>2</v>
      </c>
      <c r="U16" t="inlineStr">
        <is>
          <t>1995-08-09</t>
        </is>
      </c>
      <c r="V16" t="inlineStr">
        <is>
          <t>1995-08-09</t>
        </is>
      </c>
      <c r="W16" t="inlineStr">
        <is>
          <t>1995-06-19</t>
        </is>
      </c>
      <c r="X16" t="inlineStr">
        <is>
          <t>1995-06-19</t>
        </is>
      </c>
      <c r="Y16" t="n">
        <v>907</v>
      </c>
      <c r="Z16" t="n">
        <v>880</v>
      </c>
      <c r="AA16" t="n">
        <v>1092</v>
      </c>
      <c r="AB16" t="n">
        <v>13</v>
      </c>
      <c r="AC16" t="n">
        <v>16</v>
      </c>
      <c r="AD16" t="n">
        <v>24</v>
      </c>
      <c r="AE16" t="n">
        <v>33</v>
      </c>
      <c r="AF16" t="n">
        <v>7</v>
      </c>
      <c r="AG16" t="n">
        <v>10</v>
      </c>
      <c r="AH16" t="n">
        <v>5</v>
      </c>
      <c r="AI16" t="n">
        <v>8</v>
      </c>
      <c r="AJ16" t="n">
        <v>10</v>
      </c>
      <c r="AK16" t="n">
        <v>12</v>
      </c>
      <c r="AL16" t="n">
        <v>7</v>
      </c>
      <c r="AM16" t="n">
        <v>10</v>
      </c>
      <c r="AN16" t="n">
        <v>1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HYPERLINK("http://catalog.hathitrust.org/Record/002992466","HathiTrust Record")</f>
        <v/>
      </c>
      <c r="AS16">
        <f>HYPERLINK("https://creighton-primo.hosted.exlibrisgroup.com/primo-explore/search?tab=default_tab&amp;search_scope=EVERYTHING&amp;vid=01CRU&amp;lang=en_US&amp;offset=0&amp;query=any,contains,991002420849702656","Catalog Record")</f>
        <v/>
      </c>
      <c r="AT16">
        <f>HYPERLINK("http://www.worldcat.org/oclc/31518800","WorldCat Record")</f>
        <v/>
      </c>
      <c r="AU16" t="inlineStr">
        <is>
          <t>788613:eng</t>
        </is>
      </c>
      <c r="AV16" t="inlineStr">
        <is>
          <t>31518800</t>
        </is>
      </c>
      <c r="AW16" t="inlineStr">
        <is>
          <t>991002420849702656</t>
        </is>
      </c>
      <c r="AX16" t="inlineStr">
        <is>
          <t>991002420849702656</t>
        </is>
      </c>
      <c r="AY16" t="inlineStr">
        <is>
          <t>2267226680002656</t>
        </is>
      </c>
      <c r="AZ16" t="inlineStr">
        <is>
          <t>BOOK</t>
        </is>
      </c>
      <c r="BB16" t="inlineStr">
        <is>
          <t>9780399140488</t>
        </is>
      </c>
      <c r="BC16" t="inlineStr">
        <is>
          <t>32285002051729</t>
        </is>
      </c>
      <c r="BD16" t="inlineStr">
        <is>
          <t>893433859</t>
        </is>
      </c>
    </row>
    <row r="17">
      <c r="A17" t="inlineStr">
        <is>
          <t>No</t>
        </is>
      </c>
      <c r="B17" t="inlineStr">
        <is>
          <t>QH105.A4 B7 1972</t>
        </is>
      </c>
      <c r="C17" t="inlineStr">
        <is>
          <t>0                      QH 0105000A  4                  B  7           1972</t>
        </is>
      </c>
      <c r="D17" t="inlineStr">
        <is>
          <t>Wild Alaska / by Dale Brown and the editors of Time-Life Books.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Brown, Dale M. (Author and editor at Time-Life Books)</t>
        </is>
      </c>
      <c r="L17" t="inlineStr">
        <is>
          <t>New York : Time-Life Books, [1972]</t>
        </is>
      </c>
      <c r="M17" t="inlineStr">
        <is>
          <t>1972</t>
        </is>
      </c>
      <c r="O17" t="inlineStr">
        <is>
          <t>eng</t>
        </is>
      </c>
      <c r="P17" t="inlineStr">
        <is>
          <t>nyu</t>
        </is>
      </c>
      <c r="Q17" t="inlineStr">
        <is>
          <t>The American wilderness</t>
        </is>
      </c>
      <c r="R17" t="inlineStr">
        <is>
          <t xml:space="preserve">QH </t>
        </is>
      </c>
      <c r="S17" t="n">
        <v>4</v>
      </c>
      <c r="T17" t="n">
        <v>4</v>
      </c>
      <c r="U17" t="inlineStr">
        <is>
          <t>1999-03-05</t>
        </is>
      </c>
      <c r="V17" t="inlineStr">
        <is>
          <t>1999-03-05</t>
        </is>
      </c>
      <c r="W17" t="inlineStr">
        <is>
          <t>1993-03-12</t>
        </is>
      </c>
      <c r="X17" t="inlineStr">
        <is>
          <t>1993-03-12</t>
        </is>
      </c>
      <c r="Y17" t="n">
        <v>1468</v>
      </c>
      <c r="Z17" t="n">
        <v>1427</v>
      </c>
      <c r="AA17" t="n">
        <v>1716</v>
      </c>
      <c r="AB17" t="n">
        <v>11</v>
      </c>
      <c r="AC17" t="n">
        <v>14</v>
      </c>
      <c r="AD17" t="n">
        <v>18</v>
      </c>
      <c r="AE17" t="n">
        <v>21</v>
      </c>
      <c r="AF17" t="n">
        <v>6</v>
      </c>
      <c r="AG17" t="n">
        <v>7</v>
      </c>
      <c r="AH17" t="n">
        <v>3</v>
      </c>
      <c r="AI17" t="n">
        <v>4</v>
      </c>
      <c r="AJ17" t="n">
        <v>10</v>
      </c>
      <c r="AK17" t="n">
        <v>12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HYPERLINK("https://creighton-primo.hosted.exlibrisgroup.com/primo-explore/search?tab=default_tab&amp;search_scope=EVERYTHING&amp;vid=01CRU&amp;lang=en_US&amp;offset=0&amp;query=any,contains,991002866409702656","Catalog Record")</f>
        <v/>
      </c>
      <c r="AT17">
        <f>HYPERLINK("http://www.worldcat.org/oclc/496825","WorldCat Record")</f>
        <v/>
      </c>
      <c r="AU17" t="inlineStr">
        <is>
          <t>10627838457:eng</t>
        </is>
      </c>
      <c r="AV17" t="inlineStr">
        <is>
          <t>496825</t>
        </is>
      </c>
      <c r="AW17" t="inlineStr">
        <is>
          <t>991002866409702656</t>
        </is>
      </c>
      <c r="AX17" t="inlineStr">
        <is>
          <t>991002866409702656</t>
        </is>
      </c>
      <c r="AY17" t="inlineStr">
        <is>
          <t>2271784170002656</t>
        </is>
      </c>
      <c r="AZ17" t="inlineStr">
        <is>
          <t>BOOK</t>
        </is>
      </c>
      <c r="BC17" t="inlineStr">
        <is>
          <t>32285001551778</t>
        </is>
      </c>
      <c r="BD17" t="inlineStr">
        <is>
          <t>893793033</t>
        </is>
      </c>
    </row>
    <row r="18">
      <c r="A18" t="inlineStr">
        <is>
          <t>No</t>
        </is>
      </c>
      <c r="B18" t="inlineStr">
        <is>
          <t>QH105.G4 O43 1984</t>
        </is>
      </c>
      <c r="C18" t="inlineStr">
        <is>
          <t>0                      QH 0105000G  4                  O  43          1984</t>
        </is>
      </c>
      <c r="D18" t="inlineStr">
        <is>
          <t>The Okefenokee Swamp : its natural history, geology, and geochemistry / edited by A.D. Cohen ... [et al.].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Los Alamos, NM : Wetlands Surveys, 1984.</t>
        </is>
      </c>
      <c r="M18" t="inlineStr">
        <is>
          <t>1984</t>
        </is>
      </c>
      <c r="O18" t="inlineStr">
        <is>
          <t>eng</t>
        </is>
      </c>
      <c r="P18" t="inlineStr">
        <is>
          <t>nmu</t>
        </is>
      </c>
      <c r="R18" t="inlineStr">
        <is>
          <t xml:space="preserve">QH </t>
        </is>
      </c>
      <c r="S18" t="n">
        <v>2</v>
      </c>
      <c r="T18" t="n">
        <v>2</v>
      </c>
      <c r="U18" t="inlineStr">
        <is>
          <t>2002-10-16</t>
        </is>
      </c>
      <c r="V18" t="inlineStr">
        <is>
          <t>2002-10-16</t>
        </is>
      </c>
      <c r="W18" t="inlineStr">
        <is>
          <t>1993-03-12</t>
        </is>
      </c>
      <c r="X18" t="inlineStr">
        <is>
          <t>1993-03-12</t>
        </is>
      </c>
      <c r="Y18" t="n">
        <v>184</v>
      </c>
      <c r="Z18" t="n">
        <v>175</v>
      </c>
      <c r="AA18" t="n">
        <v>177</v>
      </c>
      <c r="AB18" t="n">
        <v>2</v>
      </c>
      <c r="AC18" t="n">
        <v>2</v>
      </c>
      <c r="AD18" t="n">
        <v>4</v>
      </c>
      <c r="AE18" t="n">
        <v>4</v>
      </c>
      <c r="AF18" t="n">
        <v>1</v>
      </c>
      <c r="AG18" t="n">
        <v>1</v>
      </c>
      <c r="AH18" t="n">
        <v>2</v>
      </c>
      <c r="AI18" t="n">
        <v>2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HYPERLINK("http://catalog.hathitrust.org/Record/000363060","HathiTrust Record")</f>
        <v/>
      </c>
      <c r="AS18">
        <f>HYPERLINK("https://creighton-primo.hosted.exlibrisgroup.com/primo-explore/search?tab=default_tab&amp;search_scope=EVERYTHING&amp;vid=01CRU&amp;lang=en_US&amp;offset=0&amp;query=any,contains,991005404489702656","Catalog Record")</f>
        <v/>
      </c>
      <c r="AT18">
        <f>HYPERLINK("http://www.worldcat.org/oclc/11175369","WorldCat Record")</f>
        <v/>
      </c>
      <c r="AU18" t="inlineStr">
        <is>
          <t>820088523:eng</t>
        </is>
      </c>
      <c r="AV18" t="inlineStr">
        <is>
          <t>11175369</t>
        </is>
      </c>
      <c r="AW18" t="inlineStr">
        <is>
          <t>991005404489702656</t>
        </is>
      </c>
      <c r="AX18" t="inlineStr">
        <is>
          <t>991005404489702656</t>
        </is>
      </c>
      <c r="AY18" t="inlineStr">
        <is>
          <t>2258905740002656</t>
        </is>
      </c>
      <c r="AZ18" t="inlineStr">
        <is>
          <t>BOOK</t>
        </is>
      </c>
      <c r="BC18" t="inlineStr">
        <is>
          <t>32285001552131</t>
        </is>
      </c>
      <c r="BD18" t="inlineStr">
        <is>
          <t>893902682</t>
        </is>
      </c>
    </row>
    <row r="19">
      <c r="A19" t="inlineStr">
        <is>
          <t>No</t>
        </is>
      </c>
      <c r="B19" t="inlineStr">
        <is>
          <t>QH105.K3 D85</t>
        </is>
      </c>
      <c r="C19" t="inlineStr">
        <is>
          <t>0                      QH 0105000K  3                  D  85</t>
        </is>
      </c>
      <c r="D19" t="inlineStr">
        <is>
          <t>Tallgrass prairie : the inland sea / by Patricia D. Duncan ; foreword by Stewart L. Udall.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Duncan, Patricia D. (Patricia DuBose), 1932-</t>
        </is>
      </c>
      <c r="L19" t="inlineStr">
        <is>
          <t>Kansas City, Mo. : Lowell Press, c1978.</t>
        </is>
      </c>
      <c r="M19" t="inlineStr">
        <is>
          <t>1978</t>
        </is>
      </c>
      <c r="N19" t="inlineStr">
        <is>
          <t>1st ed.</t>
        </is>
      </c>
      <c r="O19" t="inlineStr">
        <is>
          <t>eng</t>
        </is>
      </c>
      <c r="P19" t="inlineStr">
        <is>
          <t>mou</t>
        </is>
      </c>
      <c r="R19" t="inlineStr">
        <is>
          <t xml:space="preserve">QH </t>
        </is>
      </c>
      <c r="S19" t="n">
        <v>9</v>
      </c>
      <c r="T19" t="n">
        <v>9</v>
      </c>
      <c r="U19" t="inlineStr">
        <is>
          <t>2002-10-04</t>
        </is>
      </c>
      <c r="V19" t="inlineStr">
        <is>
          <t>2002-10-04</t>
        </is>
      </c>
      <c r="W19" t="inlineStr">
        <is>
          <t>1993-03-12</t>
        </is>
      </c>
      <c r="X19" t="inlineStr">
        <is>
          <t>1993-03-12</t>
        </is>
      </c>
      <c r="Y19" t="n">
        <v>329</v>
      </c>
      <c r="Z19" t="n">
        <v>320</v>
      </c>
      <c r="AA19" t="n">
        <v>325</v>
      </c>
      <c r="AB19" t="n">
        <v>12</v>
      </c>
      <c r="AC19" t="n">
        <v>12</v>
      </c>
      <c r="AD19" t="n">
        <v>5</v>
      </c>
      <c r="AE19" t="n">
        <v>5</v>
      </c>
      <c r="AF19" t="n">
        <v>1</v>
      </c>
      <c r="AG19" t="n">
        <v>1</v>
      </c>
      <c r="AH19" t="n">
        <v>0</v>
      </c>
      <c r="AI19" t="n">
        <v>0</v>
      </c>
      <c r="AJ19" t="n">
        <v>0</v>
      </c>
      <c r="AK19" t="n">
        <v>0</v>
      </c>
      <c r="AL19" t="n">
        <v>4</v>
      </c>
      <c r="AM19" t="n">
        <v>4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HYPERLINK("https://creighton-primo.hosted.exlibrisgroup.com/primo-explore/search?tab=default_tab&amp;search_scope=EVERYTHING&amp;vid=01CRU&amp;lang=en_US&amp;offset=0&amp;query=any,contains,991004572019702656","Catalog Record")</f>
        <v/>
      </c>
      <c r="AT19">
        <f>HYPERLINK("http://www.worldcat.org/oclc/4036229","WorldCat Record")</f>
        <v/>
      </c>
      <c r="AU19" t="inlineStr">
        <is>
          <t>558343:eng</t>
        </is>
      </c>
      <c r="AV19" t="inlineStr">
        <is>
          <t>4036229</t>
        </is>
      </c>
      <c r="AW19" t="inlineStr">
        <is>
          <t>991004572019702656</t>
        </is>
      </c>
      <c r="AX19" t="inlineStr">
        <is>
          <t>991004572019702656</t>
        </is>
      </c>
      <c r="AY19" t="inlineStr">
        <is>
          <t>2269651420002656</t>
        </is>
      </c>
      <c r="AZ19" t="inlineStr">
        <is>
          <t>BOOK</t>
        </is>
      </c>
      <c r="BB19" t="inlineStr">
        <is>
          <t>9780913504444</t>
        </is>
      </c>
      <c r="BC19" t="inlineStr">
        <is>
          <t>32285001551810</t>
        </is>
      </c>
      <c r="BD19" t="inlineStr">
        <is>
          <t>893526255</t>
        </is>
      </c>
    </row>
    <row r="20">
      <c r="A20" t="inlineStr">
        <is>
          <t>No</t>
        </is>
      </c>
      <c r="B20" t="inlineStr">
        <is>
          <t>QH105.K3 Z56 1990</t>
        </is>
      </c>
      <c r="C20" t="inlineStr">
        <is>
          <t>0                      QH 0105000K  3                  Z  56          1990</t>
        </is>
      </c>
      <c r="D20" t="inlineStr">
        <is>
          <t>Cheyenne Bottoms, wetland in jeopardy / John L. Zimmerman ; [foreword by Jan Garton].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Zimmerman, John L., 1933-</t>
        </is>
      </c>
      <c r="L20" t="inlineStr">
        <is>
          <t>Lawrence, Kan. : University Press of Kansas, c1990.</t>
        </is>
      </c>
      <c r="M20" t="inlineStr">
        <is>
          <t>1990</t>
        </is>
      </c>
      <c r="O20" t="inlineStr">
        <is>
          <t>eng</t>
        </is>
      </c>
      <c r="P20" t="inlineStr">
        <is>
          <t>ksu</t>
        </is>
      </c>
      <c r="R20" t="inlineStr">
        <is>
          <t xml:space="preserve">QH </t>
        </is>
      </c>
      <c r="S20" t="n">
        <v>8</v>
      </c>
      <c r="T20" t="n">
        <v>8</v>
      </c>
      <c r="U20" t="inlineStr">
        <is>
          <t>2009-01-21</t>
        </is>
      </c>
      <c r="V20" t="inlineStr">
        <is>
          <t>2009-01-21</t>
        </is>
      </c>
      <c r="W20" t="inlineStr">
        <is>
          <t>1991-04-03</t>
        </is>
      </c>
      <c r="X20" t="inlineStr">
        <is>
          <t>1991-04-03</t>
        </is>
      </c>
      <c r="Y20" t="n">
        <v>295</v>
      </c>
      <c r="Z20" t="n">
        <v>286</v>
      </c>
      <c r="AA20" t="n">
        <v>289</v>
      </c>
      <c r="AB20" t="n">
        <v>3</v>
      </c>
      <c r="AC20" t="n">
        <v>3</v>
      </c>
      <c r="AD20" t="n">
        <v>7</v>
      </c>
      <c r="AE20" t="n">
        <v>7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2</v>
      </c>
      <c r="AL20" t="n">
        <v>2</v>
      </c>
      <c r="AM20" t="n">
        <v>2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HYPERLINK("http://catalog.hathitrust.org/Record/002468066","HathiTrust Record")</f>
        <v/>
      </c>
      <c r="AS20">
        <f>HYPERLINK("https://creighton-primo.hosted.exlibrisgroup.com/primo-explore/search?tab=default_tab&amp;search_scope=EVERYTHING&amp;vid=01CRU&amp;lang=en_US&amp;offset=0&amp;query=any,contains,991001816969702656","Catalog Record")</f>
        <v/>
      </c>
      <c r="AT20">
        <f>HYPERLINK("http://www.worldcat.org/oclc/22836383","WorldCat Record")</f>
        <v/>
      </c>
      <c r="AU20" t="inlineStr">
        <is>
          <t>24658343:eng</t>
        </is>
      </c>
      <c r="AV20" t="inlineStr">
        <is>
          <t>22836383</t>
        </is>
      </c>
      <c r="AW20" t="inlineStr">
        <is>
          <t>991001816969702656</t>
        </is>
      </c>
      <c r="AX20" t="inlineStr">
        <is>
          <t>991001816969702656</t>
        </is>
      </c>
      <c r="AY20" t="inlineStr">
        <is>
          <t>2263230650002656</t>
        </is>
      </c>
      <c r="AZ20" t="inlineStr">
        <is>
          <t>BOOK</t>
        </is>
      </c>
      <c r="BB20" t="inlineStr">
        <is>
          <t>9780700604432</t>
        </is>
      </c>
      <c r="BC20" t="inlineStr">
        <is>
          <t>32285000565803</t>
        </is>
      </c>
      <c r="BD20" t="inlineStr">
        <is>
          <t>893885573</t>
        </is>
      </c>
    </row>
    <row r="21">
      <c r="A21" t="inlineStr">
        <is>
          <t>No</t>
        </is>
      </c>
      <c r="B21" t="inlineStr">
        <is>
          <t>QH105.N4 C27 1999</t>
        </is>
      </c>
      <c r="C21" t="inlineStr">
        <is>
          <t>0                      QH 0105000N  4                  C  27          1999</t>
        </is>
      </c>
      <c r="D21" t="inlineStr">
        <is>
          <t>Swampwalker's journal : a wetlands year / David M. Carroll.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Carroll, David M.</t>
        </is>
      </c>
      <c r="L21" t="inlineStr">
        <is>
          <t>Boston : Houghton Mifflin Co., 1999.</t>
        </is>
      </c>
      <c r="M21" t="inlineStr">
        <is>
          <t>1999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QH </t>
        </is>
      </c>
      <c r="S21" t="n">
        <v>2</v>
      </c>
      <c r="T21" t="n">
        <v>2</v>
      </c>
      <c r="U21" t="inlineStr">
        <is>
          <t>2006-10-16</t>
        </is>
      </c>
      <c r="V21" t="inlineStr">
        <is>
          <t>2006-10-16</t>
        </is>
      </c>
      <c r="W21" t="inlineStr">
        <is>
          <t>2000-07-25</t>
        </is>
      </c>
      <c r="X21" t="inlineStr">
        <is>
          <t>2000-07-25</t>
        </is>
      </c>
      <c r="Y21" t="n">
        <v>603</v>
      </c>
      <c r="Z21" t="n">
        <v>580</v>
      </c>
      <c r="AA21" t="n">
        <v>655</v>
      </c>
      <c r="AB21" t="n">
        <v>4</v>
      </c>
      <c r="AC21" t="n">
        <v>4</v>
      </c>
      <c r="AD21" t="n">
        <v>10</v>
      </c>
      <c r="AE21" t="n">
        <v>10</v>
      </c>
      <c r="AF21" t="n">
        <v>3</v>
      </c>
      <c r="AG21" t="n">
        <v>3</v>
      </c>
      <c r="AH21" t="n">
        <v>2</v>
      </c>
      <c r="AI21" t="n">
        <v>2</v>
      </c>
      <c r="AJ21" t="n">
        <v>5</v>
      </c>
      <c r="AK21" t="n">
        <v>5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HYPERLINK("http://catalog.hathitrust.org/Record/009925235","HathiTrust Record")</f>
        <v/>
      </c>
      <c r="AS21">
        <f>HYPERLINK("https://creighton-primo.hosted.exlibrisgroup.com/primo-explore/search?tab=default_tab&amp;search_scope=EVERYTHING&amp;vid=01CRU&amp;lang=en_US&amp;offset=0&amp;query=any,contains,991003216369702656","Catalog Record")</f>
        <v/>
      </c>
      <c r="AT21">
        <f>HYPERLINK("http://www.worldcat.org/oclc/41131779","WorldCat Record")</f>
        <v/>
      </c>
      <c r="AU21" t="inlineStr">
        <is>
          <t>800759560:eng</t>
        </is>
      </c>
      <c r="AV21" t="inlineStr">
        <is>
          <t>41131779</t>
        </is>
      </c>
      <c r="AW21" t="inlineStr">
        <is>
          <t>991003216369702656</t>
        </is>
      </c>
      <c r="AX21" t="inlineStr">
        <is>
          <t>991003216369702656</t>
        </is>
      </c>
      <c r="AY21" t="inlineStr">
        <is>
          <t>2270054540002656</t>
        </is>
      </c>
      <c r="AZ21" t="inlineStr">
        <is>
          <t>BOOK</t>
        </is>
      </c>
      <c r="BB21" t="inlineStr">
        <is>
          <t>9780395647257</t>
        </is>
      </c>
      <c r="BC21" t="inlineStr">
        <is>
          <t>32285003711511</t>
        </is>
      </c>
      <c r="BD21" t="inlineStr">
        <is>
          <t>893698767</t>
        </is>
      </c>
    </row>
    <row r="22">
      <c r="A22" t="inlineStr">
        <is>
          <t>No</t>
        </is>
      </c>
      <c r="B22" t="inlineStr">
        <is>
          <t>QH105.N4 E3 1985</t>
        </is>
      </c>
      <c r="C22" t="inlineStr">
        <is>
          <t>0                      QH 0105000N  4                  E  3           1985</t>
        </is>
      </c>
      <c r="D22" t="inlineStr">
        <is>
          <t>An Ecosystem approach to aquatic ecology : Mirror Lake and its environment / edited by Gene E. Likens.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Springer-Verlag, c1985.</t>
        </is>
      </c>
      <c r="M22" t="inlineStr">
        <is>
          <t>1985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QH </t>
        </is>
      </c>
      <c r="S22" t="n">
        <v>11</v>
      </c>
      <c r="T22" t="n">
        <v>11</v>
      </c>
      <c r="U22" t="inlineStr">
        <is>
          <t>1999-11-10</t>
        </is>
      </c>
      <c r="V22" t="inlineStr">
        <is>
          <t>1999-11-10</t>
        </is>
      </c>
      <c r="W22" t="inlineStr">
        <is>
          <t>1993-03-12</t>
        </is>
      </c>
      <c r="X22" t="inlineStr">
        <is>
          <t>1993-03-12</t>
        </is>
      </c>
      <c r="Y22" t="n">
        <v>617</v>
      </c>
      <c r="Z22" t="n">
        <v>481</v>
      </c>
      <c r="AA22" t="n">
        <v>496</v>
      </c>
      <c r="AB22" t="n">
        <v>5</v>
      </c>
      <c r="AC22" t="n">
        <v>5</v>
      </c>
      <c r="AD22" t="n">
        <v>17</v>
      </c>
      <c r="AE22" t="n">
        <v>17</v>
      </c>
      <c r="AF22" t="n">
        <v>8</v>
      </c>
      <c r="AG22" t="n">
        <v>8</v>
      </c>
      <c r="AH22" t="n">
        <v>4</v>
      </c>
      <c r="AI22" t="n">
        <v>4</v>
      </c>
      <c r="AJ22" t="n">
        <v>6</v>
      </c>
      <c r="AK22" t="n">
        <v>6</v>
      </c>
      <c r="AL22" t="n">
        <v>4</v>
      </c>
      <c r="AM22" t="n">
        <v>4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HYPERLINK("http://catalog.hathitrust.org/Record/000423225","HathiTrust Record")</f>
        <v/>
      </c>
      <c r="AS22">
        <f>HYPERLINK("https://creighton-primo.hosted.exlibrisgroup.com/primo-explore/search?tab=default_tab&amp;search_scope=EVERYTHING&amp;vid=01CRU&amp;lang=en_US&amp;offset=0&amp;query=any,contains,991000543109702656","Catalog Record")</f>
        <v/>
      </c>
      <c r="AT22">
        <f>HYPERLINK("http://www.worldcat.org/oclc/11497871","WorldCat Record")</f>
        <v/>
      </c>
      <c r="AU22" t="inlineStr">
        <is>
          <t>793000368:eng</t>
        </is>
      </c>
      <c r="AV22" t="inlineStr">
        <is>
          <t>11497871</t>
        </is>
      </c>
      <c r="AW22" t="inlineStr">
        <is>
          <t>991000543109702656</t>
        </is>
      </c>
      <c r="AX22" t="inlineStr">
        <is>
          <t>991000543109702656</t>
        </is>
      </c>
      <c r="AY22" t="inlineStr">
        <is>
          <t>2262823790002656</t>
        </is>
      </c>
      <c r="AZ22" t="inlineStr">
        <is>
          <t>BOOK</t>
        </is>
      </c>
      <c r="BB22" t="inlineStr">
        <is>
          <t>9780387961064</t>
        </is>
      </c>
      <c r="BC22" t="inlineStr">
        <is>
          <t>32285001551869</t>
        </is>
      </c>
      <c r="BD22" t="inlineStr">
        <is>
          <t>893496329</t>
        </is>
      </c>
    </row>
    <row r="23">
      <c r="A23" t="inlineStr">
        <is>
          <t>No</t>
        </is>
      </c>
      <c r="B23" t="inlineStr">
        <is>
          <t>QH105.N8 P6</t>
        </is>
      </c>
      <c r="C23" t="inlineStr">
        <is>
          <t>0                      QH 0105000N  8                  P  6</t>
        </is>
      </c>
      <c r="D23" t="inlineStr">
        <is>
          <t>Pocosin wetlands : an integrated analysis of coastal plain freshwater bogs in North Carolina / edited by Curtis J. Richardson, with the assistance of Mary L. Matthews, Stephen A. Anderson.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Stroudsburg, Pa. : Hutchinson Ross Pub. Co. ; [New York] : Distributed by Academic Press, c1981.</t>
        </is>
      </c>
      <c r="M23" t="inlineStr">
        <is>
          <t>1981</t>
        </is>
      </c>
      <c r="O23" t="inlineStr">
        <is>
          <t>eng</t>
        </is>
      </c>
      <c r="P23" t="inlineStr">
        <is>
          <t>pau</t>
        </is>
      </c>
      <c r="R23" t="inlineStr">
        <is>
          <t xml:space="preserve">QH </t>
        </is>
      </c>
      <c r="S23" t="n">
        <v>7</v>
      </c>
      <c r="T23" t="n">
        <v>7</v>
      </c>
      <c r="U23" t="inlineStr">
        <is>
          <t>1997-11-13</t>
        </is>
      </c>
      <c r="V23" t="inlineStr">
        <is>
          <t>1997-11-13</t>
        </is>
      </c>
      <c r="W23" t="inlineStr">
        <is>
          <t>1992-11-24</t>
        </is>
      </c>
      <c r="X23" t="inlineStr">
        <is>
          <t>1992-11-24</t>
        </is>
      </c>
      <c r="Y23" t="n">
        <v>231</v>
      </c>
      <c r="Z23" t="n">
        <v>205</v>
      </c>
      <c r="AA23" t="n">
        <v>206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2</v>
      </c>
      <c r="AI23" t="n">
        <v>2</v>
      </c>
      <c r="AJ23" t="n">
        <v>2</v>
      </c>
      <c r="AK23" t="n">
        <v>2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HYPERLINK("http://catalog.hathitrust.org/Record/000105211","HathiTrust Record")</f>
        <v/>
      </c>
      <c r="AS23">
        <f>HYPERLINK("https://creighton-primo.hosted.exlibrisgroup.com/primo-explore/search?tab=default_tab&amp;search_scope=EVERYTHING&amp;vid=01CRU&amp;lang=en_US&amp;offset=0&amp;query=any,contains,991005166519702656","Catalog Record")</f>
        <v/>
      </c>
      <c r="AT23">
        <f>HYPERLINK("http://www.worldcat.org/oclc/7836072","WorldCat Record")</f>
        <v/>
      </c>
      <c r="AU23" t="inlineStr">
        <is>
          <t>828852824:eng</t>
        </is>
      </c>
      <c r="AV23" t="inlineStr">
        <is>
          <t>7836072</t>
        </is>
      </c>
      <c r="AW23" t="inlineStr">
        <is>
          <t>991005166519702656</t>
        </is>
      </c>
      <c r="AX23" t="inlineStr">
        <is>
          <t>991005166519702656</t>
        </is>
      </c>
      <c r="AY23" t="inlineStr">
        <is>
          <t>2255356920002656</t>
        </is>
      </c>
      <c r="AZ23" t="inlineStr">
        <is>
          <t>BOOK</t>
        </is>
      </c>
      <c r="BB23" t="inlineStr">
        <is>
          <t>9780879334185</t>
        </is>
      </c>
      <c r="BC23" t="inlineStr">
        <is>
          <t>32285001409142</t>
        </is>
      </c>
      <c r="BD23" t="inlineStr">
        <is>
          <t>893332510</t>
        </is>
      </c>
    </row>
    <row r="24">
      <c r="A24" t="inlineStr">
        <is>
          <t>No</t>
        </is>
      </c>
      <c r="B24" t="inlineStr">
        <is>
          <t>QH105.W2 I58 2008</t>
        </is>
      </c>
      <c r="C24" t="inlineStr">
        <is>
          <t>0                      QH 0105000W  2                  I  58          2008</t>
        </is>
      </c>
      <c r="D24" t="inlineStr">
        <is>
          <t>In the blast zone : catastrophe and renewal on Mount St. Helens / edited by Charles Goodrich, Kathleen Dean Moore, Frederick J. Swanson ; original line drawings by Ann Zwinger.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Corvallis : Oregon State University Press, c2008.</t>
        </is>
      </c>
      <c r="M24" t="inlineStr">
        <is>
          <t>2008</t>
        </is>
      </c>
      <c r="O24" t="inlineStr">
        <is>
          <t>eng</t>
        </is>
      </c>
      <c r="P24" t="inlineStr">
        <is>
          <t>oru</t>
        </is>
      </c>
      <c r="R24" t="inlineStr">
        <is>
          <t xml:space="preserve">QH </t>
        </is>
      </c>
      <c r="S24" t="n">
        <v>1</v>
      </c>
      <c r="T24" t="n">
        <v>1</v>
      </c>
      <c r="U24" t="inlineStr">
        <is>
          <t>2008-05-13</t>
        </is>
      </c>
      <c r="V24" t="inlineStr">
        <is>
          <t>2008-05-13</t>
        </is>
      </c>
      <c r="W24" t="inlineStr">
        <is>
          <t>2008-05-13</t>
        </is>
      </c>
      <c r="X24" t="inlineStr">
        <is>
          <t>2008-05-13</t>
        </is>
      </c>
      <c r="Y24" t="n">
        <v>227</v>
      </c>
      <c r="Z24" t="n">
        <v>211</v>
      </c>
      <c r="AA24" t="n">
        <v>220</v>
      </c>
      <c r="AB24" t="n">
        <v>1</v>
      </c>
      <c r="AC24" t="n">
        <v>2</v>
      </c>
      <c r="AD24" t="n">
        <v>6</v>
      </c>
      <c r="AE24" t="n">
        <v>8</v>
      </c>
      <c r="AF24" t="n">
        <v>2</v>
      </c>
      <c r="AG24" t="n">
        <v>3</v>
      </c>
      <c r="AH24" t="n">
        <v>2</v>
      </c>
      <c r="AI24" t="n">
        <v>3</v>
      </c>
      <c r="AJ24" t="n">
        <v>4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HYPERLINK("https://creighton-primo.hosted.exlibrisgroup.com/primo-explore/search?tab=default_tab&amp;search_scope=EVERYTHING&amp;vid=01CRU&amp;lang=en_US&amp;offset=0&amp;query=any,contains,991005213219702656","Catalog Record")</f>
        <v/>
      </c>
      <c r="AT24">
        <f>HYPERLINK("http://www.worldcat.org/oclc/174112646","WorldCat Record")</f>
        <v/>
      </c>
      <c r="AU24" t="inlineStr">
        <is>
          <t>363944861:eng</t>
        </is>
      </c>
      <c r="AV24" t="inlineStr">
        <is>
          <t>174112646</t>
        </is>
      </c>
      <c r="AW24" t="inlineStr">
        <is>
          <t>991005213219702656</t>
        </is>
      </c>
      <c r="AX24" t="inlineStr">
        <is>
          <t>991005213219702656</t>
        </is>
      </c>
      <c r="AY24" t="inlineStr">
        <is>
          <t>2262315020002656</t>
        </is>
      </c>
      <c r="AZ24" t="inlineStr">
        <is>
          <t>BOOK</t>
        </is>
      </c>
      <c r="BB24" t="inlineStr">
        <is>
          <t>9780870711985</t>
        </is>
      </c>
      <c r="BC24" t="inlineStr">
        <is>
          <t>32285005407464</t>
        </is>
      </c>
      <c r="BD24" t="inlineStr">
        <is>
          <t>893808015</t>
        </is>
      </c>
    </row>
    <row r="25">
      <c r="A25" t="inlineStr">
        <is>
          <t>No</t>
        </is>
      </c>
      <c r="B25" t="inlineStr">
        <is>
          <t>QH105.W2 P95 1996</t>
        </is>
      </c>
      <c r="C25" t="inlineStr">
        <is>
          <t>0                      QH 0105000W  2                  P  95          1996</t>
        </is>
      </c>
      <c r="D25" t="inlineStr">
        <is>
          <t>Wintergreen : listening to the land's heart / Robert Michael Pyle.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Pyle, Robert Michael.</t>
        </is>
      </c>
      <c r="L25" t="inlineStr">
        <is>
          <t>Boston : Houghton Mifflin, c1996, 1988.</t>
        </is>
      </c>
      <c r="M25" t="inlineStr">
        <is>
          <t>1996</t>
        </is>
      </c>
      <c r="N25" t="inlineStr">
        <is>
          <t>[With a new preface].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QH </t>
        </is>
      </c>
      <c r="S25" t="n">
        <v>2</v>
      </c>
      <c r="T25" t="n">
        <v>2</v>
      </c>
      <c r="U25" t="inlineStr">
        <is>
          <t>1998-03-13</t>
        </is>
      </c>
      <c r="V25" t="inlineStr">
        <is>
          <t>1998-03-13</t>
        </is>
      </c>
      <c r="W25" t="inlineStr">
        <is>
          <t>1998-02-26</t>
        </is>
      </c>
      <c r="X25" t="inlineStr">
        <is>
          <t>1998-02-26</t>
        </is>
      </c>
      <c r="Y25" t="n">
        <v>30</v>
      </c>
      <c r="Z25" t="n">
        <v>27</v>
      </c>
      <c r="AA25" t="n">
        <v>142</v>
      </c>
      <c r="AB25" t="n">
        <v>2</v>
      </c>
      <c r="AC25" t="n">
        <v>2</v>
      </c>
      <c r="AD25" t="n">
        <v>2</v>
      </c>
      <c r="AE25" t="n">
        <v>7</v>
      </c>
      <c r="AF25" t="n">
        <v>0</v>
      </c>
      <c r="AG25" t="n">
        <v>1</v>
      </c>
      <c r="AH25" t="n">
        <v>0</v>
      </c>
      <c r="AI25" t="n">
        <v>1</v>
      </c>
      <c r="AJ25" t="n">
        <v>1</v>
      </c>
      <c r="AK25" t="n">
        <v>5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HYPERLINK("https://creighton-primo.hosted.exlibrisgroup.com/primo-explore/search?tab=default_tab&amp;search_scope=EVERYTHING&amp;vid=01CRU&amp;lang=en_US&amp;offset=0&amp;query=any,contains,991002683919702656","Catalog Record")</f>
        <v/>
      </c>
      <c r="AT25">
        <f>HYPERLINK("http://www.worldcat.org/oclc/35069829","WorldCat Record")</f>
        <v/>
      </c>
      <c r="AU25" t="inlineStr">
        <is>
          <t>13841422:eng</t>
        </is>
      </c>
      <c r="AV25" t="inlineStr">
        <is>
          <t>35069829</t>
        </is>
      </c>
      <c r="AW25" t="inlineStr">
        <is>
          <t>991002683919702656</t>
        </is>
      </c>
      <c r="AX25" t="inlineStr">
        <is>
          <t>991002683919702656</t>
        </is>
      </c>
      <c r="AY25" t="inlineStr">
        <is>
          <t>2255060190002656</t>
        </is>
      </c>
      <c r="AZ25" t="inlineStr">
        <is>
          <t>BOOK</t>
        </is>
      </c>
      <c r="BB25" t="inlineStr">
        <is>
          <t>9780395465592</t>
        </is>
      </c>
      <c r="BC25" t="inlineStr">
        <is>
          <t>32285003355723</t>
        </is>
      </c>
      <c r="BD25" t="inlineStr">
        <is>
          <t>893716784</t>
        </is>
      </c>
    </row>
    <row r="26">
      <c r="A26" t="inlineStr">
        <is>
          <t>No</t>
        </is>
      </c>
      <c r="B26" t="inlineStr">
        <is>
          <t>QH105.W8 G75 1991</t>
        </is>
      </c>
      <c r="C26" t="inlineStr">
        <is>
          <t>0                      QH 0105000W  8                  G  75          1991</t>
        </is>
      </c>
      <c r="D26" t="inlineStr">
        <is>
          <t>The Greater Yellowstone ecosystem : redefining America's wilderness heritage / Robert B. Keiter and Mark S. Boyce, editors ; with a foreword by Luna B. Leopold.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Haven : Yale University Press, c1991.</t>
        </is>
      </c>
      <c r="M26" t="inlineStr">
        <is>
          <t>1991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QH </t>
        </is>
      </c>
      <c r="S26" t="n">
        <v>4</v>
      </c>
      <c r="T26" t="n">
        <v>4</v>
      </c>
      <c r="U26" t="inlineStr">
        <is>
          <t>2001-04-03</t>
        </is>
      </c>
      <c r="V26" t="inlineStr">
        <is>
          <t>2001-04-03</t>
        </is>
      </c>
      <c r="W26" t="inlineStr">
        <is>
          <t>1996-06-17</t>
        </is>
      </c>
      <c r="X26" t="inlineStr">
        <is>
          <t>1996-06-17</t>
        </is>
      </c>
      <c r="Y26" t="n">
        <v>638</v>
      </c>
      <c r="Z26" t="n">
        <v>579</v>
      </c>
      <c r="AA26" t="n">
        <v>595</v>
      </c>
      <c r="AB26" t="n">
        <v>6</v>
      </c>
      <c r="AC26" t="n">
        <v>6</v>
      </c>
      <c r="AD26" t="n">
        <v>25</v>
      </c>
      <c r="AE26" t="n">
        <v>25</v>
      </c>
      <c r="AF26" t="n">
        <v>5</v>
      </c>
      <c r="AG26" t="n">
        <v>5</v>
      </c>
      <c r="AH26" t="n">
        <v>7</v>
      </c>
      <c r="AI26" t="n">
        <v>7</v>
      </c>
      <c r="AJ26" t="n">
        <v>4</v>
      </c>
      <c r="AK26" t="n">
        <v>4</v>
      </c>
      <c r="AL26" t="n">
        <v>5</v>
      </c>
      <c r="AM26" t="n">
        <v>5</v>
      </c>
      <c r="AN26" t="n">
        <v>8</v>
      </c>
      <c r="AO26" t="n">
        <v>8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HYPERLINK("https://creighton-primo.hosted.exlibrisgroup.com/primo-explore/search?tab=default_tab&amp;search_scope=EVERYTHING&amp;vid=01CRU&amp;lang=en_US&amp;offset=0&amp;query=any,contains,991001860509702656","Catalog Record")</f>
        <v/>
      </c>
      <c r="AT26">
        <f>HYPERLINK("http://www.worldcat.org/oclc/23382455","WorldCat Record")</f>
        <v/>
      </c>
      <c r="AU26" t="inlineStr">
        <is>
          <t>836758094:eng</t>
        </is>
      </c>
      <c r="AV26" t="inlineStr">
        <is>
          <t>23382455</t>
        </is>
      </c>
      <c r="AW26" t="inlineStr">
        <is>
          <t>991001860509702656</t>
        </is>
      </c>
      <c r="AX26" t="inlineStr">
        <is>
          <t>991001860509702656</t>
        </is>
      </c>
      <c r="AY26" t="inlineStr">
        <is>
          <t>2266436280002656</t>
        </is>
      </c>
      <c r="AZ26" t="inlineStr">
        <is>
          <t>BOOK</t>
        </is>
      </c>
      <c r="BB26" t="inlineStr">
        <is>
          <t>9780300049701</t>
        </is>
      </c>
      <c r="BC26" t="inlineStr">
        <is>
          <t>32285002193737</t>
        </is>
      </c>
      <c r="BD26" t="inlineStr">
        <is>
          <t>893898116</t>
        </is>
      </c>
    </row>
    <row r="27">
      <c r="A27" t="inlineStr">
        <is>
          <t>No</t>
        </is>
      </c>
      <c r="B27" t="inlineStr">
        <is>
          <t>QH106.2.A84 E33 1972</t>
        </is>
      </c>
      <c r="C27" t="inlineStr">
        <is>
          <t>0                      QH 0106200A  84                 E  33          1972</t>
        </is>
      </c>
      <c r="D27" t="inlineStr">
        <is>
          <t>The Northeast coast / by Maitland A. Edey and the editors of Time-Life Books.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Edey, Maitland A. (Maitland Armstrong), 1910-1992.</t>
        </is>
      </c>
      <c r="L27" t="inlineStr">
        <is>
          <t>New York : Time-Life Books, [1972]</t>
        </is>
      </c>
      <c r="M27" t="inlineStr">
        <is>
          <t>1972</t>
        </is>
      </c>
      <c r="O27" t="inlineStr">
        <is>
          <t>eng</t>
        </is>
      </c>
      <c r="P27" t="inlineStr">
        <is>
          <t>nyu</t>
        </is>
      </c>
      <c r="Q27" t="inlineStr">
        <is>
          <t>The American wilderness</t>
        </is>
      </c>
      <c r="R27" t="inlineStr">
        <is>
          <t xml:space="preserve">QH </t>
        </is>
      </c>
      <c r="S27" t="n">
        <v>2</v>
      </c>
      <c r="T27" t="n">
        <v>2</v>
      </c>
      <c r="U27" t="inlineStr">
        <is>
          <t>1994-03-19</t>
        </is>
      </c>
      <c r="V27" t="inlineStr">
        <is>
          <t>1994-03-19</t>
        </is>
      </c>
      <c r="W27" t="inlineStr">
        <is>
          <t>1991-12-09</t>
        </is>
      </c>
      <c r="X27" t="inlineStr">
        <is>
          <t>1991-12-09</t>
        </is>
      </c>
      <c r="Y27" t="n">
        <v>1242</v>
      </c>
      <c r="Z27" t="n">
        <v>1203</v>
      </c>
      <c r="AA27" t="n">
        <v>1409</v>
      </c>
      <c r="AB27" t="n">
        <v>5</v>
      </c>
      <c r="AC27" t="n">
        <v>5</v>
      </c>
      <c r="AD27" t="n">
        <v>15</v>
      </c>
      <c r="AE27" t="n">
        <v>16</v>
      </c>
      <c r="AF27" t="n">
        <v>4</v>
      </c>
      <c r="AG27" t="n">
        <v>4</v>
      </c>
      <c r="AH27" t="n">
        <v>3</v>
      </c>
      <c r="AI27" t="n">
        <v>3</v>
      </c>
      <c r="AJ27" t="n">
        <v>8</v>
      </c>
      <c r="AK27" t="n">
        <v>9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HYPERLINK("http://catalog.hathitrust.org/Record/007973343","HathiTrust Record")</f>
        <v/>
      </c>
      <c r="AS27">
        <f>HYPERLINK("https://creighton-primo.hosted.exlibrisgroup.com/primo-explore/search?tab=default_tab&amp;search_scope=EVERYTHING&amp;vid=01CRU&amp;lang=en_US&amp;offset=0&amp;query=any,contains,991002455259702656","Catalog Record")</f>
        <v/>
      </c>
      <c r="AT27">
        <f>HYPERLINK("http://www.worldcat.org/oclc/354073","WorldCat Record")</f>
        <v/>
      </c>
      <c r="AU27" t="inlineStr">
        <is>
          <t>271353668:eng</t>
        </is>
      </c>
      <c r="AV27" t="inlineStr">
        <is>
          <t>354073</t>
        </is>
      </c>
      <c r="AW27" t="inlineStr">
        <is>
          <t>991002455259702656</t>
        </is>
      </c>
      <c r="AX27" t="inlineStr">
        <is>
          <t>991002455259702656</t>
        </is>
      </c>
      <c r="AY27" t="inlineStr">
        <is>
          <t>2266227200002656</t>
        </is>
      </c>
      <c r="AZ27" t="inlineStr">
        <is>
          <t>BOOK</t>
        </is>
      </c>
      <c r="BC27" t="inlineStr">
        <is>
          <t>32285000885888</t>
        </is>
      </c>
      <c r="BD27" t="inlineStr">
        <is>
          <t>893498129</t>
        </is>
      </c>
    </row>
    <row r="28">
      <c r="A28" t="inlineStr">
        <is>
          <t>No</t>
        </is>
      </c>
      <c r="B28" t="inlineStr">
        <is>
          <t>QH106.2.N49 S73 1977</t>
        </is>
      </c>
      <c r="C28" t="inlineStr">
        <is>
          <t>0                      QH 0106200N  49                 S  73          1977</t>
        </is>
      </c>
      <c r="D28" t="inlineStr">
        <is>
          <t>Labrador / by Robert Stewart and the editors of Time-Life Books.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Stewart, Robert, 1938-</t>
        </is>
      </c>
      <c r="L28" t="inlineStr">
        <is>
          <t>Amsterdam : Time-Life International, c1977.</t>
        </is>
      </c>
      <c r="M28" t="inlineStr">
        <is>
          <t>1977</t>
        </is>
      </c>
      <c r="O28" t="inlineStr">
        <is>
          <t>eng</t>
        </is>
      </c>
      <c r="P28" t="inlineStr">
        <is>
          <t xml:space="preserve">ne </t>
        </is>
      </c>
      <c r="Q28" t="inlineStr">
        <is>
          <t>The World's wild places</t>
        </is>
      </c>
      <c r="R28" t="inlineStr">
        <is>
          <t xml:space="preserve">QH </t>
        </is>
      </c>
      <c r="S28" t="n">
        <v>2</v>
      </c>
      <c r="T28" t="n">
        <v>2</v>
      </c>
      <c r="U28" t="inlineStr">
        <is>
          <t>1996-09-26</t>
        </is>
      </c>
      <c r="V28" t="inlineStr">
        <is>
          <t>1996-09-26</t>
        </is>
      </c>
      <c r="W28" t="inlineStr">
        <is>
          <t>1993-03-12</t>
        </is>
      </c>
      <c r="X28" t="inlineStr">
        <is>
          <t>1993-03-12</t>
        </is>
      </c>
      <c r="Y28" t="n">
        <v>481</v>
      </c>
      <c r="Z28" t="n">
        <v>381</v>
      </c>
      <c r="AA28" t="n">
        <v>392</v>
      </c>
      <c r="AB28" t="n">
        <v>6</v>
      </c>
      <c r="AC28" t="n">
        <v>6</v>
      </c>
      <c r="AD28" t="n">
        <v>2</v>
      </c>
      <c r="AE28" t="n">
        <v>2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HYPERLINK("https://creighton-primo.hosted.exlibrisgroup.com/primo-explore/search?tab=default_tab&amp;search_scope=EVERYTHING&amp;vid=01CRU&amp;lang=en_US&amp;offset=0&amp;query=any,contains,991004410899702656","Catalog Record")</f>
        <v/>
      </c>
      <c r="AT28">
        <f>HYPERLINK("http://www.worldcat.org/oclc/3341067","WorldCat Record")</f>
        <v/>
      </c>
      <c r="AU28" t="inlineStr">
        <is>
          <t>117902915:eng</t>
        </is>
      </c>
      <c r="AV28" t="inlineStr">
        <is>
          <t>3341067</t>
        </is>
      </c>
      <c r="AW28" t="inlineStr">
        <is>
          <t>991004410899702656</t>
        </is>
      </c>
      <c r="AX28" t="inlineStr">
        <is>
          <t>991004410899702656</t>
        </is>
      </c>
      <c r="AY28" t="inlineStr">
        <is>
          <t>2259622110002656</t>
        </is>
      </c>
      <c r="AZ28" t="inlineStr">
        <is>
          <t>BOOK</t>
        </is>
      </c>
      <c r="BC28" t="inlineStr">
        <is>
          <t>32285001551919</t>
        </is>
      </c>
      <c r="BD28" t="inlineStr">
        <is>
          <t>893526065</t>
        </is>
      </c>
    </row>
    <row r="29">
      <c r="A29" t="inlineStr">
        <is>
          <t>No</t>
        </is>
      </c>
      <c r="B29" t="inlineStr">
        <is>
          <t>QH106.5 .K75 1989</t>
        </is>
      </c>
      <c r="C29" t="inlineStr">
        <is>
          <t>0                      QH 0106500K  75          1989</t>
        </is>
      </c>
      <c r="D29" t="inlineStr">
        <is>
          <t>A neotropical companion : an introduction to the animals, plants, and ecosystems of the New World tropics / by John C. Kricher ; illustrated by Andrea S. LeJeune.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Kricher, John C.</t>
        </is>
      </c>
      <c r="L29" t="inlineStr">
        <is>
          <t>Princeton, N.J. : Princeton University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nju</t>
        </is>
      </c>
      <c r="R29" t="inlineStr">
        <is>
          <t xml:space="preserve">QH </t>
        </is>
      </c>
      <c r="S29" t="n">
        <v>3</v>
      </c>
      <c r="T29" t="n">
        <v>3</v>
      </c>
      <c r="U29" t="inlineStr">
        <is>
          <t>1994-02-14</t>
        </is>
      </c>
      <c r="V29" t="inlineStr">
        <is>
          <t>1994-02-14</t>
        </is>
      </c>
      <c r="W29" t="inlineStr">
        <is>
          <t>1989-10-23</t>
        </is>
      </c>
      <c r="X29" t="inlineStr">
        <is>
          <t>1989-10-23</t>
        </is>
      </c>
      <c r="Y29" t="n">
        <v>633</v>
      </c>
      <c r="Z29" t="n">
        <v>552</v>
      </c>
      <c r="AA29" t="n">
        <v>1049</v>
      </c>
      <c r="AB29" t="n">
        <v>3</v>
      </c>
      <c r="AC29" t="n">
        <v>10</v>
      </c>
      <c r="AD29" t="n">
        <v>23</v>
      </c>
      <c r="AE29" t="n">
        <v>39</v>
      </c>
      <c r="AF29" t="n">
        <v>8</v>
      </c>
      <c r="AG29" t="n">
        <v>16</v>
      </c>
      <c r="AH29" t="n">
        <v>6</v>
      </c>
      <c r="AI29" t="n">
        <v>6</v>
      </c>
      <c r="AJ29" t="n">
        <v>12</v>
      </c>
      <c r="AK29" t="n">
        <v>18</v>
      </c>
      <c r="AL29" t="n">
        <v>2</v>
      </c>
      <c r="AM29" t="n">
        <v>8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HYPERLINK("https://creighton-primo.hosted.exlibrisgroup.com/primo-explore/search?tab=default_tab&amp;search_scope=EVERYTHING&amp;vid=01CRU&amp;lang=en_US&amp;offset=0&amp;query=any,contains,991001334339702656","Catalog Record")</f>
        <v/>
      </c>
      <c r="AT29">
        <f>HYPERLINK("http://www.worldcat.org/oclc/18350056","WorldCat Record")</f>
        <v/>
      </c>
      <c r="AU29" t="inlineStr">
        <is>
          <t>4923698947:eng</t>
        </is>
      </c>
      <c r="AV29" t="inlineStr">
        <is>
          <t>18350056</t>
        </is>
      </c>
      <c r="AW29" t="inlineStr">
        <is>
          <t>991001334339702656</t>
        </is>
      </c>
      <c r="AX29" t="inlineStr">
        <is>
          <t>991001334339702656</t>
        </is>
      </c>
      <c r="AY29" t="inlineStr">
        <is>
          <t>2262682970002656</t>
        </is>
      </c>
      <c r="AZ29" t="inlineStr">
        <is>
          <t>BOOK</t>
        </is>
      </c>
      <c r="BB29" t="inlineStr">
        <is>
          <t>9780691085210</t>
        </is>
      </c>
      <c r="BC29" t="inlineStr">
        <is>
          <t>32285000001726</t>
        </is>
      </c>
      <c r="BD29" t="inlineStr">
        <is>
          <t>893791379</t>
        </is>
      </c>
    </row>
    <row r="30">
      <c r="A30" t="inlineStr">
        <is>
          <t>No</t>
        </is>
      </c>
      <c r="B30" t="inlineStr">
        <is>
          <t>QH107 .J36 1992</t>
        </is>
      </c>
      <c r="C30" t="inlineStr">
        <is>
          <t>0                      QH 0107000J  36          1992</t>
        </is>
      </c>
      <c r="D30" t="inlineStr">
        <is>
          <t>Vermilion Sea : a naturalist's journey in Baja California / John Janovy, Jr.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Janovy, John, Jr., 1937-</t>
        </is>
      </c>
      <c r="L30" t="inlineStr">
        <is>
          <t>Boston : Houghton Mifflin, 1992.</t>
        </is>
      </c>
      <c r="M30" t="inlineStr">
        <is>
          <t>1992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QH </t>
        </is>
      </c>
      <c r="S30" t="n">
        <v>5</v>
      </c>
      <c r="T30" t="n">
        <v>5</v>
      </c>
      <c r="U30" t="inlineStr">
        <is>
          <t>1992-09-25</t>
        </is>
      </c>
      <c r="V30" t="inlineStr">
        <is>
          <t>1992-09-25</t>
        </is>
      </c>
      <c r="W30" t="inlineStr">
        <is>
          <t>1992-02-27</t>
        </is>
      </c>
      <c r="X30" t="inlineStr">
        <is>
          <t>1992-02-27</t>
        </is>
      </c>
      <c r="Y30" t="n">
        <v>227</v>
      </c>
      <c r="Z30" t="n">
        <v>218</v>
      </c>
      <c r="AA30" t="n">
        <v>225</v>
      </c>
      <c r="AB30" t="n">
        <v>11</v>
      </c>
      <c r="AC30" t="n">
        <v>11</v>
      </c>
      <c r="AD30" t="n">
        <v>9</v>
      </c>
      <c r="AE30" t="n">
        <v>9</v>
      </c>
      <c r="AF30" t="n">
        <v>1</v>
      </c>
      <c r="AG30" t="n">
        <v>1</v>
      </c>
      <c r="AH30" t="n">
        <v>1</v>
      </c>
      <c r="AI30" t="n">
        <v>1</v>
      </c>
      <c r="AJ30" t="n">
        <v>2</v>
      </c>
      <c r="AK30" t="n">
        <v>2</v>
      </c>
      <c r="AL30" t="n">
        <v>6</v>
      </c>
      <c r="AM30" t="n">
        <v>6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HYPERLINK("http://catalog.hathitrust.org/Record/004513667","HathiTrust Record")</f>
        <v/>
      </c>
      <c r="AS30">
        <f>HYPERLINK("https://creighton-primo.hosted.exlibrisgroup.com/primo-explore/search?tab=default_tab&amp;search_scope=EVERYTHING&amp;vid=01CRU&amp;lang=en_US&amp;offset=0&amp;query=any,contains,991001914449702656","Catalog Record")</f>
        <v/>
      </c>
      <c r="AT30">
        <f>HYPERLINK("http://www.worldcat.org/oclc/24173967","WorldCat Record")</f>
        <v/>
      </c>
      <c r="AU30" t="inlineStr">
        <is>
          <t>26438918:eng</t>
        </is>
      </c>
      <c r="AV30" t="inlineStr">
        <is>
          <t>24173967</t>
        </is>
      </c>
      <c r="AW30" t="inlineStr">
        <is>
          <t>991001914449702656</t>
        </is>
      </c>
      <c r="AX30" t="inlineStr">
        <is>
          <t>991001914449702656</t>
        </is>
      </c>
      <c r="AY30" t="inlineStr">
        <is>
          <t>2269025330002656</t>
        </is>
      </c>
      <c r="AZ30" t="inlineStr">
        <is>
          <t>BOOK</t>
        </is>
      </c>
      <c r="BB30" t="inlineStr">
        <is>
          <t>9780395576496</t>
        </is>
      </c>
      <c r="BC30" t="inlineStr">
        <is>
          <t>32285000936772</t>
        </is>
      </c>
      <c r="BD30" t="inlineStr">
        <is>
          <t>893898166</t>
        </is>
      </c>
    </row>
    <row r="31">
      <c r="A31" t="inlineStr">
        <is>
          <t>No</t>
        </is>
      </c>
      <c r="B31" t="inlineStr">
        <is>
          <t>QH108.A1 F67 1984</t>
        </is>
      </c>
      <c r="C31" t="inlineStr">
        <is>
          <t>0                      QH 0108000A  1                  F  67          1984</t>
        </is>
      </c>
      <c r="D31" t="inlineStr">
        <is>
          <t>Tropical nature / Adrian Forsyth and Kenneth Miyata ; illustrations by Sarah Landry.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Forsyth, Adrian.</t>
        </is>
      </c>
      <c r="L31" t="inlineStr">
        <is>
          <t>New York : Scribner, c1984.</t>
        </is>
      </c>
      <c r="M31" t="inlineStr">
        <is>
          <t>1984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QH </t>
        </is>
      </c>
      <c r="S31" t="n">
        <v>3</v>
      </c>
      <c r="T31" t="n">
        <v>3</v>
      </c>
      <c r="U31" t="inlineStr">
        <is>
          <t>1996-12-30</t>
        </is>
      </c>
      <c r="V31" t="inlineStr">
        <is>
          <t>1996-12-30</t>
        </is>
      </c>
      <c r="W31" t="inlineStr">
        <is>
          <t>1993-03-12</t>
        </is>
      </c>
      <c r="X31" t="inlineStr">
        <is>
          <t>1993-03-12</t>
        </is>
      </c>
      <c r="Y31" t="n">
        <v>1183</v>
      </c>
      <c r="Z31" t="n">
        <v>1091</v>
      </c>
      <c r="AA31" t="n">
        <v>1192</v>
      </c>
      <c r="AB31" t="n">
        <v>6</v>
      </c>
      <c r="AC31" t="n">
        <v>6</v>
      </c>
      <c r="AD31" t="n">
        <v>21</v>
      </c>
      <c r="AE31" t="n">
        <v>27</v>
      </c>
      <c r="AF31" t="n">
        <v>8</v>
      </c>
      <c r="AG31" t="n">
        <v>12</v>
      </c>
      <c r="AH31" t="n">
        <v>5</v>
      </c>
      <c r="AI31" t="n">
        <v>7</v>
      </c>
      <c r="AJ31" t="n">
        <v>8</v>
      </c>
      <c r="AK31" t="n">
        <v>11</v>
      </c>
      <c r="AL31" t="n">
        <v>4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HYPERLINK("http://catalog.hathitrust.org/Record/000336930","HathiTrust Record")</f>
        <v/>
      </c>
      <c r="AS31">
        <f>HYPERLINK("https://creighton-primo.hosted.exlibrisgroup.com/primo-explore/search?tab=default_tab&amp;search_scope=EVERYTHING&amp;vid=01CRU&amp;lang=en_US&amp;offset=0&amp;query=any,contains,991000331109702656","Catalog Record")</f>
        <v/>
      </c>
      <c r="AT31">
        <f>HYPERLINK("http://www.worldcat.org/oclc/10207062","WorldCat Record")</f>
        <v/>
      </c>
      <c r="AU31" t="inlineStr">
        <is>
          <t>2848868:eng</t>
        </is>
      </c>
      <c r="AV31" t="inlineStr">
        <is>
          <t>10207062</t>
        </is>
      </c>
      <c r="AW31" t="inlineStr">
        <is>
          <t>991000331109702656</t>
        </is>
      </c>
      <c r="AX31" t="inlineStr">
        <is>
          <t>991000331109702656</t>
        </is>
      </c>
      <c r="AY31" t="inlineStr">
        <is>
          <t>2264925630002656</t>
        </is>
      </c>
      <c r="AZ31" t="inlineStr">
        <is>
          <t>BOOK</t>
        </is>
      </c>
      <c r="BB31" t="inlineStr">
        <is>
          <t>9780684179643</t>
        </is>
      </c>
      <c r="BC31" t="inlineStr">
        <is>
          <t>32285001551943</t>
        </is>
      </c>
      <c r="BD31" t="inlineStr">
        <is>
          <t>893865263</t>
        </is>
      </c>
    </row>
    <row r="32">
      <c r="A32" t="inlineStr">
        <is>
          <t>No</t>
        </is>
      </c>
      <c r="B32" t="inlineStr">
        <is>
          <t>QH108.C6 P474 1986</t>
        </is>
      </c>
      <c r="C32" t="inlineStr">
        <is>
          <t>0                      QH 0108000C  6                  P  474         1986</t>
        </is>
      </c>
      <c r="D32" t="inlineStr">
        <is>
          <t>Life above the jungle floor / Donald Perry.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Perry, Donald R.</t>
        </is>
      </c>
      <c r="L32" t="inlineStr">
        <is>
          <t>New York : Simon and Schuster, c1986.</t>
        </is>
      </c>
      <c r="M32" t="inlineStr">
        <is>
          <t>1986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QH </t>
        </is>
      </c>
      <c r="S32" t="n">
        <v>3</v>
      </c>
      <c r="T32" t="n">
        <v>3</v>
      </c>
      <c r="U32" t="inlineStr">
        <is>
          <t>1994-10-04</t>
        </is>
      </c>
      <c r="V32" t="inlineStr">
        <is>
          <t>1994-10-04</t>
        </is>
      </c>
      <c r="W32" t="inlineStr">
        <is>
          <t>1993-03-12</t>
        </is>
      </c>
      <c r="X32" t="inlineStr">
        <is>
          <t>1993-03-12</t>
        </is>
      </c>
      <c r="Y32" t="n">
        <v>803</v>
      </c>
      <c r="Z32" t="n">
        <v>769</v>
      </c>
      <c r="AA32" t="n">
        <v>814</v>
      </c>
      <c r="AB32" t="n">
        <v>8</v>
      </c>
      <c r="AC32" t="n">
        <v>9</v>
      </c>
      <c r="AD32" t="n">
        <v>20</v>
      </c>
      <c r="AE32" t="n">
        <v>20</v>
      </c>
      <c r="AF32" t="n">
        <v>8</v>
      </c>
      <c r="AG32" t="n">
        <v>8</v>
      </c>
      <c r="AH32" t="n">
        <v>2</v>
      </c>
      <c r="AI32" t="n">
        <v>2</v>
      </c>
      <c r="AJ32" t="n">
        <v>9</v>
      </c>
      <c r="AK32" t="n">
        <v>9</v>
      </c>
      <c r="AL32" t="n">
        <v>5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HYPERLINK("https://creighton-primo.hosted.exlibrisgroup.com/primo-explore/search?tab=default_tab&amp;search_scope=EVERYTHING&amp;vid=01CRU&amp;lang=en_US&amp;offset=0&amp;query=any,contains,991000911449702656","Catalog Record")</f>
        <v/>
      </c>
      <c r="AT32">
        <f>HYPERLINK("http://www.worldcat.org/oclc/14134653","WorldCat Record")</f>
        <v/>
      </c>
      <c r="AU32" t="inlineStr">
        <is>
          <t>7642575:eng</t>
        </is>
      </c>
      <c r="AV32" t="inlineStr">
        <is>
          <t>14134653</t>
        </is>
      </c>
      <c r="AW32" t="inlineStr">
        <is>
          <t>991000911449702656</t>
        </is>
      </c>
      <c r="AX32" t="inlineStr">
        <is>
          <t>991000911449702656</t>
        </is>
      </c>
      <c r="AY32" t="inlineStr">
        <is>
          <t>2266145770002656</t>
        </is>
      </c>
      <c r="AZ32" t="inlineStr">
        <is>
          <t>BOOK</t>
        </is>
      </c>
      <c r="BB32" t="inlineStr">
        <is>
          <t>9780671544546</t>
        </is>
      </c>
      <c r="BC32" t="inlineStr">
        <is>
          <t>32285001551968</t>
        </is>
      </c>
      <c r="BD32" t="inlineStr">
        <is>
          <t>893413787</t>
        </is>
      </c>
    </row>
    <row r="33">
      <c r="A33" t="inlineStr">
        <is>
          <t>No</t>
        </is>
      </c>
      <c r="B33" t="inlineStr">
        <is>
          <t>QH108.N5 B45</t>
        </is>
      </c>
      <c r="C33" t="inlineStr">
        <is>
          <t>0                      QH 0108000N  5                  B  45</t>
        </is>
      </c>
      <c r="D33" t="inlineStr">
        <is>
          <t>The naturalist in Nicaragua. A narrative of a residence at the gold mines of Chontales; journeys in the savannahs and forests; with observations on animals and plants in reference to the theory of evolution of living forms. By Thomas Belt ...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Belt, Thomas, 1832-1878.</t>
        </is>
      </c>
      <c r="L33" t="inlineStr">
        <is>
          <t>London, E. Bumpus, 1888.</t>
        </is>
      </c>
      <c r="M33" t="inlineStr">
        <is>
          <t>1888</t>
        </is>
      </c>
      <c r="N33" t="inlineStr">
        <is>
          <t>2d ed., rev. and cor. ...</t>
        </is>
      </c>
      <c r="O33" t="inlineStr">
        <is>
          <t>eng</t>
        </is>
      </c>
      <c r="P33" t="inlineStr">
        <is>
          <t>___</t>
        </is>
      </c>
      <c r="R33" t="inlineStr">
        <is>
          <t xml:space="preserve">QH </t>
        </is>
      </c>
      <c r="S33" t="n">
        <v>0</v>
      </c>
      <c r="T33" t="n">
        <v>0</v>
      </c>
      <c r="U33" t="inlineStr">
        <is>
          <t>2008-01-31</t>
        </is>
      </c>
      <c r="V33" t="inlineStr">
        <is>
          <t>2008-01-31</t>
        </is>
      </c>
      <c r="W33" t="inlineStr">
        <is>
          <t>1993-03-12</t>
        </is>
      </c>
      <c r="X33" t="inlineStr">
        <is>
          <t>1993-03-12</t>
        </is>
      </c>
      <c r="Y33" t="n">
        <v>96</v>
      </c>
      <c r="Z33" t="n">
        <v>85</v>
      </c>
      <c r="AA33" t="n">
        <v>162</v>
      </c>
      <c r="AB33" t="n">
        <v>1</v>
      </c>
      <c r="AC33" t="n">
        <v>2</v>
      </c>
      <c r="AD33" t="n">
        <v>3</v>
      </c>
      <c r="AE33" t="n">
        <v>6</v>
      </c>
      <c r="AF33" t="n">
        <v>1</v>
      </c>
      <c r="AG33" t="n">
        <v>1</v>
      </c>
      <c r="AH33" t="n">
        <v>1</v>
      </c>
      <c r="AI33" t="n">
        <v>3</v>
      </c>
      <c r="AJ33" t="n">
        <v>3</v>
      </c>
      <c r="AK33" t="n">
        <v>3</v>
      </c>
      <c r="AL33" t="n">
        <v>0</v>
      </c>
      <c r="AM33" t="n">
        <v>1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HYPERLINK("http://catalog.hathitrust.org/Record/001490656","HathiTrust Record")</f>
        <v/>
      </c>
      <c r="AS33">
        <f>HYPERLINK("https://creighton-primo.hosted.exlibrisgroup.com/primo-explore/search?tab=default_tab&amp;search_scope=EVERYTHING&amp;vid=01CRU&amp;lang=en_US&amp;offset=0&amp;query=any,contains,991002670709702656","Catalog Record")</f>
        <v/>
      </c>
      <c r="AT33">
        <f>HYPERLINK("http://www.worldcat.org/oclc/394966","WorldCat Record")</f>
        <v/>
      </c>
      <c r="AU33" t="inlineStr">
        <is>
          <t>5447691673:eng</t>
        </is>
      </c>
      <c r="AV33" t="inlineStr">
        <is>
          <t>394966</t>
        </is>
      </c>
      <c r="AW33" t="inlineStr">
        <is>
          <t>991002670709702656</t>
        </is>
      </c>
      <c r="AX33" t="inlineStr">
        <is>
          <t>991002670709702656</t>
        </is>
      </c>
      <c r="AY33" t="inlineStr">
        <is>
          <t>2260280940002656</t>
        </is>
      </c>
      <c r="AZ33" t="inlineStr">
        <is>
          <t>BOOK</t>
        </is>
      </c>
      <c r="BC33" t="inlineStr">
        <is>
          <t>32285001551976</t>
        </is>
      </c>
      <c r="BD33" t="inlineStr">
        <is>
          <t>893245481</t>
        </is>
      </c>
    </row>
    <row r="34">
      <c r="A34" t="inlineStr">
        <is>
          <t>No</t>
        </is>
      </c>
      <c r="B34" t="inlineStr">
        <is>
          <t>QH108.P3 R69 2001</t>
        </is>
      </c>
      <c r="C34" t="inlineStr">
        <is>
          <t>0                      QH 0108000P  3                  R  69          2001</t>
        </is>
      </c>
      <c r="D34" t="inlineStr">
        <is>
          <t>The Tapir's morning bath : mysteries of the tropical rain forest and the scientists who are trying to solve them / Elizabeth Royte.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Royte, Elizabeth.</t>
        </is>
      </c>
      <c r="L34" t="inlineStr">
        <is>
          <t>Boston : Houghton Mifflin, 2001.</t>
        </is>
      </c>
      <c r="M34" t="inlineStr">
        <is>
          <t>2001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QH </t>
        </is>
      </c>
      <c r="S34" t="n">
        <v>2</v>
      </c>
      <c r="T34" t="n">
        <v>2</v>
      </c>
      <c r="U34" t="inlineStr">
        <is>
          <t>2003-01-13</t>
        </is>
      </c>
      <c r="V34" t="inlineStr">
        <is>
          <t>2003-01-13</t>
        </is>
      </c>
      <c r="W34" t="inlineStr">
        <is>
          <t>2002-08-22</t>
        </is>
      </c>
      <c r="X34" t="inlineStr">
        <is>
          <t>2002-08-22</t>
        </is>
      </c>
      <c r="Y34" t="n">
        <v>659</v>
      </c>
      <c r="Z34" t="n">
        <v>617</v>
      </c>
      <c r="AA34" t="n">
        <v>618</v>
      </c>
      <c r="AB34" t="n">
        <v>3</v>
      </c>
      <c r="AC34" t="n">
        <v>3</v>
      </c>
      <c r="AD34" t="n">
        <v>18</v>
      </c>
      <c r="AE34" t="n">
        <v>18</v>
      </c>
      <c r="AF34" t="n">
        <v>9</v>
      </c>
      <c r="AG34" t="n">
        <v>9</v>
      </c>
      <c r="AH34" t="n">
        <v>3</v>
      </c>
      <c r="AI34" t="n">
        <v>3</v>
      </c>
      <c r="AJ34" t="n">
        <v>11</v>
      </c>
      <c r="AK34" t="n">
        <v>11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HYPERLINK("https://creighton-primo.hosted.exlibrisgroup.com/primo-explore/search?tab=default_tab&amp;search_scope=EVERYTHING&amp;vid=01CRU&amp;lang=en_US&amp;offset=0&amp;query=any,contains,991003859499702656","Catalog Record")</f>
        <v/>
      </c>
      <c r="AT34">
        <f>HYPERLINK("http://www.worldcat.org/oclc/46884151","WorldCat Record")</f>
        <v/>
      </c>
      <c r="AU34" t="inlineStr">
        <is>
          <t>8486499:eng</t>
        </is>
      </c>
      <c r="AV34" t="inlineStr">
        <is>
          <t>46884151</t>
        </is>
      </c>
      <c r="AW34" t="inlineStr">
        <is>
          <t>991003859499702656</t>
        </is>
      </c>
      <c r="AX34" t="inlineStr">
        <is>
          <t>991003859499702656</t>
        </is>
      </c>
      <c r="AY34" t="inlineStr">
        <is>
          <t>2271995510002656</t>
        </is>
      </c>
      <c r="AZ34" t="inlineStr">
        <is>
          <t>BOOK</t>
        </is>
      </c>
      <c r="BB34" t="inlineStr">
        <is>
          <t>9780395979976</t>
        </is>
      </c>
      <c r="BC34" t="inlineStr">
        <is>
          <t>32285004644687</t>
        </is>
      </c>
      <c r="BD34" t="inlineStr">
        <is>
          <t>893599073</t>
        </is>
      </c>
    </row>
    <row r="35">
      <c r="A35" t="inlineStr">
        <is>
          <t>No</t>
        </is>
      </c>
      <c r="B35" t="inlineStr">
        <is>
          <t>QH109.D66 H66 1999</t>
        </is>
      </c>
      <c r="C35" t="inlineStr">
        <is>
          <t>0                      QH 0109000D  66                 H  66          1999</t>
        </is>
      </c>
      <c r="D35" t="inlineStr">
        <is>
          <t>Guia ecologica : la costa norte de la República Dominicana / Jürgen Hoppe.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Hoppe, Jürgen.</t>
        </is>
      </c>
      <c r="L35" t="inlineStr">
        <is>
          <t>Santo Domingo, República Dominicana : EDUCA, 1999.</t>
        </is>
      </c>
      <c r="M35" t="inlineStr">
        <is>
          <t>1999</t>
        </is>
      </c>
      <c r="N35" t="inlineStr">
        <is>
          <t>1. ed.</t>
        </is>
      </c>
      <c r="O35" t="inlineStr">
        <is>
          <t>spa</t>
        </is>
      </c>
      <c r="P35" t="inlineStr">
        <is>
          <t xml:space="preserve">dr </t>
        </is>
      </c>
      <c r="Q35" t="inlineStr">
        <is>
          <t>EDUCA ; vol. 3</t>
        </is>
      </c>
      <c r="R35" t="inlineStr">
        <is>
          <t xml:space="preserve">QH </t>
        </is>
      </c>
      <c r="S35" t="n">
        <v>1</v>
      </c>
      <c r="T35" t="n">
        <v>1</v>
      </c>
      <c r="U35" t="inlineStr">
        <is>
          <t>2000-08-29</t>
        </is>
      </c>
      <c r="V35" t="inlineStr">
        <is>
          <t>2000-08-29</t>
        </is>
      </c>
      <c r="W35" t="inlineStr">
        <is>
          <t>2000-08-29</t>
        </is>
      </c>
      <c r="X35" t="inlineStr">
        <is>
          <t>2000-08-29</t>
        </is>
      </c>
      <c r="Y35" t="n">
        <v>18</v>
      </c>
      <c r="Z35" t="n">
        <v>16</v>
      </c>
      <c r="AA35" t="n">
        <v>18</v>
      </c>
      <c r="AB35" t="n">
        <v>1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HYPERLINK("http://catalog.hathitrust.org/Record/101535219","HathiTrust Record")</f>
        <v/>
      </c>
      <c r="AS35">
        <f>HYPERLINK("https://creighton-primo.hosted.exlibrisgroup.com/primo-explore/search?tab=default_tab&amp;search_scope=EVERYTHING&amp;vid=01CRU&amp;lang=en_US&amp;offset=0&amp;query=any,contains,991003242419702656","Catalog Record")</f>
        <v/>
      </c>
      <c r="AT35">
        <f>HYPERLINK("http://www.worldcat.org/oclc/44084555","WorldCat Record")</f>
        <v/>
      </c>
      <c r="AU35" t="inlineStr">
        <is>
          <t>34434282:spa</t>
        </is>
      </c>
      <c r="AV35" t="inlineStr">
        <is>
          <t>44084555</t>
        </is>
      </c>
      <c r="AW35" t="inlineStr">
        <is>
          <t>991003242419702656</t>
        </is>
      </c>
      <c r="AX35" t="inlineStr">
        <is>
          <t>991003242419702656</t>
        </is>
      </c>
      <c r="AY35" t="inlineStr">
        <is>
          <t>2272068820002656</t>
        </is>
      </c>
      <c r="AZ35" t="inlineStr">
        <is>
          <t>BOOK</t>
        </is>
      </c>
      <c r="BB35" t="inlineStr">
        <is>
          <t>9788495246004</t>
        </is>
      </c>
      <c r="BC35" t="inlineStr">
        <is>
          <t>32285003759981</t>
        </is>
      </c>
      <c r="BD35" t="inlineStr">
        <is>
          <t>893904305</t>
        </is>
      </c>
    </row>
    <row r="36">
      <c r="A36" t="inlineStr">
        <is>
          <t>No</t>
        </is>
      </c>
      <c r="B36" t="inlineStr">
        <is>
          <t>QH11 .B43</t>
        </is>
      </c>
      <c r="C36" t="inlineStr">
        <is>
          <t>0                      QH 0011000B  43</t>
        </is>
      </c>
      <c r="D36" t="inlineStr">
        <is>
          <t>The Beagle record : selections from the original pictorial records and written accounts of the voyage of H.M.S. Beagle / edited by Richard Darwin Keynes.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Cambridge ; New York : Cambridge University Press, 1979.</t>
        </is>
      </c>
      <c r="M36" t="inlineStr">
        <is>
          <t>1978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QH </t>
        </is>
      </c>
      <c r="S36" t="n">
        <v>3</v>
      </c>
      <c r="T36" t="n">
        <v>3</v>
      </c>
      <c r="U36" t="inlineStr">
        <is>
          <t>2007-11-17</t>
        </is>
      </c>
      <c r="V36" t="inlineStr">
        <is>
          <t>2007-11-17</t>
        </is>
      </c>
      <c r="W36" t="inlineStr">
        <is>
          <t>1993-02-22</t>
        </is>
      </c>
      <c r="X36" t="inlineStr">
        <is>
          <t>1993-02-22</t>
        </is>
      </c>
      <c r="Y36" t="n">
        <v>609</v>
      </c>
      <c r="Z36" t="n">
        <v>445</v>
      </c>
      <c r="AA36" t="n">
        <v>445</v>
      </c>
      <c r="AB36" t="n">
        <v>4</v>
      </c>
      <c r="AC36" t="n">
        <v>4</v>
      </c>
      <c r="AD36" t="n">
        <v>12</v>
      </c>
      <c r="AE36" t="n">
        <v>12</v>
      </c>
      <c r="AF36" t="n">
        <v>3</v>
      </c>
      <c r="AG36" t="n">
        <v>3</v>
      </c>
      <c r="AH36" t="n">
        <v>2</v>
      </c>
      <c r="AI36" t="n">
        <v>2</v>
      </c>
      <c r="AJ36" t="n">
        <v>5</v>
      </c>
      <c r="AK36" t="n">
        <v>5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HYPERLINK("https://creighton-primo.hosted.exlibrisgroup.com/primo-explore/search?tab=default_tab&amp;search_scope=EVERYTHING&amp;vid=01CRU&amp;lang=en_US&amp;offset=0&amp;query=any,contains,991004415149702656","Catalog Record")</f>
        <v/>
      </c>
      <c r="AT36">
        <f>HYPERLINK("http://www.worldcat.org/oclc/3360884","WorldCat Record")</f>
        <v/>
      </c>
      <c r="AU36" t="inlineStr">
        <is>
          <t>875282979:eng</t>
        </is>
      </c>
      <c r="AV36" t="inlineStr">
        <is>
          <t>3360884</t>
        </is>
      </c>
      <c r="AW36" t="inlineStr">
        <is>
          <t>991004415149702656</t>
        </is>
      </c>
      <c r="AX36" t="inlineStr">
        <is>
          <t>991004415149702656</t>
        </is>
      </c>
      <c r="AY36" t="inlineStr">
        <is>
          <t>2255754050002656</t>
        </is>
      </c>
      <c r="AZ36" t="inlineStr">
        <is>
          <t>BOOK</t>
        </is>
      </c>
      <c r="BB36" t="inlineStr">
        <is>
          <t>9780521218221</t>
        </is>
      </c>
      <c r="BC36" t="inlineStr">
        <is>
          <t>32285001550754</t>
        </is>
      </c>
      <c r="BD36" t="inlineStr">
        <is>
          <t>893442584</t>
        </is>
      </c>
    </row>
    <row r="37">
      <c r="A37" t="inlineStr">
        <is>
          <t>No</t>
        </is>
      </c>
      <c r="B37" t="inlineStr">
        <is>
          <t>QH11 .D236 1978</t>
        </is>
      </c>
      <c r="C37" t="inlineStr">
        <is>
          <t>0                      QH 0011000D  236         1978</t>
        </is>
      </c>
      <c r="D37" t="inlineStr">
        <is>
          <t>What Darwin saw in his voyage round the world in the ship Beagle.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Darwin, Charles, 1809-1882.</t>
        </is>
      </c>
      <c r="L37" t="inlineStr">
        <is>
          <t>New York : Weathervane Books : distributed by Crown Publishers, [1978]</t>
        </is>
      </c>
      <c r="M37" t="inlineStr">
        <is>
          <t>1978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QH </t>
        </is>
      </c>
      <c r="S37" t="n">
        <v>2</v>
      </c>
      <c r="T37" t="n">
        <v>2</v>
      </c>
      <c r="U37" t="inlineStr">
        <is>
          <t>1993-12-05</t>
        </is>
      </c>
      <c r="V37" t="inlineStr">
        <is>
          <t>1993-12-05</t>
        </is>
      </c>
      <c r="W37" t="inlineStr">
        <is>
          <t>1993-02-22</t>
        </is>
      </c>
      <c r="X37" t="inlineStr">
        <is>
          <t>1993-02-22</t>
        </is>
      </c>
      <c r="Y37" t="n">
        <v>183</v>
      </c>
      <c r="Z37" t="n">
        <v>159</v>
      </c>
      <c r="AA37" t="n">
        <v>323</v>
      </c>
      <c r="AB37" t="n">
        <v>2</v>
      </c>
      <c r="AC37" t="n">
        <v>4</v>
      </c>
      <c r="AD37" t="n">
        <v>2</v>
      </c>
      <c r="AE37" t="n">
        <v>13</v>
      </c>
      <c r="AF37" t="n">
        <v>1</v>
      </c>
      <c r="AG37" t="n">
        <v>4</v>
      </c>
      <c r="AH37" t="n">
        <v>0</v>
      </c>
      <c r="AI37" t="n">
        <v>2</v>
      </c>
      <c r="AJ37" t="n">
        <v>0</v>
      </c>
      <c r="AK37" t="n">
        <v>5</v>
      </c>
      <c r="AL37" t="n">
        <v>1</v>
      </c>
      <c r="AM37" t="n">
        <v>3</v>
      </c>
      <c r="AN37" t="n">
        <v>0</v>
      </c>
      <c r="AO37" t="n">
        <v>1</v>
      </c>
      <c r="AP37" t="inlineStr">
        <is>
          <t>Yes</t>
        </is>
      </c>
      <c r="AQ37" t="inlineStr">
        <is>
          <t>No</t>
        </is>
      </c>
      <c r="AR37">
        <f>HYPERLINK("http://catalog.hathitrust.org/Record/101577302","HathiTrust Record")</f>
        <v/>
      </c>
      <c r="AS37">
        <f>HYPERLINK("https://creighton-primo.hosted.exlibrisgroup.com/primo-explore/search?tab=default_tab&amp;search_scope=EVERYTHING&amp;vid=01CRU&amp;lang=en_US&amp;offset=0&amp;query=any,contains,991004610549702656","Catalog Record")</f>
        <v/>
      </c>
      <c r="AT37">
        <f>HYPERLINK("http://www.worldcat.org/oclc/4211207","WorldCat Record")</f>
        <v/>
      </c>
      <c r="AU37" t="inlineStr">
        <is>
          <t>1151055610:eng</t>
        </is>
      </c>
      <c r="AV37" t="inlineStr">
        <is>
          <t>4211207</t>
        </is>
      </c>
      <c r="AW37" t="inlineStr">
        <is>
          <t>991004610549702656</t>
        </is>
      </c>
      <c r="AX37" t="inlineStr">
        <is>
          <t>991004610549702656</t>
        </is>
      </c>
      <c r="AY37" t="inlineStr">
        <is>
          <t>2256532920002656</t>
        </is>
      </c>
      <c r="AZ37" t="inlineStr">
        <is>
          <t>BOOK</t>
        </is>
      </c>
      <c r="BB37" t="inlineStr">
        <is>
          <t>9780517263105</t>
        </is>
      </c>
      <c r="BC37" t="inlineStr">
        <is>
          <t>32285001550762</t>
        </is>
      </c>
      <c r="BD37" t="inlineStr">
        <is>
          <t>893259923</t>
        </is>
      </c>
    </row>
    <row r="38">
      <c r="A38" t="inlineStr">
        <is>
          <t>No</t>
        </is>
      </c>
      <c r="B38" t="inlineStr">
        <is>
          <t>QH11 .M27 1991</t>
        </is>
      </c>
      <c r="C38" t="inlineStr">
        <is>
          <t>0                      QH 0011000M  27          1991</t>
        </is>
      </c>
      <c r="D38" t="inlineStr">
        <is>
          <t>Three men of the Beagle / Richard Lee Marks.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Marks, Richard Lee.</t>
        </is>
      </c>
      <c r="L38" t="inlineStr">
        <is>
          <t>New York : Knopf, 1991.</t>
        </is>
      </c>
      <c r="M38" t="inlineStr">
        <is>
          <t>1991</t>
        </is>
      </c>
      <c r="N38" t="inlineStr">
        <is>
          <t>1st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QH </t>
        </is>
      </c>
      <c r="S38" t="n">
        <v>7</v>
      </c>
      <c r="T38" t="n">
        <v>7</v>
      </c>
      <c r="U38" t="inlineStr">
        <is>
          <t>2007-11-17</t>
        </is>
      </c>
      <c r="V38" t="inlineStr">
        <is>
          <t>2007-11-17</t>
        </is>
      </c>
      <c r="W38" t="inlineStr">
        <is>
          <t>1991-09-06</t>
        </is>
      </c>
      <c r="X38" t="inlineStr">
        <is>
          <t>1991-09-06</t>
        </is>
      </c>
      <c r="Y38" t="n">
        <v>488</v>
      </c>
      <c r="Z38" t="n">
        <v>452</v>
      </c>
      <c r="AA38" t="n">
        <v>476</v>
      </c>
      <c r="AB38" t="n">
        <v>3</v>
      </c>
      <c r="AC38" t="n">
        <v>3</v>
      </c>
      <c r="AD38" t="n">
        <v>8</v>
      </c>
      <c r="AE38" t="n">
        <v>9</v>
      </c>
      <c r="AF38" t="n">
        <v>1</v>
      </c>
      <c r="AG38" t="n">
        <v>2</v>
      </c>
      <c r="AH38" t="n">
        <v>0</v>
      </c>
      <c r="AI38" t="n">
        <v>0</v>
      </c>
      <c r="AJ38" t="n">
        <v>5</v>
      </c>
      <c r="AK38" t="n">
        <v>5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HYPERLINK("https://creighton-primo.hosted.exlibrisgroup.com/primo-explore/search?tab=default_tab&amp;search_scope=EVERYTHING&amp;vid=01CRU&amp;lang=en_US&amp;offset=0&amp;query=any,contains,991001762619702656","Catalog Record")</f>
        <v/>
      </c>
      <c r="AT38">
        <f>HYPERLINK("http://www.worldcat.org/oclc/22277693","WorldCat Record")</f>
        <v/>
      </c>
      <c r="AU38" t="inlineStr">
        <is>
          <t>24324423:eng</t>
        </is>
      </c>
      <c r="AV38" t="inlineStr">
        <is>
          <t>22277693</t>
        </is>
      </c>
      <c r="AW38" t="inlineStr">
        <is>
          <t>991001762619702656</t>
        </is>
      </c>
      <c r="AX38" t="inlineStr">
        <is>
          <t>991001762619702656</t>
        </is>
      </c>
      <c r="AY38" t="inlineStr">
        <is>
          <t>2263624750002656</t>
        </is>
      </c>
      <c r="AZ38" t="inlineStr">
        <is>
          <t>BOOK</t>
        </is>
      </c>
      <c r="BB38" t="inlineStr">
        <is>
          <t>9780394588186</t>
        </is>
      </c>
      <c r="BC38" t="inlineStr">
        <is>
          <t>32285000703107</t>
        </is>
      </c>
      <c r="BD38" t="inlineStr">
        <is>
          <t>893439396</t>
        </is>
      </c>
    </row>
    <row r="39">
      <c r="A39" t="inlineStr">
        <is>
          <t>No</t>
        </is>
      </c>
      <c r="B39" t="inlineStr">
        <is>
          <t>QH111 .B42</t>
        </is>
      </c>
      <c r="C39" t="inlineStr">
        <is>
          <t>0                      QH 0111000B  42</t>
        </is>
      </c>
      <c r="D39" t="inlineStr">
        <is>
          <t>The land and wildlife of South America / by Marston Bates and the editors of Life.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Bates, Marston, 1906-1974.</t>
        </is>
      </c>
      <c r="L39" t="inlineStr">
        <is>
          <t>New York : Time inc., [1964]</t>
        </is>
      </c>
      <c r="M39" t="inlineStr">
        <is>
          <t>1964</t>
        </is>
      </c>
      <c r="O39" t="inlineStr">
        <is>
          <t>eng</t>
        </is>
      </c>
      <c r="P39" t="inlineStr">
        <is>
          <t>nyu</t>
        </is>
      </c>
      <c r="Q39" t="inlineStr">
        <is>
          <t>Life nature library</t>
        </is>
      </c>
      <c r="R39" t="inlineStr">
        <is>
          <t xml:space="preserve">QH </t>
        </is>
      </c>
      <c r="S39" t="n">
        <v>1</v>
      </c>
      <c r="T39" t="n">
        <v>1</v>
      </c>
      <c r="U39" t="inlineStr">
        <is>
          <t>1998-02-24</t>
        </is>
      </c>
      <c r="V39" t="inlineStr">
        <is>
          <t>1998-02-24</t>
        </is>
      </c>
      <c r="W39" t="inlineStr">
        <is>
          <t>1995-05-16</t>
        </is>
      </c>
      <c r="X39" t="inlineStr">
        <is>
          <t>1995-05-16</t>
        </is>
      </c>
      <c r="Y39" t="n">
        <v>1198</v>
      </c>
      <c r="Z39" t="n">
        <v>1143</v>
      </c>
      <c r="AA39" t="n">
        <v>1311</v>
      </c>
      <c r="AB39" t="n">
        <v>10</v>
      </c>
      <c r="AC39" t="n">
        <v>10</v>
      </c>
      <c r="AD39" t="n">
        <v>25</v>
      </c>
      <c r="AE39" t="n">
        <v>28</v>
      </c>
      <c r="AF39" t="n">
        <v>11</v>
      </c>
      <c r="AG39" t="n">
        <v>13</v>
      </c>
      <c r="AH39" t="n">
        <v>2</v>
      </c>
      <c r="AI39" t="n">
        <v>2</v>
      </c>
      <c r="AJ39" t="n">
        <v>12</v>
      </c>
      <c r="AK39" t="n">
        <v>14</v>
      </c>
      <c r="AL39" t="n">
        <v>5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HYPERLINK("http://catalog.hathitrust.org/Record/001490671","HathiTrust Record")</f>
        <v/>
      </c>
      <c r="AS39">
        <f>HYPERLINK("https://creighton-primo.hosted.exlibrisgroup.com/primo-explore/search?tab=default_tab&amp;search_scope=EVERYTHING&amp;vid=01CRU&amp;lang=en_US&amp;offset=0&amp;query=any,contains,991003178309702656","Catalog Record")</f>
        <v/>
      </c>
      <c r="AT39">
        <f>HYPERLINK("http://www.worldcat.org/oclc/711217","WorldCat Record")</f>
        <v/>
      </c>
      <c r="AU39" t="inlineStr">
        <is>
          <t>1656567:eng</t>
        </is>
      </c>
      <c r="AV39" t="inlineStr">
        <is>
          <t>711217</t>
        </is>
      </c>
      <c r="AW39" t="inlineStr">
        <is>
          <t>991003178309702656</t>
        </is>
      </c>
      <c r="AX39" t="inlineStr">
        <is>
          <t>991003178309702656</t>
        </is>
      </c>
      <c r="AY39" t="inlineStr">
        <is>
          <t>2263989780002656</t>
        </is>
      </c>
      <c r="AZ39" t="inlineStr">
        <is>
          <t>BOOK</t>
        </is>
      </c>
      <c r="BC39" t="inlineStr">
        <is>
          <t>32285002034121</t>
        </is>
      </c>
      <c r="BD39" t="inlineStr">
        <is>
          <t>893592260</t>
        </is>
      </c>
    </row>
    <row r="40">
      <c r="A40" t="inlineStr">
        <is>
          <t>No</t>
        </is>
      </c>
      <c r="B40" t="inlineStr">
        <is>
          <t>QH111 .D6</t>
        </is>
      </c>
      <c r="C40" t="inlineStr">
        <is>
          <t>0                      QH 0111000D  6</t>
        </is>
      </c>
      <c r="D40" t="inlineStr">
        <is>
          <t>South America and Central America : a natural history / photos. by Rolf Blomberg [and others]. Maps drawn by Kenneth Thompson.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Dorst, Jean, 1924-</t>
        </is>
      </c>
      <c r="L40" t="inlineStr">
        <is>
          <t>New York : Random House, [1967]</t>
        </is>
      </c>
      <c r="M40" t="inlineStr">
        <is>
          <t>1967</t>
        </is>
      </c>
      <c r="O40" t="inlineStr">
        <is>
          <t>eng</t>
        </is>
      </c>
      <c r="P40" t="inlineStr">
        <is>
          <t>nyu</t>
        </is>
      </c>
      <c r="Q40" t="inlineStr">
        <is>
          <t>The Continents we live on</t>
        </is>
      </c>
      <c r="R40" t="inlineStr">
        <is>
          <t xml:space="preserve">QH </t>
        </is>
      </c>
      <c r="S40" t="n">
        <v>3</v>
      </c>
      <c r="T40" t="n">
        <v>3</v>
      </c>
      <c r="U40" t="inlineStr">
        <is>
          <t>1994-04-20</t>
        </is>
      </c>
      <c r="V40" t="inlineStr">
        <is>
          <t>1994-04-20</t>
        </is>
      </c>
      <c r="W40" t="inlineStr">
        <is>
          <t>1994-04-19</t>
        </is>
      </c>
      <c r="X40" t="inlineStr">
        <is>
          <t>1994-04-19</t>
        </is>
      </c>
      <c r="Y40" t="n">
        <v>683</v>
      </c>
      <c r="Z40" t="n">
        <v>637</v>
      </c>
      <c r="AA40" t="n">
        <v>670</v>
      </c>
      <c r="AB40" t="n">
        <v>5</v>
      </c>
      <c r="AC40" t="n">
        <v>5</v>
      </c>
      <c r="AD40" t="n">
        <v>18</v>
      </c>
      <c r="AE40" t="n">
        <v>18</v>
      </c>
      <c r="AF40" t="n">
        <v>8</v>
      </c>
      <c r="AG40" t="n">
        <v>8</v>
      </c>
      <c r="AH40" t="n">
        <v>3</v>
      </c>
      <c r="AI40" t="n">
        <v>3</v>
      </c>
      <c r="AJ40" t="n">
        <v>8</v>
      </c>
      <c r="AK40" t="n">
        <v>8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HYPERLINK("http://catalog.hathitrust.org/Record/009915082","HathiTrust Record")</f>
        <v/>
      </c>
      <c r="AS40">
        <f>HYPERLINK("https://creighton-primo.hosted.exlibrisgroup.com/primo-explore/search?tab=default_tab&amp;search_scope=EVERYTHING&amp;vid=01CRU&amp;lang=en_US&amp;offset=0&amp;query=any,contains,991001376719702656","Catalog Record")</f>
        <v/>
      </c>
      <c r="AT40">
        <f>HYPERLINK("http://www.worldcat.org/oclc/225125","WorldCat Record")</f>
        <v/>
      </c>
      <c r="AU40" t="inlineStr">
        <is>
          <t>39995640:eng</t>
        </is>
      </c>
      <c r="AV40" t="inlineStr">
        <is>
          <t>225125</t>
        </is>
      </c>
      <c r="AW40" t="inlineStr">
        <is>
          <t>991001376719702656</t>
        </is>
      </c>
      <c r="AX40" t="inlineStr">
        <is>
          <t>991001376719702656</t>
        </is>
      </c>
      <c r="AY40" t="inlineStr">
        <is>
          <t>2263654850002656</t>
        </is>
      </c>
      <c r="AZ40" t="inlineStr">
        <is>
          <t>BOOK</t>
        </is>
      </c>
      <c r="BC40" t="inlineStr">
        <is>
          <t>32285001877702</t>
        </is>
      </c>
      <c r="BD40" t="inlineStr">
        <is>
          <t>893439092</t>
        </is>
      </c>
    </row>
    <row r="41">
      <c r="A41" t="inlineStr">
        <is>
          <t>No</t>
        </is>
      </c>
      <c r="B41" t="inlineStr">
        <is>
          <t>QH111 .S76 1975</t>
        </is>
      </c>
      <c r="C41" t="inlineStr">
        <is>
          <t>0                      QH 0111000S  76          1975</t>
        </is>
      </c>
      <c r="D41" t="inlineStr">
        <is>
          <t>The Amazon / by Tom Sterling and the editors of Time-Life Books.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Sterling, Thomas, 1921-</t>
        </is>
      </c>
      <c r="L41" t="inlineStr">
        <is>
          <t>Amsterdam : Time-Life Books, 1975, c1973.</t>
        </is>
      </c>
      <c r="M41" t="inlineStr">
        <is>
          <t>1975</t>
        </is>
      </c>
      <c r="O41" t="inlineStr">
        <is>
          <t>eng</t>
        </is>
      </c>
      <c r="P41" t="inlineStr">
        <is>
          <t xml:space="preserve">xx </t>
        </is>
      </c>
      <c r="Q41" t="inlineStr">
        <is>
          <t>The world's wild places</t>
        </is>
      </c>
      <c r="R41" t="inlineStr">
        <is>
          <t xml:space="preserve">QH </t>
        </is>
      </c>
      <c r="S41" t="n">
        <v>5</v>
      </c>
      <c r="T41" t="n">
        <v>5</v>
      </c>
      <c r="U41" t="inlineStr">
        <is>
          <t>1995-05-20</t>
        </is>
      </c>
      <c r="V41" t="inlineStr">
        <is>
          <t>1995-05-20</t>
        </is>
      </c>
      <c r="W41" t="inlineStr">
        <is>
          <t>1991-12-13</t>
        </is>
      </c>
      <c r="X41" t="inlineStr">
        <is>
          <t>1991-12-13</t>
        </is>
      </c>
      <c r="Y41" t="n">
        <v>123</v>
      </c>
      <c r="Z41" t="n">
        <v>117</v>
      </c>
      <c r="AA41" t="n">
        <v>637</v>
      </c>
      <c r="AB41" t="n">
        <v>3</v>
      </c>
      <c r="AC41" t="n">
        <v>7</v>
      </c>
      <c r="AD41" t="n">
        <v>2</v>
      </c>
      <c r="AE41" t="n">
        <v>8</v>
      </c>
      <c r="AF41" t="n">
        <v>1</v>
      </c>
      <c r="AG41" t="n">
        <v>2</v>
      </c>
      <c r="AH41" t="n">
        <v>0</v>
      </c>
      <c r="AI41" t="n">
        <v>1</v>
      </c>
      <c r="AJ41" t="n">
        <v>0</v>
      </c>
      <c r="AK41" t="n">
        <v>4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HYPERLINK("https://creighton-primo.hosted.exlibrisgroup.com/primo-explore/search?tab=default_tab&amp;search_scope=EVERYTHING&amp;vid=01CRU&amp;lang=en_US&amp;offset=0&amp;query=any,contains,991004057219702656","Catalog Record")</f>
        <v/>
      </c>
      <c r="AT41">
        <f>HYPERLINK("http://www.worldcat.org/oclc/2228663","WorldCat Record")</f>
        <v/>
      </c>
      <c r="AU41" t="inlineStr">
        <is>
          <t>2284132:eng</t>
        </is>
      </c>
      <c r="AV41" t="inlineStr">
        <is>
          <t>2228663</t>
        </is>
      </c>
      <c r="AW41" t="inlineStr">
        <is>
          <t>991004057219702656</t>
        </is>
      </c>
      <c r="AX41" t="inlineStr">
        <is>
          <t>991004057219702656</t>
        </is>
      </c>
      <c r="AY41" t="inlineStr">
        <is>
          <t>2270207910002656</t>
        </is>
      </c>
      <c r="AZ41" t="inlineStr">
        <is>
          <t>BOOK</t>
        </is>
      </c>
      <c r="BC41" t="inlineStr">
        <is>
          <t>32285000901446</t>
        </is>
      </c>
      <c r="BD41" t="inlineStr">
        <is>
          <t>893722231</t>
        </is>
      </c>
    </row>
    <row r="42">
      <c r="A42" t="inlineStr">
        <is>
          <t>No</t>
        </is>
      </c>
      <c r="B42" t="inlineStr">
        <is>
          <t>QH123 .T48</t>
        </is>
      </c>
      <c r="C42" t="inlineStr">
        <is>
          <t>0                      QH 0123000T  48</t>
        </is>
      </c>
      <c r="D42" t="inlineStr">
        <is>
          <t>Darwin's islands : a natural history of the Galápagos / [by] Ian Thornton.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Thornton, I. W. B. (Ian W. B.)</t>
        </is>
      </c>
      <c r="L42" t="inlineStr">
        <is>
          <t>Garden City, N.Y. : Published for the American Museum of Natural History [by] Natural History Press, 1971.</t>
        </is>
      </c>
      <c r="M42" t="inlineStr">
        <is>
          <t>1971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QH </t>
        </is>
      </c>
      <c r="S42" t="n">
        <v>6</v>
      </c>
      <c r="T42" t="n">
        <v>6</v>
      </c>
      <c r="U42" t="inlineStr">
        <is>
          <t>2002-01-28</t>
        </is>
      </c>
      <c r="V42" t="inlineStr">
        <is>
          <t>2002-01-28</t>
        </is>
      </c>
      <c r="W42" t="inlineStr">
        <is>
          <t>1993-12-21</t>
        </is>
      </c>
      <c r="X42" t="inlineStr">
        <is>
          <t>1993-12-21</t>
        </is>
      </c>
      <c r="Y42" t="n">
        <v>879</v>
      </c>
      <c r="Z42" t="n">
        <v>809</v>
      </c>
      <c r="AA42" t="n">
        <v>813</v>
      </c>
      <c r="AB42" t="n">
        <v>11</v>
      </c>
      <c r="AC42" t="n">
        <v>11</v>
      </c>
      <c r="AD42" t="n">
        <v>26</v>
      </c>
      <c r="AE42" t="n">
        <v>26</v>
      </c>
      <c r="AF42" t="n">
        <v>7</v>
      </c>
      <c r="AG42" t="n">
        <v>7</v>
      </c>
      <c r="AH42" t="n">
        <v>2</v>
      </c>
      <c r="AI42" t="n">
        <v>2</v>
      </c>
      <c r="AJ42" t="n">
        <v>9</v>
      </c>
      <c r="AK42" t="n">
        <v>9</v>
      </c>
      <c r="AL42" t="n">
        <v>10</v>
      </c>
      <c r="AM42" t="n">
        <v>10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HYPERLINK("http://catalog.hathitrust.org/Record/000703399","HathiTrust Record")</f>
        <v/>
      </c>
      <c r="AS42">
        <f>HYPERLINK("https://creighton-primo.hosted.exlibrisgroup.com/primo-explore/search?tab=default_tab&amp;search_scope=EVERYTHING&amp;vid=01CRU&amp;lang=en_US&amp;offset=0&amp;query=any,contains,991000730439702656","Catalog Record")</f>
        <v/>
      </c>
      <c r="AT42">
        <f>HYPERLINK("http://www.worldcat.org/oclc/128375","WorldCat Record")</f>
        <v/>
      </c>
      <c r="AU42" t="inlineStr">
        <is>
          <t>27585520:eng</t>
        </is>
      </c>
      <c r="AV42" t="inlineStr">
        <is>
          <t>128375</t>
        </is>
      </c>
      <c r="AW42" t="inlineStr">
        <is>
          <t>991000730439702656</t>
        </is>
      </c>
      <c r="AX42" t="inlineStr">
        <is>
          <t>991000730439702656</t>
        </is>
      </c>
      <c r="AY42" t="inlineStr">
        <is>
          <t>2261672680002656</t>
        </is>
      </c>
      <c r="AZ42" t="inlineStr">
        <is>
          <t>BOOK</t>
        </is>
      </c>
      <c r="BC42" t="inlineStr">
        <is>
          <t>32285001825818</t>
        </is>
      </c>
      <c r="BD42" t="inlineStr">
        <is>
          <t>893315184</t>
        </is>
      </c>
    </row>
    <row r="43">
      <c r="A43" t="inlineStr">
        <is>
          <t>No</t>
        </is>
      </c>
      <c r="B43" t="inlineStr">
        <is>
          <t>QH135 .B67 1976</t>
        </is>
      </c>
      <c r="C43" t="inlineStr">
        <is>
          <t>0                      QH 0135000B  67          1976</t>
        </is>
      </c>
      <c r="D43" t="inlineStr">
        <is>
          <t>Wilderness Europe / by Douglas Botting and the editors of Time-Life Books.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Botting, Douglas.</t>
        </is>
      </c>
      <c r="L43" t="inlineStr">
        <is>
          <t>Amsterdam : Time-Life Books, c1976.</t>
        </is>
      </c>
      <c r="M43" t="inlineStr">
        <is>
          <t>1976</t>
        </is>
      </c>
      <c r="O43" t="inlineStr">
        <is>
          <t>eng</t>
        </is>
      </c>
      <c r="P43" t="inlineStr">
        <is>
          <t xml:space="preserve">ne </t>
        </is>
      </c>
      <c r="Q43" t="inlineStr">
        <is>
          <t>The World's wild places</t>
        </is>
      </c>
      <c r="R43" t="inlineStr">
        <is>
          <t xml:space="preserve">QH </t>
        </is>
      </c>
      <c r="S43" t="n">
        <v>7</v>
      </c>
      <c r="T43" t="n">
        <v>7</v>
      </c>
      <c r="U43" t="inlineStr">
        <is>
          <t>1995-10-12</t>
        </is>
      </c>
      <c r="V43" t="inlineStr">
        <is>
          <t>1995-10-12</t>
        </is>
      </c>
      <c r="W43" t="inlineStr">
        <is>
          <t>1993-03-12</t>
        </is>
      </c>
      <c r="X43" t="inlineStr">
        <is>
          <t>1993-03-12</t>
        </is>
      </c>
      <c r="Y43" t="n">
        <v>510</v>
      </c>
      <c r="Z43" t="n">
        <v>423</v>
      </c>
      <c r="AA43" t="n">
        <v>445</v>
      </c>
      <c r="AB43" t="n">
        <v>4</v>
      </c>
      <c r="AC43" t="n">
        <v>5</v>
      </c>
      <c r="AD43" t="n">
        <v>2</v>
      </c>
      <c r="AE43" t="n">
        <v>4</v>
      </c>
      <c r="AF43" t="n">
        <v>0</v>
      </c>
      <c r="AG43" t="n">
        <v>1</v>
      </c>
      <c r="AH43" t="n">
        <v>0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HYPERLINK("http://catalog.hathitrust.org/Record/007286818","HathiTrust Record")</f>
        <v/>
      </c>
      <c r="AS43">
        <f>HYPERLINK("https://creighton-primo.hosted.exlibrisgroup.com/primo-explore/search?tab=default_tab&amp;search_scope=EVERYTHING&amp;vid=01CRU&amp;lang=en_US&amp;offset=0&amp;query=any,contains,991004285179702656","Catalog Record")</f>
        <v/>
      </c>
      <c r="AT43">
        <f>HYPERLINK("http://www.worldcat.org/oclc/2922875","WorldCat Record")</f>
        <v/>
      </c>
      <c r="AU43" t="inlineStr">
        <is>
          <t>180426331:eng</t>
        </is>
      </c>
      <c r="AV43" t="inlineStr">
        <is>
          <t>2922875</t>
        </is>
      </c>
      <c r="AW43" t="inlineStr">
        <is>
          <t>991004285179702656</t>
        </is>
      </c>
      <c r="AX43" t="inlineStr">
        <is>
          <t>991004285179702656</t>
        </is>
      </c>
      <c r="AY43" t="inlineStr">
        <is>
          <t>2264286360002656</t>
        </is>
      </c>
      <c r="AZ43" t="inlineStr">
        <is>
          <t>BOOK</t>
        </is>
      </c>
      <c r="BC43" t="inlineStr">
        <is>
          <t>32285001552008</t>
        </is>
      </c>
      <c r="BD43" t="inlineStr">
        <is>
          <t>893241243</t>
        </is>
      </c>
    </row>
    <row r="44">
      <c r="A44" t="inlineStr">
        <is>
          <t>No</t>
        </is>
      </c>
      <c r="B44" t="inlineStr">
        <is>
          <t>QH138.S4 W5 1904</t>
        </is>
      </c>
      <c r="C44" t="inlineStr">
        <is>
          <t>0                      QH 0138000S  4                  W  5           1904</t>
        </is>
      </c>
      <c r="D44" t="inlineStr">
        <is>
          <t>The natural history of Selborne / by Gilbert White.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White, Gilbert, 1720-1793.</t>
        </is>
      </c>
      <c r="L44" t="inlineStr">
        <is>
          <t>London ; New York : H. Frowde, Oxford University Press, 1904.</t>
        </is>
      </c>
      <c r="M44" t="inlineStr">
        <is>
          <t>1904</t>
        </is>
      </c>
      <c r="O44" t="inlineStr">
        <is>
          <t>eng</t>
        </is>
      </c>
      <c r="P44" t="inlineStr">
        <is>
          <t>xxk</t>
        </is>
      </c>
      <c r="Q44" t="inlineStr">
        <is>
          <t>The World's classics ; 22</t>
        </is>
      </c>
      <c r="R44" t="inlineStr">
        <is>
          <t xml:space="preserve">QH </t>
        </is>
      </c>
      <c r="S44" t="n">
        <v>1</v>
      </c>
      <c r="T44" t="n">
        <v>1</v>
      </c>
      <c r="U44" t="inlineStr">
        <is>
          <t>2000-08-31</t>
        </is>
      </c>
      <c r="V44" t="inlineStr">
        <is>
          <t>2000-08-31</t>
        </is>
      </c>
      <c r="W44" t="inlineStr">
        <is>
          <t>1997-06-30</t>
        </is>
      </c>
      <c r="X44" t="inlineStr">
        <is>
          <t>1997-06-30</t>
        </is>
      </c>
      <c r="Y44" t="n">
        <v>27</v>
      </c>
      <c r="Z44" t="n">
        <v>19</v>
      </c>
      <c r="AA44" t="n">
        <v>2114</v>
      </c>
      <c r="AB44" t="n">
        <v>1</v>
      </c>
      <c r="AC44" t="n">
        <v>22</v>
      </c>
      <c r="AD44" t="n">
        <v>0</v>
      </c>
      <c r="AE44" t="n">
        <v>66</v>
      </c>
      <c r="AF44" t="n">
        <v>0</v>
      </c>
      <c r="AG44" t="n">
        <v>24</v>
      </c>
      <c r="AH44" t="n">
        <v>0</v>
      </c>
      <c r="AI44" t="n">
        <v>11</v>
      </c>
      <c r="AJ44" t="n">
        <v>0</v>
      </c>
      <c r="AK44" t="n">
        <v>25</v>
      </c>
      <c r="AL44" t="n">
        <v>0</v>
      </c>
      <c r="AM44" t="n">
        <v>15</v>
      </c>
      <c r="AN44" t="n">
        <v>0</v>
      </c>
      <c r="AO44" t="n">
        <v>2</v>
      </c>
      <c r="AP44" t="inlineStr">
        <is>
          <t>Yes</t>
        </is>
      </c>
      <c r="AQ44" t="inlineStr">
        <is>
          <t>No</t>
        </is>
      </c>
      <c r="AR44">
        <f>HYPERLINK("http://catalog.hathitrust.org/Record/100497392","HathiTrust Record")</f>
        <v/>
      </c>
      <c r="AS44">
        <f>HYPERLINK("https://creighton-primo.hosted.exlibrisgroup.com/primo-explore/search?tab=default_tab&amp;search_scope=EVERYTHING&amp;vid=01CRU&amp;lang=en_US&amp;offset=0&amp;query=any,contains,991000206229702656","Catalog Record")</f>
        <v/>
      </c>
      <c r="AT44">
        <f>HYPERLINK("http://www.worldcat.org/oclc/9494752","WorldCat Record")</f>
        <v/>
      </c>
      <c r="AU44" t="inlineStr">
        <is>
          <t>594637:eng</t>
        </is>
      </c>
      <c r="AV44" t="inlineStr">
        <is>
          <t>9494752</t>
        </is>
      </c>
      <c r="AW44" t="inlineStr">
        <is>
          <t>991000206229702656</t>
        </is>
      </c>
      <c r="AX44" t="inlineStr">
        <is>
          <t>991000206229702656</t>
        </is>
      </c>
      <c r="AY44" t="inlineStr">
        <is>
          <t>2269895950002656</t>
        </is>
      </c>
      <c r="AZ44" t="inlineStr">
        <is>
          <t>BOOK</t>
        </is>
      </c>
      <c r="BC44" t="inlineStr">
        <is>
          <t>32285002866076</t>
        </is>
      </c>
      <c r="BD44" t="inlineStr">
        <is>
          <t>893425528</t>
        </is>
      </c>
    </row>
    <row r="45">
      <c r="A45" t="inlineStr">
        <is>
          <t>No</t>
        </is>
      </c>
      <c r="B45" t="inlineStr">
        <is>
          <t>QH151 .S24 1991</t>
        </is>
      </c>
      <c r="C45" t="inlineStr">
        <is>
          <t>0                      QH 0151000S  24          1991</t>
        </is>
      </c>
      <c r="D45" t="inlineStr">
        <is>
          <t>The ecology of the ancient Greek world / Robert Sallares.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Sallares, Robert.</t>
        </is>
      </c>
      <c r="L45" t="inlineStr">
        <is>
          <t>Ithaca, N.Y. : Cornell University Press, 1991.</t>
        </is>
      </c>
      <c r="M45" t="inlineStr">
        <is>
          <t>1991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QH </t>
        </is>
      </c>
      <c r="S45" t="n">
        <v>2</v>
      </c>
      <c r="T45" t="n">
        <v>2</v>
      </c>
      <c r="U45" t="inlineStr">
        <is>
          <t>2009-03-16</t>
        </is>
      </c>
      <c r="V45" t="inlineStr">
        <is>
          <t>2009-03-16</t>
        </is>
      </c>
      <c r="W45" t="inlineStr">
        <is>
          <t>1991-10-24</t>
        </is>
      </c>
      <c r="X45" t="inlineStr">
        <is>
          <t>1991-10-24</t>
        </is>
      </c>
      <c r="Y45" t="n">
        <v>314</v>
      </c>
      <c r="Z45" t="n">
        <v>248</v>
      </c>
      <c r="AA45" t="n">
        <v>283</v>
      </c>
      <c r="AB45" t="n">
        <v>2</v>
      </c>
      <c r="AC45" t="n">
        <v>2</v>
      </c>
      <c r="AD45" t="n">
        <v>15</v>
      </c>
      <c r="AE45" t="n">
        <v>15</v>
      </c>
      <c r="AF45" t="n">
        <v>6</v>
      </c>
      <c r="AG45" t="n">
        <v>6</v>
      </c>
      <c r="AH45" t="n">
        <v>3</v>
      </c>
      <c r="AI45" t="n">
        <v>3</v>
      </c>
      <c r="AJ45" t="n">
        <v>10</v>
      </c>
      <c r="AK45" t="n">
        <v>10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HYPERLINK("https://creighton-primo.hosted.exlibrisgroup.com/primo-explore/search?tab=default_tab&amp;search_scope=EVERYTHING&amp;vid=01CRU&amp;lang=en_US&amp;offset=0&amp;query=any,contains,991001790659702656","Catalog Record")</f>
        <v/>
      </c>
      <c r="AT45">
        <f>HYPERLINK("http://www.worldcat.org/oclc/22543364","WorldCat Record")</f>
        <v/>
      </c>
      <c r="AU45" t="inlineStr">
        <is>
          <t>21005340:eng</t>
        </is>
      </c>
      <c r="AV45" t="inlineStr">
        <is>
          <t>22543364</t>
        </is>
      </c>
      <c r="AW45" t="inlineStr">
        <is>
          <t>991001790659702656</t>
        </is>
      </c>
      <c r="AX45" t="inlineStr">
        <is>
          <t>991001790659702656</t>
        </is>
      </c>
      <c r="AY45" t="inlineStr">
        <is>
          <t>2267523660002656</t>
        </is>
      </c>
      <c r="AZ45" t="inlineStr">
        <is>
          <t>BOOK</t>
        </is>
      </c>
      <c r="BB45" t="inlineStr">
        <is>
          <t>9780801426155</t>
        </is>
      </c>
      <c r="BC45" t="inlineStr">
        <is>
          <t>32285000727627</t>
        </is>
      </c>
      <c r="BD45" t="inlineStr">
        <is>
          <t>893684652</t>
        </is>
      </c>
    </row>
    <row r="46">
      <c r="A46" t="inlineStr">
        <is>
          <t>No</t>
        </is>
      </c>
      <c r="B46" t="inlineStr">
        <is>
          <t>QH179 .R5 1964</t>
        </is>
      </c>
      <c r="C46" t="inlineStr">
        <is>
          <t>0                      QH 0179000R  5           1964</t>
        </is>
      </c>
      <c r="D46" t="inlineStr">
        <is>
          <t>The land and wildlife of tropical Asia, by S. Dillon Ripley and the editors of Life.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Ripley, S. Dillon (Sidney Dillon), 1913-2001.</t>
        </is>
      </c>
      <c r="L46" t="inlineStr">
        <is>
          <t>New York, Time, inc. [school and library distribution by Silver Burdett Co., 1964]</t>
        </is>
      </c>
      <c r="M46" t="inlineStr">
        <is>
          <t>1964</t>
        </is>
      </c>
      <c r="O46" t="inlineStr">
        <is>
          <t>eng</t>
        </is>
      </c>
      <c r="P46" t="inlineStr">
        <is>
          <t>nyu</t>
        </is>
      </c>
      <c r="Q46" t="inlineStr">
        <is>
          <t>Life nature library</t>
        </is>
      </c>
      <c r="R46" t="inlineStr">
        <is>
          <t xml:space="preserve">QH </t>
        </is>
      </c>
      <c r="S46" t="n">
        <v>3</v>
      </c>
      <c r="T46" t="n">
        <v>3</v>
      </c>
      <c r="U46" t="inlineStr">
        <is>
          <t>1997-02-12</t>
        </is>
      </c>
      <c r="V46" t="inlineStr">
        <is>
          <t>1997-02-12</t>
        </is>
      </c>
      <c r="W46" t="inlineStr">
        <is>
          <t>1992-02-10</t>
        </is>
      </c>
      <c r="X46" t="inlineStr">
        <is>
          <t>1992-02-10</t>
        </is>
      </c>
      <c r="Y46" t="n">
        <v>1175</v>
      </c>
      <c r="Z46" t="n">
        <v>1114</v>
      </c>
      <c r="AA46" t="n">
        <v>1326</v>
      </c>
      <c r="AB46" t="n">
        <v>9</v>
      </c>
      <c r="AC46" t="n">
        <v>13</v>
      </c>
      <c r="AD46" t="n">
        <v>19</v>
      </c>
      <c r="AE46" t="n">
        <v>20</v>
      </c>
      <c r="AF46" t="n">
        <v>7</v>
      </c>
      <c r="AG46" t="n">
        <v>7</v>
      </c>
      <c r="AH46" t="n">
        <v>1</v>
      </c>
      <c r="AI46" t="n">
        <v>1</v>
      </c>
      <c r="AJ46" t="n">
        <v>11</v>
      </c>
      <c r="AK46" t="n">
        <v>11</v>
      </c>
      <c r="AL46" t="n">
        <v>4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HYPERLINK("http://catalog.hathitrust.org/Record/001490753","HathiTrust Record")</f>
        <v/>
      </c>
      <c r="AS46">
        <f>HYPERLINK("https://creighton-primo.hosted.exlibrisgroup.com/primo-explore/search?tab=default_tab&amp;search_scope=EVERYTHING&amp;vid=01CRU&amp;lang=en_US&amp;offset=0&amp;query=any,contains,991003767469702656","Catalog Record")</f>
        <v/>
      </c>
      <c r="AT46">
        <f>HYPERLINK("http://www.worldcat.org/oclc/1461598","WorldCat Record")</f>
        <v/>
      </c>
      <c r="AU46" t="inlineStr">
        <is>
          <t>64220294:eng</t>
        </is>
      </c>
      <c r="AV46" t="inlineStr">
        <is>
          <t>1461598</t>
        </is>
      </c>
      <c r="AW46" t="inlineStr">
        <is>
          <t>991003767469702656</t>
        </is>
      </c>
      <c r="AX46" t="inlineStr">
        <is>
          <t>991003767469702656</t>
        </is>
      </c>
      <c r="AY46" t="inlineStr">
        <is>
          <t>2255867880002656</t>
        </is>
      </c>
      <c r="AZ46" t="inlineStr">
        <is>
          <t>BOOK</t>
        </is>
      </c>
      <c r="BC46" t="inlineStr">
        <is>
          <t>32285000946086</t>
        </is>
      </c>
      <c r="BD46" t="inlineStr">
        <is>
          <t>893228435</t>
        </is>
      </c>
    </row>
    <row r="47">
      <c r="A47" t="inlineStr">
        <is>
          <t>No</t>
        </is>
      </c>
      <c r="B47" t="inlineStr">
        <is>
          <t>QH183 .C83 1991</t>
        </is>
      </c>
      <c r="C47" t="inlineStr">
        <is>
          <t>0                      QH 0183000C  83          1991</t>
        </is>
      </c>
      <c r="D47" t="inlineStr">
        <is>
          <t>Wild India : the wildlife and scenery of India and Nepal / photographs by Gerald Cubitt ; text by Guy Mountfort ; foreword by HRH, the Duke of Edinburgh.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Cubitt, Gerald S., 1939-</t>
        </is>
      </c>
      <c r="L47" t="inlineStr">
        <is>
          <t>Cambridge, Mass. : MIT Press, 1991.</t>
        </is>
      </c>
      <c r="M47" t="inlineStr">
        <is>
          <t>1991</t>
        </is>
      </c>
      <c r="O47" t="inlineStr">
        <is>
          <t>eng</t>
        </is>
      </c>
      <c r="P47" t="inlineStr">
        <is>
          <t>mau</t>
        </is>
      </c>
      <c r="R47" t="inlineStr">
        <is>
          <t xml:space="preserve">QH </t>
        </is>
      </c>
      <c r="S47" t="n">
        <v>5</v>
      </c>
      <c r="T47" t="n">
        <v>5</v>
      </c>
      <c r="U47" t="inlineStr">
        <is>
          <t>2000-08-28</t>
        </is>
      </c>
      <c r="V47" t="inlineStr">
        <is>
          <t>2000-08-28</t>
        </is>
      </c>
      <c r="W47" t="inlineStr">
        <is>
          <t>1999-04-28</t>
        </is>
      </c>
      <c r="X47" t="inlineStr">
        <is>
          <t>1999-04-28</t>
        </is>
      </c>
      <c r="Y47" t="n">
        <v>233</v>
      </c>
      <c r="Z47" t="n">
        <v>209</v>
      </c>
      <c r="AA47" t="n">
        <v>252</v>
      </c>
      <c r="AB47" t="n">
        <v>2</v>
      </c>
      <c r="AC47" t="n">
        <v>2</v>
      </c>
      <c r="AD47" t="n">
        <v>1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HYPERLINK("https://creighton-primo.hosted.exlibrisgroup.com/primo-explore/search?tab=default_tab&amp;search_scope=EVERYTHING&amp;vid=01CRU&amp;lang=en_US&amp;offset=0&amp;query=any,contains,991001847059702656","Catalog Record")</f>
        <v/>
      </c>
      <c r="AT47">
        <f>HYPERLINK("http://www.worldcat.org/oclc/23179899","WorldCat Record")</f>
        <v/>
      </c>
      <c r="AU47" t="inlineStr">
        <is>
          <t>874634:eng</t>
        </is>
      </c>
      <c r="AV47" t="inlineStr">
        <is>
          <t>23179899</t>
        </is>
      </c>
      <c r="AW47" t="inlineStr">
        <is>
          <t>991001847059702656</t>
        </is>
      </c>
      <c r="AX47" t="inlineStr">
        <is>
          <t>991001847059702656</t>
        </is>
      </c>
      <c r="AY47" t="inlineStr">
        <is>
          <t>2265562010002656</t>
        </is>
      </c>
      <c r="AZ47" t="inlineStr">
        <is>
          <t>BOOK</t>
        </is>
      </c>
      <c r="BB47" t="inlineStr">
        <is>
          <t>9780262132763</t>
        </is>
      </c>
      <c r="BC47" t="inlineStr">
        <is>
          <t>32285003557112</t>
        </is>
      </c>
      <c r="BD47" t="inlineStr">
        <is>
          <t>893346835</t>
        </is>
      </c>
    </row>
    <row r="48">
      <c r="A48" t="inlineStr">
        <is>
          <t>No</t>
        </is>
      </c>
      <c r="B48" t="inlineStr">
        <is>
          <t>QH185 .C83 1990</t>
        </is>
      </c>
      <c r="C48" t="inlineStr">
        <is>
          <t>0                      QH 0185000C  83          1990</t>
        </is>
      </c>
      <c r="D48" t="inlineStr">
        <is>
          <t>Wild Malaysia : the wildlife and scenery of Peninsular Malaysia, Sarawak, and Sabah / photographs by Gerald Cubitt ; text by Junaidi Payne.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Cubitt, Gerald S., 1939-</t>
        </is>
      </c>
      <c r="L48" t="inlineStr">
        <is>
          <t>Cambridge, Mass. : MIT Press, 1990.</t>
        </is>
      </c>
      <c r="M48" t="inlineStr">
        <is>
          <t>1990</t>
        </is>
      </c>
      <c r="N48" t="inlineStr">
        <is>
          <t>1st MIT Press ed.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QH </t>
        </is>
      </c>
      <c r="S48" t="n">
        <v>4</v>
      </c>
      <c r="T48" t="n">
        <v>4</v>
      </c>
      <c r="U48" t="inlineStr">
        <is>
          <t>1999-11-29</t>
        </is>
      </c>
      <c r="V48" t="inlineStr">
        <is>
          <t>1999-11-29</t>
        </is>
      </c>
      <c r="W48" t="inlineStr">
        <is>
          <t>1999-04-28</t>
        </is>
      </c>
      <c r="X48" t="inlineStr">
        <is>
          <t>1999-04-28</t>
        </is>
      </c>
      <c r="Y48" t="n">
        <v>206</v>
      </c>
      <c r="Z48" t="n">
        <v>165</v>
      </c>
      <c r="AA48" t="n">
        <v>202</v>
      </c>
      <c r="AB48" t="n">
        <v>1</v>
      </c>
      <c r="AC48" t="n">
        <v>1</v>
      </c>
      <c r="AD48" t="n">
        <v>1</v>
      </c>
      <c r="AE48" t="n">
        <v>3</v>
      </c>
      <c r="AF48" t="n">
        <v>0</v>
      </c>
      <c r="AG48" t="n">
        <v>1</v>
      </c>
      <c r="AH48" t="n">
        <v>1</v>
      </c>
      <c r="AI48" t="n">
        <v>2</v>
      </c>
      <c r="AJ48" t="n">
        <v>0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HYPERLINK("https://creighton-primo.hosted.exlibrisgroup.com/primo-explore/search?tab=default_tab&amp;search_scope=EVERYTHING&amp;vid=01CRU&amp;lang=en_US&amp;offset=0&amp;query=any,contains,991001657839702656","Catalog Record")</f>
        <v/>
      </c>
      <c r="AT48">
        <f>HYPERLINK("http://www.worldcat.org/oclc/21152280","WorldCat Record")</f>
        <v/>
      </c>
      <c r="AU48" t="inlineStr">
        <is>
          <t>3901160640:eng</t>
        </is>
      </c>
      <c r="AV48" t="inlineStr">
        <is>
          <t>21152280</t>
        </is>
      </c>
      <c r="AW48" t="inlineStr">
        <is>
          <t>991001657839702656</t>
        </is>
      </c>
      <c r="AX48" t="inlineStr">
        <is>
          <t>991001657839702656</t>
        </is>
      </c>
      <c r="AY48" t="inlineStr">
        <is>
          <t>2264740530002656</t>
        </is>
      </c>
      <c r="AZ48" t="inlineStr">
        <is>
          <t>BOOK</t>
        </is>
      </c>
      <c r="BB48" t="inlineStr">
        <is>
          <t>9780262160780</t>
        </is>
      </c>
      <c r="BC48" t="inlineStr">
        <is>
          <t>32285003557120</t>
        </is>
      </c>
      <c r="BD48" t="inlineStr">
        <is>
          <t>893516373</t>
        </is>
      </c>
    </row>
    <row r="49">
      <c r="A49" t="inlineStr">
        <is>
          <t>No</t>
        </is>
      </c>
      <c r="B49" t="inlineStr">
        <is>
          <t>QH185 .M3 1975</t>
        </is>
      </c>
      <c r="C49" t="inlineStr">
        <is>
          <t>0                      QH 0185000M  3           1975</t>
        </is>
      </c>
      <c r="D49" t="inlineStr">
        <is>
          <t>Borneo / by John Mackinnon and the editors of Time-Life Books.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MacKinnon, John Ramsay.</t>
        </is>
      </c>
      <c r="L49" t="inlineStr">
        <is>
          <t>Amsterdam : Time-Life International, c1975.</t>
        </is>
      </c>
      <c r="M49" t="inlineStr">
        <is>
          <t>1975</t>
        </is>
      </c>
      <c r="O49" t="inlineStr">
        <is>
          <t>eng</t>
        </is>
      </c>
      <c r="P49" t="inlineStr">
        <is>
          <t xml:space="preserve">ne </t>
        </is>
      </c>
      <c r="Q49" t="inlineStr">
        <is>
          <t>The World's wild places</t>
        </is>
      </c>
      <c r="R49" t="inlineStr">
        <is>
          <t xml:space="preserve">QH </t>
        </is>
      </c>
      <c r="S49" t="n">
        <v>8</v>
      </c>
      <c r="T49" t="n">
        <v>8</v>
      </c>
      <c r="U49" t="inlineStr">
        <is>
          <t>1997-02-12</t>
        </is>
      </c>
      <c r="V49" t="inlineStr">
        <is>
          <t>1997-02-12</t>
        </is>
      </c>
      <c r="W49" t="inlineStr">
        <is>
          <t>1993-03-12</t>
        </is>
      </c>
      <c r="X49" t="inlineStr">
        <is>
          <t>1993-03-12</t>
        </is>
      </c>
      <c r="Y49" t="n">
        <v>587</v>
      </c>
      <c r="Z49" t="n">
        <v>452</v>
      </c>
      <c r="AA49" t="n">
        <v>497</v>
      </c>
      <c r="AB49" t="n">
        <v>7</v>
      </c>
      <c r="AC49" t="n">
        <v>8</v>
      </c>
      <c r="AD49" t="n">
        <v>6</v>
      </c>
      <c r="AE49" t="n">
        <v>8</v>
      </c>
      <c r="AF49" t="n">
        <v>1</v>
      </c>
      <c r="AG49" t="n">
        <v>2</v>
      </c>
      <c r="AH49" t="n">
        <v>0</v>
      </c>
      <c r="AI49" t="n">
        <v>1</v>
      </c>
      <c r="AJ49" t="n">
        <v>2</v>
      </c>
      <c r="AK49" t="n">
        <v>2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HYPERLINK("http://catalog.hathitrust.org/Record/000714133","HathiTrust Record")</f>
        <v/>
      </c>
      <c r="AS49">
        <f>HYPERLINK("https://creighton-primo.hosted.exlibrisgroup.com/primo-explore/search?tab=default_tab&amp;search_scope=EVERYTHING&amp;vid=01CRU&amp;lang=en_US&amp;offset=0&amp;query=any,contains,991004019779702656","Catalog Record")</f>
        <v/>
      </c>
      <c r="AT49">
        <f>HYPERLINK("http://www.worldcat.org/oclc/2119855","WorldCat Record")</f>
        <v/>
      </c>
      <c r="AU49" t="inlineStr">
        <is>
          <t>18503745:eng</t>
        </is>
      </c>
      <c r="AV49" t="inlineStr">
        <is>
          <t>2119855</t>
        </is>
      </c>
      <c r="AW49" t="inlineStr">
        <is>
          <t>991004019779702656</t>
        </is>
      </c>
      <c r="AX49" t="inlineStr">
        <is>
          <t>991004019779702656</t>
        </is>
      </c>
      <c r="AY49" t="inlineStr">
        <is>
          <t>2267987670002656</t>
        </is>
      </c>
      <c r="AZ49" t="inlineStr">
        <is>
          <t>BOOK</t>
        </is>
      </c>
      <c r="BC49" t="inlineStr">
        <is>
          <t>32285001552065</t>
        </is>
      </c>
      <c r="BD49" t="inlineStr">
        <is>
          <t>893800486</t>
        </is>
      </c>
    </row>
    <row r="50">
      <c r="A50" t="inlineStr">
        <is>
          <t>No</t>
        </is>
      </c>
      <c r="B50" t="inlineStr">
        <is>
          <t>QH185 .T37 1982</t>
        </is>
      </c>
      <c r="C50" t="inlineStr">
        <is>
          <t>0                      QH 0185000T  37          1982</t>
        </is>
      </c>
      <c r="D50" t="inlineStr">
        <is>
          <t>Tasek Bera : the ecology of a freshwater swamp / edited by J.I. Furtado and S. Mori.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The Hague ; Boston : W. Junk Publishers ; Hingham, MA : Distributors for the U.S. and Canada Kluwer Boston, 1982.</t>
        </is>
      </c>
      <c r="M50" t="inlineStr">
        <is>
          <t>1982</t>
        </is>
      </c>
      <c r="O50" t="inlineStr">
        <is>
          <t>eng</t>
        </is>
      </c>
      <c r="P50" t="inlineStr">
        <is>
          <t xml:space="preserve">ne </t>
        </is>
      </c>
      <c r="Q50" t="inlineStr">
        <is>
          <t>Monographiae biologicae ; v. 47</t>
        </is>
      </c>
      <c r="R50" t="inlineStr">
        <is>
          <t xml:space="preserve">QH </t>
        </is>
      </c>
      <c r="S50" t="n">
        <v>1</v>
      </c>
      <c r="T50" t="n">
        <v>1</v>
      </c>
      <c r="U50" t="inlineStr">
        <is>
          <t>1993-04-21</t>
        </is>
      </c>
      <c r="V50" t="inlineStr">
        <is>
          <t>1993-04-21</t>
        </is>
      </c>
      <c r="W50" t="inlineStr">
        <is>
          <t>1993-03-12</t>
        </is>
      </c>
      <c r="X50" t="inlineStr">
        <is>
          <t>1993-03-12</t>
        </is>
      </c>
      <c r="Y50" t="n">
        <v>196</v>
      </c>
      <c r="Z50" t="n">
        <v>136</v>
      </c>
      <c r="AA50" t="n">
        <v>138</v>
      </c>
      <c r="AB50" t="n">
        <v>1</v>
      </c>
      <c r="AC50" t="n">
        <v>1</v>
      </c>
      <c r="AD50" t="n">
        <v>2</v>
      </c>
      <c r="AE50" t="n">
        <v>2</v>
      </c>
      <c r="AF50" t="n">
        <v>0</v>
      </c>
      <c r="AG50" t="n">
        <v>0</v>
      </c>
      <c r="AH50" t="n">
        <v>1</v>
      </c>
      <c r="AI50" t="n">
        <v>1</v>
      </c>
      <c r="AJ50" t="n">
        <v>2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HYPERLINK("http://catalog.hathitrust.org/Record/000269039","HathiTrust Record")</f>
        <v/>
      </c>
      <c r="AS50">
        <f>HYPERLINK("https://creighton-primo.hosted.exlibrisgroup.com/primo-explore/search?tab=default_tab&amp;search_scope=EVERYTHING&amp;vid=01CRU&amp;lang=en_US&amp;offset=0&amp;query=any,contains,991000065419702656","Catalog Record")</f>
        <v/>
      </c>
      <c r="AT50">
        <f>HYPERLINK("http://www.worldcat.org/oclc/8763285","WorldCat Record")</f>
        <v/>
      </c>
      <c r="AU50" t="inlineStr">
        <is>
          <t>796147823:eng</t>
        </is>
      </c>
      <c r="AV50" t="inlineStr">
        <is>
          <t>8763285</t>
        </is>
      </c>
      <c r="AW50" t="inlineStr">
        <is>
          <t>991000065419702656</t>
        </is>
      </c>
      <c r="AX50" t="inlineStr">
        <is>
          <t>991000065419702656</t>
        </is>
      </c>
      <c r="AY50" t="inlineStr">
        <is>
          <t>2266661120002656</t>
        </is>
      </c>
      <c r="AZ50" t="inlineStr">
        <is>
          <t>BOOK</t>
        </is>
      </c>
      <c r="BB50" t="inlineStr">
        <is>
          <t>9789061931003</t>
        </is>
      </c>
      <c r="BC50" t="inlineStr">
        <is>
          <t>32285001552073</t>
        </is>
      </c>
      <c r="BD50" t="inlineStr">
        <is>
          <t>893425375</t>
        </is>
      </c>
    </row>
    <row r="51">
      <c r="A51" t="inlineStr">
        <is>
          <t>No</t>
        </is>
      </c>
      <c r="B51" t="inlineStr">
        <is>
          <t>QH186 .C83 1992</t>
        </is>
      </c>
      <c r="C51" t="inlineStr">
        <is>
          <t>0                      QH 0186000C  83          1992</t>
        </is>
      </c>
      <c r="D51" t="inlineStr">
        <is>
          <t>Wild Indonesia : the wildlife and scenery of the Indonesian archipelago / photographs by Gerald Cubitt ; text by Tony and Jane Whitten.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Cubitt, Gerald S., 1939-</t>
        </is>
      </c>
      <c r="L51" t="inlineStr">
        <is>
          <t>Cambridge, Mass. : MIT Press, 1992.</t>
        </is>
      </c>
      <c r="M51" t="inlineStr">
        <is>
          <t>1992</t>
        </is>
      </c>
      <c r="N51" t="inlineStr">
        <is>
          <t>1st MIT Press ed.</t>
        </is>
      </c>
      <c r="O51" t="inlineStr">
        <is>
          <t>eng</t>
        </is>
      </c>
      <c r="P51" t="inlineStr">
        <is>
          <t>mau</t>
        </is>
      </c>
      <c r="R51" t="inlineStr">
        <is>
          <t xml:space="preserve">QH </t>
        </is>
      </c>
      <c r="S51" t="n">
        <v>3</v>
      </c>
      <c r="T51" t="n">
        <v>3</v>
      </c>
      <c r="U51" t="inlineStr">
        <is>
          <t>2000-09-20</t>
        </is>
      </c>
      <c r="V51" t="inlineStr">
        <is>
          <t>2000-09-20</t>
        </is>
      </c>
      <c r="W51" t="inlineStr">
        <is>
          <t>1999-05-04</t>
        </is>
      </c>
      <c r="X51" t="inlineStr">
        <is>
          <t>1999-05-04</t>
        </is>
      </c>
      <c r="Y51" t="n">
        <v>259</v>
      </c>
      <c r="Z51" t="n">
        <v>211</v>
      </c>
      <c r="AA51" t="n">
        <v>222</v>
      </c>
      <c r="AB51" t="n">
        <v>1</v>
      </c>
      <c r="AC51" t="n">
        <v>1</v>
      </c>
      <c r="AD51" t="n">
        <v>9</v>
      </c>
      <c r="AE51" t="n">
        <v>9</v>
      </c>
      <c r="AF51" t="n">
        <v>3</v>
      </c>
      <c r="AG51" t="n">
        <v>3</v>
      </c>
      <c r="AH51" t="n">
        <v>3</v>
      </c>
      <c r="AI51" t="n">
        <v>3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HYPERLINK("https://creighton-primo.hosted.exlibrisgroup.com/primo-explore/search?tab=default_tab&amp;search_scope=EVERYTHING&amp;vid=01CRU&amp;lang=en_US&amp;offset=0&amp;query=any,contains,991002031629702656","Catalog Record")</f>
        <v/>
      </c>
      <c r="AT51">
        <f>HYPERLINK("http://www.worldcat.org/oclc/25872447","WorldCat Record")</f>
        <v/>
      </c>
      <c r="AU51" t="inlineStr">
        <is>
          <t>836925312:eng</t>
        </is>
      </c>
      <c r="AV51" t="inlineStr">
        <is>
          <t>25872447</t>
        </is>
      </c>
      <c r="AW51" t="inlineStr">
        <is>
          <t>991002031629702656</t>
        </is>
      </c>
      <c r="AX51" t="inlineStr">
        <is>
          <t>991002031629702656</t>
        </is>
      </c>
      <c r="AY51" t="inlineStr">
        <is>
          <t>2269009170002656</t>
        </is>
      </c>
      <c r="AZ51" t="inlineStr">
        <is>
          <t>BOOK</t>
        </is>
      </c>
      <c r="BB51" t="inlineStr">
        <is>
          <t>9780262231657</t>
        </is>
      </c>
      <c r="BC51" t="inlineStr">
        <is>
          <t>32285003558623</t>
        </is>
      </c>
      <c r="BD51" t="inlineStr">
        <is>
          <t>893866714</t>
        </is>
      </c>
    </row>
    <row r="52">
      <c r="A52" t="inlineStr">
        <is>
          <t>No</t>
        </is>
      </c>
      <c r="B52" t="inlineStr">
        <is>
          <t>QH193.B65 G37 2006</t>
        </is>
      </c>
      <c r="C52" t="inlineStr">
        <is>
          <t>0                      QH 0193000B  65                 G  37          2006</t>
        </is>
      </c>
      <c r="D52" t="inlineStr">
        <is>
          <t>Wild Borneo : the wildlife and scenery of Sabah, Sarawak, Brunei and Kalimantan / text by Nick Garbutt ; photography by Nick Garbutt and J. Cede Prudente.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Garbutt, Nick.</t>
        </is>
      </c>
      <c r="L52" t="inlineStr">
        <is>
          <t>Cambridge, Mass. : MIT Press, c2006.</t>
        </is>
      </c>
      <c r="M52" t="inlineStr">
        <is>
          <t>2006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QH </t>
        </is>
      </c>
      <c r="S52" t="n">
        <v>1</v>
      </c>
      <c r="T52" t="n">
        <v>1</v>
      </c>
      <c r="U52" t="inlineStr">
        <is>
          <t>2010-07-14</t>
        </is>
      </c>
      <c r="V52" t="inlineStr">
        <is>
          <t>2010-07-14</t>
        </is>
      </c>
      <c r="W52" t="inlineStr">
        <is>
          <t>2006-10-09</t>
        </is>
      </c>
      <c r="X52" t="inlineStr">
        <is>
          <t>2006-10-09</t>
        </is>
      </c>
      <c r="Y52" t="n">
        <v>185</v>
      </c>
      <c r="Z52" t="n">
        <v>155</v>
      </c>
      <c r="AA52" t="n">
        <v>159</v>
      </c>
      <c r="AB52" t="n">
        <v>1</v>
      </c>
      <c r="AC52" t="n">
        <v>1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HYPERLINK("https://creighton-primo.hosted.exlibrisgroup.com/primo-explore/search?tab=default_tab&amp;search_scope=EVERYTHING&amp;vid=01CRU&amp;lang=en_US&amp;offset=0&amp;query=any,contains,991004932069702656","Catalog Record")</f>
        <v/>
      </c>
      <c r="AT52">
        <f>HYPERLINK("http://www.worldcat.org/oclc/63195983","WorldCat Record")</f>
        <v/>
      </c>
      <c r="AU52" t="inlineStr">
        <is>
          <t>47383220:eng</t>
        </is>
      </c>
      <c r="AV52" t="inlineStr">
        <is>
          <t>63195983</t>
        </is>
      </c>
      <c r="AW52" t="inlineStr">
        <is>
          <t>991004932069702656</t>
        </is>
      </c>
      <c r="AX52" t="inlineStr">
        <is>
          <t>991004932069702656</t>
        </is>
      </c>
      <c r="AY52" t="inlineStr">
        <is>
          <t>2266817940002656</t>
        </is>
      </c>
      <c r="AZ52" t="inlineStr">
        <is>
          <t>BOOK</t>
        </is>
      </c>
      <c r="BB52" t="inlineStr">
        <is>
          <t>9780262072748</t>
        </is>
      </c>
      <c r="BC52" t="inlineStr">
        <is>
          <t>32285005228555</t>
        </is>
      </c>
      <c r="BD52" t="inlineStr">
        <is>
          <t>893412097</t>
        </is>
      </c>
    </row>
    <row r="53">
      <c r="A53" t="inlineStr">
        <is>
          <t>No</t>
        </is>
      </c>
      <c r="B53" t="inlineStr">
        <is>
          <t>QH195.S3 D4 2002</t>
        </is>
      </c>
      <c r="C53" t="inlineStr">
        <is>
          <t>0                      QH 0195000S  3                  D  4           2002</t>
        </is>
      </c>
      <c r="D53" t="inlineStr">
        <is>
          <t>Sahara : a natural history / Marq de Villiers and Sheila Hirtle.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De Villiers, Marq.</t>
        </is>
      </c>
      <c r="L53" t="inlineStr">
        <is>
          <t>New York : Walker &amp; Company, 2002.</t>
        </is>
      </c>
      <c r="M53" t="inlineStr">
        <is>
          <t>2002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QH </t>
        </is>
      </c>
      <c r="S53" t="n">
        <v>1</v>
      </c>
      <c r="T53" t="n">
        <v>1</v>
      </c>
      <c r="U53" t="inlineStr">
        <is>
          <t>2002-10-09</t>
        </is>
      </c>
      <c r="V53" t="inlineStr">
        <is>
          <t>2002-10-09</t>
        </is>
      </c>
      <c r="W53" t="inlineStr">
        <is>
          <t>2002-09-30</t>
        </is>
      </c>
      <c r="X53" t="inlineStr">
        <is>
          <t>2002-09-30</t>
        </is>
      </c>
      <c r="Y53" t="n">
        <v>919</v>
      </c>
      <c r="Z53" t="n">
        <v>864</v>
      </c>
      <c r="AA53" t="n">
        <v>875</v>
      </c>
      <c r="AB53" t="n">
        <v>3</v>
      </c>
      <c r="AC53" t="n">
        <v>3</v>
      </c>
      <c r="AD53" t="n">
        <v>15</v>
      </c>
      <c r="AE53" t="n">
        <v>15</v>
      </c>
      <c r="AF53" t="n">
        <v>8</v>
      </c>
      <c r="AG53" t="n">
        <v>8</v>
      </c>
      <c r="AH53" t="n">
        <v>2</v>
      </c>
      <c r="AI53" t="n">
        <v>2</v>
      </c>
      <c r="AJ53" t="n">
        <v>6</v>
      </c>
      <c r="AK53" t="n">
        <v>6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HYPERLINK("https://creighton-primo.hosted.exlibrisgroup.com/primo-explore/search?tab=default_tab&amp;search_scope=EVERYTHING&amp;vid=01CRU&amp;lang=en_US&amp;offset=0&amp;query=any,contains,991003900879702656","Catalog Record")</f>
        <v/>
      </c>
      <c r="AT53">
        <f>HYPERLINK("http://www.worldcat.org/oclc/49902047","WorldCat Record")</f>
        <v/>
      </c>
      <c r="AU53" t="inlineStr">
        <is>
          <t>3856708000:eng</t>
        </is>
      </c>
      <c r="AV53" t="inlineStr">
        <is>
          <t>49902047</t>
        </is>
      </c>
      <c r="AW53" t="inlineStr">
        <is>
          <t>991003900879702656</t>
        </is>
      </c>
      <c r="AX53" t="inlineStr">
        <is>
          <t>991003900879702656</t>
        </is>
      </c>
      <c r="AY53" t="inlineStr">
        <is>
          <t>2257511300002656</t>
        </is>
      </c>
      <c r="AZ53" t="inlineStr">
        <is>
          <t>BOOK</t>
        </is>
      </c>
      <c r="BB53" t="inlineStr">
        <is>
          <t>9780802713728</t>
        </is>
      </c>
      <c r="BC53" t="inlineStr">
        <is>
          <t>32285004653837</t>
        </is>
      </c>
      <c r="BD53" t="inlineStr">
        <is>
          <t>893512542</t>
        </is>
      </c>
    </row>
    <row r="54">
      <c r="A54" t="inlineStr">
        <is>
          <t>No</t>
        </is>
      </c>
      <c r="B54" t="inlineStr">
        <is>
          <t>QH195.S3 S24 1984</t>
        </is>
      </c>
      <c r="C54" t="inlineStr">
        <is>
          <t>0                      QH 0195000S  3                  S  24          1984</t>
        </is>
      </c>
      <c r="D54" t="inlineStr">
        <is>
          <t>Sahara Desert / edited by J.L. Cloudsley-Thompson ; foreword by HRH the Duke of Edinburgh.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Oxford [Oxfordshire] ; New York : Pergamon Press, 1984.</t>
        </is>
      </c>
      <c r="M54" t="inlineStr">
        <is>
          <t>1984</t>
        </is>
      </c>
      <c r="N54" t="inlineStr">
        <is>
          <t>1st ed.</t>
        </is>
      </c>
      <c r="O54" t="inlineStr">
        <is>
          <t>eng</t>
        </is>
      </c>
      <c r="P54" t="inlineStr">
        <is>
          <t>enk</t>
        </is>
      </c>
      <c r="Q54" t="inlineStr">
        <is>
          <t>Key environments</t>
        </is>
      </c>
      <c r="R54" t="inlineStr">
        <is>
          <t xml:space="preserve">QH </t>
        </is>
      </c>
      <c r="S54" t="n">
        <v>6</v>
      </c>
      <c r="T54" t="n">
        <v>6</v>
      </c>
      <c r="U54" t="inlineStr">
        <is>
          <t>1995-01-13</t>
        </is>
      </c>
      <c r="V54" t="inlineStr">
        <is>
          <t>1995-01-13</t>
        </is>
      </c>
      <c r="W54" t="inlineStr">
        <is>
          <t>1992-02-19</t>
        </is>
      </c>
      <c r="X54" t="inlineStr">
        <is>
          <t>1992-02-19</t>
        </is>
      </c>
      <c r="Y54" t="n">
        <v>579</v>
      </c>
      <c r="Z54" t="n">
        <v>417</v>
      </c>
      <c r="AA54" t="n">
        <v>425</v>
      </c>
      <c r="AB54" t="n">
        <v>4</v>
      </c>
      <c r="AC54" t="n">
        <v>4</v>
      </c>
      <c r="AD54" t="n">
        <v>16</v>
      </c>
      <c r="AE54" t="n">
        <v>16</v>
      </c>
      <c r="AF54" t="n">
        <v>7</v>
      </c>
      <c r="AG54" t="n">
        <v>7</v>
      </c>
      <c r="AH54" t="n">
        <v>2</v>
      </c>
      <c r="AI54" t="n">
        <v>2</v>
      </c>
      <c r="AJ54" t="n">
        <v>5</v>
      </c>
      <c r="AK54" t="n">
        <v>5</v>
      </c>
      <c r="AL54" t="n">
        <v>3</v>
      </c>
      <c r="AM54" t="n">
        <v>3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HYPERLINK("http://catalog.hathitrust.org/Record/000783650","HathiTrust Record")</f>
        <v/>
      </c>
      <c r="AS54">
        <f>HYPERLINK("https://creighton-primo.hosted.exlibrisgroup.com/primo-explore/search?tab=default_tab&amp;search_scope=EVERYTHING&amp;vid=01CRU&amp;lang=en_US&amp;offset=0&amp;query=any,contains,991000232209702656","Catalog Record")</f>
        <v/>
      </c>
      <c r="AT54">
        <f>HYPERLINK("http://www.worldcat.org/oclc/9644587","WorldCat Record")</f>
        <v/>
      </c>
      <c r="AU54" t="inlineStr">
        <is>
          <t>625681731:eng</t>
        </is>
      </c>
      <c r="AV54" t="inlineStr">
        <is>
          <t>9644587</t>
        </is>
      </c>
      <c r="AW54" t="inlineStr">
        <is>
          <t>991000232209702656</t>
        </is>
      </c>
      <c r="AX54" t="inlineStr">
        <is>
          <t>991000232209702656</t>
        </is>
      </c>
      <c r="AY54" t="inlineStr">
        <is>
          <t>2267415060002656</t>
        </is>
      </c>
      <c r="AZ54" t="inlineStr">
        <is>
          <t>BOOK</t>
        </is>
      </c>
      <c r="BB54" t="inlineStr">
        <is>
          <t>9780080288697</t>
        </is>
      </c>
      <c r="BC54" t="inlineStr">
        <is>
          <t>32285000971431</t>
        </is>
      </c>
      <c r="BD54" t="inlineStr">
        <is>
          <t>893589291</t>
        </is>
      </c>
    </row>
    <row r="55">
      <c r="A55" t="inlineStr">
        <is>
          <t>No</t>
        </is>
      </c>
      <c r="B55" t="inlineStr">
        <is>
          <t>QH197 .B44</t>
        </is>
      </c>
      <c r="C55" t="inlineStr">
        <is>
          <t>0                      QH 0197000B  44</t>
        </is>
      </c>
      <c r="D55" t="inlineStr">
        <is>
          <t>The land and wildlife of Australia, by David Bergamini and the editors of Life.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Bergamini, David, 1928-1983.</t>
        </is>
      </c>
      <c r="L55" t="inlineStr">
        <is>
          <t>New York, Time, inc. [1964]</t>
        </is>
      </c>
      <c r="M55" t="inlineStr">
        <is>
          <t>1964</t>
        </is>
      </c>
      <c r="O55" t="inlineStr">
        <is>
          <t>eng</t>
        </is>
      </c>
      <c r="P55" t="inlineStr">
        <is>
          <t>nyu</t>
        </is>
      </c>
      <c r="Q55" t="inlineStr">
        <is>
          <t>Life nature library</t>
        </is>
      </c>
      <c r="R55" t="inlineStr">
        <is>
          <t xml:space="preserve">QH </t>
        </is>
      </c>
      <c r="S55" t="n">
        <v>6</v>
      </c>
      <c r="T55" t="n">
        <v>6</v>
      </c>
      <c r="U55" t="inlineStr">
        <is>
          <t>2006-02-08</t>
        </is>
      </c>
      <c r="V55" t="inlineStr">
        <is>
          <t>2006-02-08</t>
        </is>
      </c>
      <c r="W55" t="inlineStr">
        <is>
          <t>1997-06-30</t>
        </is>
      </c>
      <c r="X55" t="inlineStr">
        <is>
          <t>1997-06-30</t>
        </is>
      </c>
      <c r="Y55" t="n">
        <v>1293</v>
      </c>
      <c r="Z55" t="n">
        <v>1224</v>
      </c>
      <c r="AA55" t="n">
        <v>1344</v>
      </c>
      <c r="AB55" t="n">
        <v>8</v>
      </c>
      <c r="AC55" t="n">
        <v>9</v>
      </c>
      <c r="AD55" t="n">
        <v>19</v>
      </c>
      <c r="AE55" t="n">
        <v>22</v>
      </c>
      <c r="AF55" t="n">
        <v>9</v>
      </c>
      <c r="AG55" t="n">
        <v>11</v>
      </c>
      <c r="AH55" t="n">
        <v>2</v>
      </c>
      <c r="AI55" t="n">
        <v>3</v>
      </c>
      <c r="AJ55" t="n">
        <v>11</v>
      </c>
      <c r="AK55" t="n">
        <v>13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HYPERLINK("https://creighton-primo.hosted.exlibrisgroup.com/primo-explore/search?tab=default_tab&amp;search_scope=EVERYTHING&amp;vid=01CRU&amp;lang=en_US&amp;offset=0&amp;query=any,contains,991001028099702656","Catalog Record")</f>
        <v/>
      </c>
      <c r="AT55">
        <f>HYPERLINK("http://www.worldcat.org/oclc/175001","WorldCat Record")</f>
        <v/>
      </c>
      <c r="AU55" t="inlineStr">
        <is>
          <t>3755239563:eng</t>
        </is>
      </c>
      <c r="AV55" t="inlineStr">
        <is>
          <t>175001</t>
        </is>
      </c>
      <c r="AW55" t="inlineStr">
        <is>
          <t>991001028099702656</t>
        </is>
      </c>
      <c r="AX55" t="inlineStr">
        <is>
          <t>991001028099702656</t>
        </is>
      </c>
      <c r="AY55" t="inlineStr">
        <is>
          <t>2266926400002656</t>
        </is>
      </c>
      <c r="AZ55" t="inlineStr">
        <is>
          <t>BOOK</t>
        </is>
      </c>
      <c r="BC55" t="inlineStr">
        <is>
          <t>32285002866142</t>
        </is>
      </c>
      <c r="BD55" t="inlineStr">
        <is>
          <t>893878557</t>
        </is>
      </c>
    </row>
    <row r="56">
      <c r="A56" t="inlineStr">
        <is>
          <t>No</t>
        </is>
      </c>
      <c r="B56" t="inlineStr">
        <is>
          <t>QH197 .B46 1998</t>
        </is>
      </c>
      <c r="C56" t="inlineStr">
        <is>
          <t>0                      QH 0197000B  46          1998</t>
        </is>
      </c>
      <c r="D56" t="inlineStr">
        <is>
          <t>A natural history of Australia / by Tim M. Berra ; with photographs by author.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Berra, Tim M., 1943-</t>
        </is>
      </c>
      <c r="L56" t="inlineStr">
        <is>
          <t>San Diego, CA : Academic Press, 1998.</t>
        </is>
      </c>
      <c r="M56" t="inlineStr">
        <is>
          <t>1998</t>
        </is>
      </c>
      <c r="O56" t="inlineStr">
        <is>
          <t>eng</t>
        </is>
      </c>
      <c r="P56" t="inlineStr">
        <is>
          <t>cau</t>
        </is>
      </c>
      <c r="R56" t="inlineStr">
        <is>
          <t xml:space="preserve">QH </t>
        </is>
      </c>
      <c r="S56" t="n">
        <v>6</v>
      </c>
      <c r="T56" t="n">
        <v>6</v>
      </c>
      <c r="U56" t="inlineStr">
        <is>
          <t>2010-03-24</t>
        </is>
      </c>
      <c r="V56" t="inlineStr">
        <is>
          <t>2010-03-24</t>
        </is>
      </c>
      <c r="W56" t="inlineStr">
        <is>
          <t>2001-12-04</t>
        </is>
      </c>
      <c r="X56" t="inlineStr">
        <is>
          <t>2001-12-04</t>
        </is>
      </c>
      <c r="Y56" t="n">
        <v>454</v>
      </c>
      <c r="Z56" t="n">
        <v>408</v>
      </c>
      <c r="AA56" t="n">
        <v>413</v>
      </c>
      <c r="AB56" t="n">
        <v>3</v>
      </c>
      <c r="AC56" t="n">
        <v>3</v>
      </c>
      <c r="AD56" t="n">
        <v>11</v>
      </c>
      <c r="AE56" t="n">
        <v>11</v>
      </c>
      <c r="AF56" t="n">
        <v>5</v>
      </c>
      <c r="AG56" t="n">
        <v>5</v>
      </c>
      <c r="AH56" t="n">
        <v>1</v>
      </c>
      <c r="AI56" t="n">
        <v>1</v>
      </c>
      <c r="AJ56" t="n">
        <v>7</v>
      </c>
      <c r="AK56" t="n">
        <v>7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HYPERLINK("http://catalog.hathitrust.org/Record/003963567","HathiTrust Record")</f>
        <v/>
      </c>
      <c r="AS56">
        <f>HYPERLINK("https://creighton-primo.hosted.exlibrisgroup.com/primo-explore/search?tab=default_tab&amp;search_scope=EVERYTHING&amp;vid=01CRU&amp;lang=en_US&amp;offset=0&amp;query=any,contains,991003668239702656","Catalog Record")</f>
        <v/>
      </c>
      <c r="AT56">
        <f>HYPERLINK("http://www.worldcat.org/oclc/37902348","WorldCat Record")</f>
        <v/>
      </c>
      <c r="AU56" t="inlineStr">
        <is>
          <t>592040:eng</t>
        </is>
      </c>
      <c r="AV56" t="inlineStr">
        <is>
          <t>37902348</t>
        </is>
      </c>
      <c r="AW56" t="inlineStr">
        <is>
          <t>991003668239702656</t>
        </is>
      </c>
      <c r="AX56" t="inlineStr">
        <is>
          <t>991003668239702656</t>
        </is>
      </c>
      <c r="AY56" t="inlineStr">
        <is>
          <t>2257707910002656</t>
        </is>
      </c>
      <c r="AZ56" t="inlineStr">
        <is>
          <t>BOOK</t>
        </is>
      </c>
      <c r="BB56" t="inlineStr">
        <is>
          <t>9780120931552</t>
        </is>
      </c>
      <c r="BC56" t="inlineStr">
        <is>
          <t>32285004425707</t>
        </is>
      </c>
      <c r="BD56" t="inlineStr">
        <is>
          <t>893228300</t>
        </is>
      </c>
    </row>
    <row r="57">
      <c r="A57" t="inlineStr">
        <is>
          <t>No</t>
        </is>
      </c>
      <c r="B57" t="inlineStr">
        <is>
          <t>QH197 .B745 1993</t>
        </is>
      </c>
      <c r="C57" t="inlineStr">
        <is>
          <t>0                      QH 0197000B  745         1993</t>
        </is>
      </c>
      <c r="D57" t="inlineStr">
        <is>
          <t>Visions of a rainforest : a year in Australia's tropical rainforest / text by Stanley Breeden ; illustrations by William T. Cooper ; foreword by Sir David Attenborough.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Breeden, Stanley, 1937 or 1938-</t>
        </is>
      </c>
      <c r="L57" t="inlineStr">
        <is>
          <t>Berkeley, Calif. : Ten Speed Press, c1993.</t>
        </is>
      </c>
      <c r="M57" t="inlineStr">
        <is>
          <t>1993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QH </t>
        </is>
      </c>
      <c r="S57" t="n">
        <v>18</v>
      </c>
      <c r="T57" t="n">
        <v>18</v>
      </c>
      <c r="U57" t="inlineStr">
        <is>
          <t>2001-02-19</t>
        </is>
      </c>
      <c r="V57" t="inlineStr">
        <is>
          <t>2001-02-19</t>
        </is>
      </c>
      <c r="W57" t="inlineStr">
        <is>
          <t>1993-08-09</t>
        </is>
      </c>
      <c r="X57" t="inlineStr">
        <is>
          <t>1993-08-09</t>
        </is>
      </c>
      <c r="Y57" t="n">
        <v>170</v>
      </c>
      <c r="Z57" t="n">
        <v>144</v>
      </c>
      <c r="AA57" t="n">
        <v>146</v>
      </c>
      <c r="AB57" t="n">
        <v>1</v>
      </c>
      <c r="AC57" t="n">
        <v>1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HYPERLINK("http://catalog.hathitrust.org/Record/101972236","HathiTrust Record")</f>
        <v/>
      </c>
      <c r="AS57">
        <f>HYPERLINK("https://creighton-primo.hosted.exlibrisgroup.com/primo-explore/search?tab=default_tab&amp;search_scope=EVERYTHING&amp;vid=01CRU&amp;lang=en_US&amp;offset=0&amp;query=any,contains,991002082729702656","Catalog Record")</f>
        <v/>
      </c>
      <c r="AT57">
        <f>HYPERLINK("http://www.worldcat.org/oclc/26721402","WorldCat Record")</f>
        <v/>
      </c>
      <c r="AU57" t="inlineStr">
        <is>
          <t>198195285:eng</t>
        </is>
      </c>
      <c r="AV57" t="inlineStr">
        <is>
          <t>26721402</t>
        </is>
      </c>
      <c r="AW57" t="inlineStr">
        <is>
          <t>991002082729702656</t>
        </is>
      </c>
      <c r="AX57" t="inlineStr">
        <is>
          <t>991002082729702656</t>
        </is>
      </c>
      <c r="AY57" t="inlineStr">
        <is>
          <t>2272365020002656</t>
        </is>
      </c>
      <c r="AZ57" t="inlineStr">
        <is>
          <t>BOOK</t>
        </is>
      </c>
      <c r="BB57" t="inlineStr">
        <is>
          <t>9780898155235</t>
        </is>
      </c>
      <c r="BC57" t="inlineStr">
        <is>
          <t>32285001725745</t>
        </is>
      </c>
      <c r="BD57" t="inlineStr">
        <is>
          <t>893414798</t>
        </is>
      </c>
    </row>
    <row r="58">
      <c r="A58" t="inlineStr">
        <is>
          <t>No</t>
        </is>
      </c>
      <c r="B58" t="inlineStr">
        <is>
          <t>QH197 .E93 1983</t>
        </is>
      </c>
      <c r="C58" t="inlineStr">
        <is>
          <t>0                      QH 0197000E  93          1983</t>
        </is>
      </c>
      <c r="D58" t="inlineStr">
        <is>
          <t>Australia, a natural history / Howard Ensign Evans and Mary Alice Evans.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Evans, Howard Ensign.</t>
        </is>
      </c>
      <c r="L58" t="inlineStr">
        <is>
          <t>Washington, D.C. : Smithsonian Institution Press, 1983.</t>
        </is>
      </c>
      <c r="M58" t="inlineStr">
        <is>
          <t>1983</t>
        </is>
      </c>
      <c r="O58" t="inlineStr">
        <is>
          <t>eng</t>
        </is>
      </c>
      <c r="P58" t="inlineStr">
        <is>
          <t>dcu</t>
        </is>
      </c>
      <c r="R58" t="inlineStr">
        <is>
          <t xml:space="preserve">QH </t>
        </is>
      </c>
      <c r="S58" t="n">
        <v>6</v>
      </c>
      <c r="T58" t="n">
        <v>6</v>
      </c>
      <c r="U58" t="inlineStr">
        <is>
          <t>2004-04-13</t>
        </is>
      </c>
      <c r="V58" t="inlineStr">
        <is>
          <t>2004-04-13</t>
        </is>
      </c>
      <c r="W58" t="inlineStr">
        <is>
          <t>1990-06-15</t>
        </is>
      </c>
      <c r="X58" t="inlineStr">
        <is>
          <t>1990-06-15</t>
        </is>
      </c>
      <c r="Y58" t="n">
        <v>483</v>
      </c>
      <c r="Z58" t="n">
        <v>435</v>
      </c>
      <c r="AA58" t="n">
        <v>442</v>
      </c>
      <c r="AB58" t="n">
        <v>5</v>
      </c>
      <c r="AC58" t="n">
        <v>5</v>
      </c>
      <c r="AD58" t="n">
        <v>6</v>
      </c>
      <c r="AE58" t="n">
        <v>6</v>
      </c>
      <c r="AF58" t="n">
        <v>0</v>
      </c>
      <c r="AG58" t="n">
        <v>0</v>
      </c>
      <c r="AH58" t="n">
        <v>1</v>
      </c>
      <c r="AI58" t="n">
        <v>1</v>
      </c>
      <c r="AJ58" t="n">
        <v>2</v>
      </c>
      <c r="AK58" t="n">
        <v>2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HYPERLINK("http://catalog.hathitrust.org/Record/000241131","HathiTrust Record")</f>
        <v/>
      </c>
      <c r="AS58">
        <f>HYPERLINK("https://creighton-primo.hosted.exlibrisgroup.com/primo-explore/search?tab=default_tab&amp;search_scope=EVERYTHING&amp;vid=01CRU&amp;lang=en_US&amp;offset=0&amp;query=any,contains,991000222409702656","Catalog Record")</f>
        <v/>
      </c>
      <c r="AT58">
        <f>HYPERLINK("http://www.worldcat.org/oclc/9576920","WorldCat Record")</f>
        <v/>
      </c>
      <c r="AU58" t="inlineStr">
        <is>
          <t>43447419:eng</t>
        </is>
      </c>
      <c r="AV58" t="inlineStr">
        <is>
          <t>9576920</t>
        </is>
      </c>
      <c r="AW58" t="inlineStr">
        <is>
          <t>991000222409702656</t>
        </is>
      </c>
      <c r="AX58" t="inlineStr">
        <is>
          <t>991000222409702656</t>
        </is>
      </c>
      <c r="AY58" t="inlineStr">
        <is>
          <t>2269165830002656</t>
        </is>
      </c>
      <c r="AZ58" t="inlineStr">
        <is>
          <t>BOOK</t>
        </is>
      </c>
      <c r="BB58" t="inlineStr">
        <is>
          <t>9780874744170</t>
        </is>
      </c>
      <c r="BC58" t="inlineStr">
        <is>
          <t>32285000197011</t>
        </is>
      </c>
      <c r="BD58" t="inlineStr">
        <is>
          <t>893607755</t>
        </is>
      </c>
    </row>
    <row r="59">
      <c r="A59" t="inlineStr">
        <is>
          <t>No</t>
        </is>
      </c>
      <c r="B59" t="inlineStr">
        <is>
          <t>QH197 .M67 1990</t>
        </is>
      </c>
      <c r="C59" t="inlineStr">
        <is>
          <t>0                      QH 0197000M  67          1990</t>
        </is>
      </c>
      <c r="D59" t="inlineStr">
        <is>
          <t>Australia : the four billion year journey of a continent / photographs and text by Reg Morrison.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Morrison, Reg.</t>
        </is>
      </c>
      <c r="L59" t="inlineStr">
        <is>
          <t>New York : Facts on File Publications, 1990, c1988.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QH </t>
        </is>
      </c>
      <c r="S59" t="n">
        <v>6</v>
      </c>
      <c r="T59" t="n">
        <v>6</v>
      </c>
      <c r="U59" t="inlineStr">
        <is>
          <t>2004-04-13</t>
        </is>
      </c>
      <c r="V59" t="inlineStr">
        <is>
          <t>2004-04-13</t>
        </is>
      </c>
      <c r="W59" t="inlineStr">
        <is>
          <t>1991-05-09</t>
        </is>
      </c>
      <c r="X59" t="inlineStr">
        <is>
          <t>1991-05-09</t>
        </is>
      </c>
      <c r="Y59" t="n">
        <v>591</v>
      </c>
      <c r="Z59" t="n">
        <v>543</v>
      </c>
      <c r="AA59" t="n">
        <v>553</v>
      </c>
      <c r="AB59" t="n">
        <v>4</v>
      </c>
      <c r="AC59" t="n">
        <v>4</v>
      </c>
      <c r="AD59" t="n">
        <v>14</v>
      </c>
      <c r="AE59" t="n">
        <v>14</v>
      </c>
      <c r="AF59" t="n">
        <v>6</v>
      </c>
      <c r="AG59" t="n">
        <v>6</v>
      </c>
      <c r="AH59" t="n">
        <v>3</v>
      </c>
      <c r="AI59" t="n">
        <v>3</v>
      </c>
      <c r="AJ59" t="n">
        <v>6</v>
      </c>
      <c r="AK59" t="n">
        <v>6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HYPERLINK("https://creighton-primo.hosted.exlibrisgroup.com/primo-explore/search?tab=default_tab&amp;search_scope=EVERYTHING&amp;vid=01CRU&amp;lang=en_US&amp;offset=0&amp;query=any,contains,991001598539702656","Catalog Record")</f>
        <v/>
      </c>
      <c r="AT59">
        <f>HYPERLINK("http://www.worldcat.org/oclc/20632472","WorldCat Record")</f>
        <v/>
      </c>
      <c r="AU59" t="inlineStr">
        <is>
          <t>3856332809:eng</t>
        </is>
      </c>
      <c r="AV59" t="inlineStr">
        <is>
          <t>20632472</t>
        </is>
      </c>
      <c r="AW59" t="inlineStr">
        <is>
          <t>991001598539702656</t>
        </is>
      </c>
      <c r="AX59" t="inlineStr">
        <is>
          <t>991001598539702656</t>
        </is>
      </c>
      <c r="AY59" t="inlineStr">
        <is>
          <t>2263413340002656</t>
        </is>
      </c>
      <c r="AZ59" t="inlineStr">
        <is>
          <t>BOOK</t>
        </is>
      </c>
      <c r="BB59" t="inlineStr">
        <is>
          <t>9780816024094</t>
        </is>
      </c>
      <c r="BC59" t="inlineStr">
        <is>
          <t>32285000572064</t>
        </is>
      </c>
      <c r="BD59" t="inlineStr">
        <is>
          <t>893238197</t>
        </is>
      </c>
    </row>
    <row r="60">
      <c r="A60" t="inlineStr">
        <is>
          <t>No</t>
        </is>
      </c>
      <c r="B60" t="inlineStr">
        <is>
          <t>QH197 .V36 1988</t>
        </is>
      </c>
      <c r="C60" t="inlineStr">
        <is>
          <t>0                      QH 0197000V  36          1988</t>
        </is>
      </c>
      <c r="D60" t="inlineStr">
        <is>
          <t>Nature of Australia : a portrait of the island continent / John Vandenbeld.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Vandenbeld, John.</t>
        </is>
      </c>
      <c r="L60" t="inlineStr">
        <is>
          <t>New York : Facts On File, c1988.</t>
        </is>
      </c>
      <c r="M60" t="inlineStr">
        <is>
          <t>1988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QH </t>
        </is>
      </c>
      <c r="S60" t="n">
        <v>1</v>
      </c>
      <c r="T60" t="n">
        <v>1</v>
      </c>
      <c r="U60" t="inlineStr">
        <is>
          <t>2008-06-09</t>
        </is>
      </c>
      <c r="V60" t="inlineStr">
        <is>
          <t>2008-06-09</t>
        </is>
      </c>
      <c r="W60" t="inlineStr">
        <is>
          <t>2008-06-09</t>
        </is>
      </c>
      <c r="X60" t="inlineStr">
        <is>
          <t>2008-06-09</t>
        </is>
      </c>
      <c r="Y60" t="n">
        <v>902</v>
      </c>
      <c r="Z60" t="n">
        <v>866</v>
      </c>
      <c r="AA60" t="n">
        <v>891</v>
      </c>
      <c r="AB60" t="n">
        <v>6</v>
      </c>
      <c r="AC60" t="n">
        <v>6</v>
      </c>
      <c r="AD60" t="n">
        <v>10</v>
      </c>
      <c r="AE60" t="n">
        <v>10</v>
      </c>
      <c r="AF60" t="n">
        <v>3</v>
      </c>
      <c r="AG60" t="n">
        <v>3</v>
      </c>
      <c r="AH60" t="n">
        <v>2</v>
      </c>
      <c r="AI60" t="n">
        <v>2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HYPERLINK("https://creighton-primo.hosted.exlibrisgroup.com/primo-explore/search?tab=default_tab&amp;search_scope=EVERYTHING&amp;vid=01CRU&amp;lang=en_US&amp;offset=0&amp;query=any,contains,991005232059702656","Catalog Record")</f>
        <v/>
      </c>
      <c r="AT60">
        <f>HYPERLINK("http://www.worldcat.org/oclc/17875175","WorldCat Record")</f>
        <v/>
      </c>
      <c r="AU60" t="inlineStr">
        <is>
          <t>16709230:eng</t>
        </is>
      </c>
      <c r="AV60" t="inlineStr">
        <is>
          <t>17875175</t>
        </is>
      </c>
      <c r="AW60" t="inlineStr">
        <is>
          <t>991005232059702656</t>
        </is>
      </c>
      <c r="AX60" t="inlineStr">
        <is>
          <t>991005232059702656</t>
        </is>
      </c>
      <c r="AY60" t="inlineStr">
        <is>
          <t>2270067620002656</t>
        </is>
      </c>
      <c r="AZ60" t="inlineStr">
        <is>
          <t>BOOK</t>
        </is>
      </c>
      <c r="BB60" t="inlineStr">
        <is>
          <t>9780816020065</t>
        </is>
      </c>
      <c r="BC60" t="inlineStr">
        <is>
          <t>32285005443915</t>
        </is>
      </c>
      <c r="BD60" t="inlineStr">
        <is>
          <t>893607050</t>
        </is>
      </c>
    </row>
    <row r="61">
      <c r="A61" t="inlineStr">
        <is>
          <t>No</t>
        </is>
      </c>
      <c r="B61" t="inlineStr">
        <is>
          <t>QH197.5 .W534 1994</t>
        </is>
      </c>
      <c r="C61" t="inlineStr">
        <is>
          <t>0                      QH 0197500W  534         1994</t>
        </is>
      </c>
      <c r="D61" t="inlineStr">
        <is>
          <t>Wild New Zealand / photographs by Gerald Cubitt ; text by Les Molloy in collaboration with the New Zealand Department of Conservation ; consultants, Sue Miller and Brian Coffey.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Cubitt, Gerald S., 1939-</t>
        </is>
      </c>
      <c r="L61" t="inlineStr">
        <is>
          <t>Cambridge, Mass. : MIT Press, 1994.</t>
        </is>
      </c>
      <c r="M61" t="inlineStr">
        <is>
          <t>1994</t>
        </is>
      </c>
      <c r="N61" t="inlineStr">
        <is>
          <t>1st MIT Press ed.</t>
        </is>
      </c>
      <c r="O61" t="inlineStr">
        <is>
          <t>eng</t>
        </is>
      </c>
      <c r="P61" t="inlineStr">
        <is>
          <t>mau</t>
        </is>
      </c>
      <c r="R61" t="inlineStr">
        <is>
          <t xml:space="preserve">QH </t>
        </is>
      </c>
      <c r="S61" t="n">
        <v>5</v>
      </c>
      <c r="T61" t="n">
        <v>5</v>
      </c>
      <c r="U61" t="inlineStr">
        <is>
          <t>1999-07-15</t>
        </is>
      </c>
      <c r="V61" t="inlineStr">
        <is>
          <t>1999-07-15</t>
        </is>
      </c>
      <c r="W61" t="inlineStr">
        <is>
          <t>1999-04-28</t>
        </is>
      </c>
      <c r="X61" t="inlineStr">
        <is>
          <t>1999-04-28</t>
        </is>
      </c>
      <c r="Y61" t="n">
        <v>134</v>
      </c>
      <c r="Z61" t="n">
        <v>113</v>
      </c>
      <c r="AA61" t="n">
        <v>128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2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HYPERLINK("http://catalog.hathitrust.org/Record/008876976","HathiTrust Record")</f>
        <v/>
      </c>
      <c r="AS61">
        <f>HYPERLINK("https://creighton-primo.hosted.exlibrisgroup.com/primo-explore/search?tab=default_tab&amp;search_scope=EVERYTHING&amp;vid=01CRU&amp;lang=en_US&amp;offset=0&amp;query=any,contains,991002359569702656","Catalog Record")</f>
        <v/>
      </c>
      <c r="AT61">
        <f>HYPERLINK("http://www.worldcat.org/oclc/30700330","WorldCat Record")</f>
        <v/>
      </c>
      <c r="AU61" t="inlineStr">
        <is>
          <t>3943339248:eng</t>
        </is>
      </c>
      <c r="AV61" t="inlineStr">
        <is>
          <t>30700330</t>
        </is>
      </c>
      <c r="AW61" t="inlineStr">
        <is>
          <t>991002359569702656</t>
        </is>
      </c>
      <c r="AX61" t="inlineStr">
        <is>
          <t>991002359569702656</t>
        </is>
      </c>
      <c r="AY61" t="inlineStr">
        <is>
          <t>2263497310002656</t>
        </is>
      </c>
      <c r="AZ61" t="inlineStr">
        <is>
          <t>BOOK</t>
        </is>
      </c>
      <c r="BB61" t="inlineStr">
        <is>
          <t>9780262133043</t>
        </is>
      </c>
      <c r="BC61" t="inlineStr">
        <is>
          <t>32285003557138</t>
        </is>
      </c>
      <c r="BD61" t="inlineStr">
        <is>
          <t>893892460</t>
        </is>
      </c>
    </row>
    <row r="62">
      <c r="A62" t="inlineStr">
        <is>
          <t>No</t>
        </is>
      </c>
      <c r="B62" t="inlineStr">
        <is>
          <t>QH198 .G3 1984</t>
        </is>
      </c>
      <c r="C62" t="inlineStr">
        <is>
          <t>0                      QH 0198000G  3           1984</t>
        </is>
      </c>
      <c r="D62" t="inlineStr">
        <is>
          <t>Galápagos / edited by R. Perry ; foreword by HRH the Duke of Edinburgh.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Oxford [Oxfordshire] ; New York : Published in collaboration with the International Union for Conservation of Nature and Natural Resources by Pergamon Press, 1984.</t>
        </is>
      </c>
      <c r="M62" t="inlineStr">
        <is>
          <t>1984</t>
        </is>
      </c>
      <c r="N62" t="inlineStr">
        <is>
          <t>1st ed.</t>
        </is>
      </c>
      <c r="O62" t="inlineStr">
        <is>
          <t>eng</t>
        </is>
      </c>
      <c r="P62" t="inlineStr">
        <is>
          <t>enk</t>
        </is>
      </c>
      <c r="Q62" t="inlineStr">
        <is>
          <t>Key environments</t>
        </is>
      </c>
      <c r="R62" t="inlineStr">
        <is>
          <t xml:space="preserve">QH </t>
        </is>
      </c>
      <c r="S62" t="n">
        <v>10</v>
      </c>
      <c r="T62" t="n">
        <v>10</v>
      </c>
      <c r="U62" t="inlineStr">
        <is>
          <t>2003-02-27</t>
        </is>
      </c>
      <c r="V62" t="inlineStr">
        <is>
          <t>2003-02-27</t>
        </is>
      </c>
      <c r="W62" t="inlineStr">
        <is>
          <t>1993-03-12</t>
        </is>
      </c>
      <c r="X62" t="inlineStr">
        <is>
          <t>1993-03-12</t>
        </is>
      </c>
      <c r="Y62" t="n">
        <v>529</v>
      </c>
      <c r="Z62" t="n">
        <v>397</v>
      </c>
      <c r="AA62" t="n">
        <v>418</v>
      </c>
      <c r="AB62" t="n">
        <v>3</v>
      </c>
      <c r="AC62" t="n">
        <v>3</v>
      </c>
      <c r="AD62" t="n">
        <v>12</v>
      </c>
      <c r="AE62" t="n">
        <v>13</v>
      </c>
      <c r="AF62" t="n">
        <v>6</v>
      </c>
      <c r="AG62" t="n">
        <v>7</v>
      </c>
      <c r="AH62" t="n">
        <v>4</v>
      </c>
      <c r="AI62" t="n">
        <v>4</v>
      </c>
      <c r="AJ62" t="n">
        <v>2</v>
      </c>
      <c r="AK62" t="n">
        <v>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HYPERLINK("http://catalog.hathitrust.org/Record/000605167","HathiTrust Record")</f>
        <v/>
      </c>
      <c r="AS62">
        <f>HYPERLINK("https://creighton-primo.hosted.exlibrisgroup.com/primo-explore/search?tab=default_tab&amp;search_scope=EVERYTHING&amp;vid=01CRU&amp;lang=en_US&amp;offset=0&amp;query=any,contains,991000243149702656","Catalog Record")</f>
        <v/>
      </c>
      <c r="AT62">
        <f>HYPERLINK("http://www.worldcat.org/oclc/9686309","WorldCat Record")</f>
        <v/>
      </c>
      <c r="AU62" t="inlineStr">
        <is>
          <t>3769573757:eng</t>
        </is>
      </c>
      <c r="AV62" t="inlineStr">
        <is>
          <t>9686309</t>
        </is>
      </c>
      <c r="AW62" t="inlineStr">
        <is>
          <t>991000243149702656</t>
        </is>
      </c>
      <c r="AX62" t="inlineStr">
        <is>
          <t>991000243149702656</t>
        </is>
      </c>
      <c r="AY62" t="inlineStr">
        <is>
          <t>2263912100002656</t>
        </is>
      </c>
      <c r="AZ62" t="inlineStr">
        <is>
          <t>BOOK</t>
        </is>
      </c>
      <c r="BB62" t="inlineStr">
        <is>
          <t>9780080279961</t>
        </is>
      </c>
      <c r="BC62" t="inlineStr">
        <is>
          <t>32285001552115</t>
        </is>
      </c>
      <c r="BD62" t="inlineStr">
        <is>
          <t>893896737</t>
        </is>
      </c>
    </row>
    <row r="63">
      <c r="A63" t="inlineStr">
        <is>
          <t>No</t>
        </is>
      </c>
      <c r="B63" t="inlineStr">
        <is>
          <t>QH198.G3 S72 1988</t>
        </is>
      </c>
      <c r="C63" t="inlineStr">
        <is>
          <t>0                      QH 0198000G  3                  S  72          1988</t>
        </is>
      </c>
      <c r="D63" t="inlineStr">
        <is>
          <t>Galápagos : discovery on Darwin's islands / David W. Steadman and Steven Zousmer ; color plates by Lee M. Steadman.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Steadman, David W.</t>
        </is>
      </c>
      <c r="L63" t="inlineStr">
        <is>
          <t>Washington, D.C. : Smithsonian Institution Press, c1988.</t>
        </is>
      </c>
      <c r="M63" t="inlineStr">
        <is>
          <t>1988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QH </t>
        </is>
      </c>
      <c r="S63" t="n">
        <v>9</v>
      </c>
      <c r="T63" t="n">
        <v>9</v>
      </c>
      <c r="U63" t="inlineStr">
        <is>
          <t>2002-01-28</t>
        </is>
      </c>
      <c r="V63" t="inlineStr">
        <is>
          <t>2002-01-28</t>
        </is>
      </c>
      <c r="W63" t="inlineStr">
        <is>
          <t>1993-03-12</t>
        </is>
      </c>
      <c r="X63" t="inlineStr">
        <is>
          <t>1993-03-12</t>
        </is>
      </c>
      <c r="Y63" t="n">
        <v>1207</v>
      </c>
      <c r="Z63" t="n">
        <v>1137</v>
      </c>
      <c r="AA63" t="n">
        <v>1143</v>
      </c>
      <c r="AB63" t="n">
        <v>7</v>
      </c>
      <c r="AC63" t="n">
        <v>7</v>
      </c>
      <c r="AD63" t="n">
        <v>21</v>
      </c>
      <c r="AE63" t="n">
        <v>21</v>
      </c>
      <c r="AF63" t="n">
        <v>9</v>
      </c>
      <c r="AG63" t="n">
        <v>9</v>
      </c>
      <c r="AH63" t="n">
        <v>4</v>
      </c>
      <c r="AI63" t="n">
        <v>4</v>
      </c>
      <c r="AJ63" t="n">
        <v>11</v>
      </c>
      <c r="AK63" t="n">
        <v>11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HYPERLINK("https://creighton-primo.hosted.exlibrisgroup.com/primo-explore/search?tab=default_tab&amp;search_scope=EVERYTHING&amp;vid=01CRU&amp;lang=en_US&amp;offset=0&amp;query=any,contains,991001197009702656","Catalog Record")</f>
        <v/>
      </c>
      <c r="AT63">
        <f>HYPERLINK("http://www.worldcat.org/oclc/17296489","WorldCat Record")</f>
        <v/>
      </c>
      <c r="AU63" t="inlineStr">
        <is>
          <t>836748847:eng</t>
        </is>
      </c>
      <c r="AV63" t="inlineStr">
        <is>
          <t>17296489</t>
        </is>
      </c>
      <c r="AW63" t="inlineStr">
        <is>
          <t>991001197009702656</t>
        </is>
      </c>
      <c r="AX63" t="inlineStr">
        <is>
          <t>991001197009702656</t>
        </is>
      </c>
      <c r="AY63" t="inlineStr">
        <is>
          <t>2267874020002656</t>
        </is>
      </c>
      <c r="AZ63" t="inlineStr">
        <is>
          <t>BOOK</t>
        </is>
      </c>
      <c r="BB63" t="inlineStr">
        <is>
          <t>9780874748826</t>
        </is>
      </c>
      <c r="BC63" t="inlineStr">
        <is>
          <t>32285001552123</t>
        </is>
      </c>
      <c r="BD63" t="inlineStr">
        <is>
          <t>893420162</t>
        </is>
      </c>
    </row>
    <row r="64">
      <c r="A64" t="inlineStr">
        <is>
          <t>No</t>
        </is>
      </c>
      <c r="B64" t="inlineStr">
        <is>
          <t>QH199 .C3</t>
        </is>
      </c>
      <c r="C64" t="inlineStr">
        <is>
          <t>0                      QH 0199000C  3</t>
        </is>
      </c>
      <c r="D64" t="inlineStr">
        <is>
          <t>Icebound summer. Illus. by Henry B. Kane.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Carrighar, Sally.</t>
        </is>
      </c>
      <c r="L64" t="inlineStr">
        <is>
          <t>New York, Knopf, 1953.</t>
        </is>
      </c>
      <c r="M64" t="inlineStr">
        <is>
          <t>1953</t>
        </is>
      </c>
      <c r="N64" t="inlineStr">
        <is>
          <t>[1st ed.]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QH </t>
        </is>
      </c>
      <c r="S64" t="n">
        <v>4</v>
      </c>
      <c r="T64" t="n">
        <v>4</v>
      </c>
      <c r="U64" t="inlineStr">
        <is>
          <t>1999-03-05</t>
        </is>
      </c>
      <c r="V64" t="inlineStr">
        <is>
          <t>1999-03-05</t>
        </is>
      </c>
      <c r="W64" t="inlineStr">
        <is>
          <t>1997-06-30</t>
        </is>
      </c>
      <c r="X64" t="inlineStr">
        <is>
          <t>1997-06-30</t>
        </is>
      </c>
      <c r="Y64" t="n">
        <v>518</v>
      </c>
      <c r="Z64" t="n">
        <v>479</v>
      </c>
      <c r="AA64" t="n">
        <v>579</v>
      </c>
      <c r="AB64" t="n">
        <v>5</v>
      </c>
      <c r="AC64" t="n">
        <v>6</v>
      </c>
      <c r="AD64" t="n">
        <v>11</v>
      </c>
      <c r="AE64" t="n">
        <v>16</v>
      </c>
      <c r="AF64" t="n">
        <v>3</v>
      </c>
      <c r="AG64" t="n">
        <v>7</v>
      </c>
      <c r="AH64" t="n">
        <v>2</v>
      </c>
      <c r="AI64" t="n">
        <v>3</v>
      </c>
      <c r="AJ64" t="n">
        <v>4</v>
      </c>
      <c r="AK64" t="n">
        <v>6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HYPERLINK("http://catalog.hathitrust.org/Record/001490592","HathiTrust Record")</f>
        <v/>
      </c>
      <c r="AS64">
        <f>HYPERLINK("https://creighton-primo.hosted.exlibrisgroup.com/primo-explore/search?tab=default_tab&amp;search_scope=EVERYTHING&amp;vid=01CRU&amp;lang=en_US&amp;offset=0&amp;query=any,contains,991002939029702656","Catalog Record")</f>
        <v/>
      </c>
      <c r="AT64">
        <f>HYPERLINK("http://www.worldcat.org/oclc/534631","WorldCat Record")</f>
        <v/>
      </c>
      <c r="AU64" t="inlineStr">
        <is>
          <t>1555478:eng</t>
        </is>
      </c>
      <c r="AV64" t="inlineStr">
        <is>
          <t>534631</t>
        </is>
      </c>
      <c r="AW64" t="inlineStr">
        <is>
          <t>991002939029702656</t>
        </is>
      </c>
      <c r="AX64" t="inlineStr">
        <is>
          <t>991002939029702656</t>
        </is>
      </c>
      <c r="AY64" t="inlineStr">
        <is>
          <t>2265038100002656</t>
        </is>
      </c>
      <c r="AZ64" t="inlineStr">
        <is>
          <t>BOOK</t>
        </is>
      </c>
      <c r="BC64" t="inlineStr">
        <is>
          <t>32285002866167</t>
        </is>
      </c>
      <c r="BD64" t="inlineStr">
        <is>
          <t>893591983</t>
        </is>
      </c>
    </row>
    <row r="65">
      <c r="A65" t="inlineStr">
        <is>
          <t>No</t>
        </is>
      </c>
      <c r="B65" t="inlineStr">
        <is>
          <t>QH199 .S83 1971</t>
        </is>
      </c>
      <c r="C65" t="inlineStr">
        <is>
          <t>0                      QH 0199000S  83          1971</t>
        </is>
      </c>
      <c r="D65" t="inlineStr">
        <is>
          <t>Animals of the Arctic : the ecology of the Far North.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Stonehouse, Bernard.</t>
        </is>
      </c>
      <c r="L65" t="inlineStr">
        <is>
          <t>New York : Holt, Rinehart &amp; Winston, [1971]</t>
        </is>
      </c>
      <c r="M65" t="inlineStr">
        <is>
          <t>1971</t>
        </is>
      </c>
      <c r="N65" t="inlineStr">
        <is>
          <t>[1st American ed.]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QH </t>
        </is>
      </c>
      <c r="S65" t="n">
        <v>2</v>
      </c>
      <c r="T65" t="n">
        <v>2</v>
      </c>
      <c r="U65" t="inlineStr">
        <is>
          <t>1994-02-18</t>
        </is>
      </c>
      <c r="V65" t="inlineStr">
        <is>
          <t>1994-02-18</t>
        </is>
      </c>
      <c r="W65" t="inlineStr">
        <is>
          <t>1992-03-26</t>
        </is>
      </c>
      <c r="X65" t="inlineStr">
        <is>
          <t>1992-03-26</t>
        </is>
      </c>
      <c r="Y65" t="n">
        <v>629</v>
      </c>
      <c r="Z65" t="n">
        <v>575</v>
      </c>
      <c r="AA65" t="n">
        <v>877</v>
      </c>
      <c r="AB65" t="n">
        <v>6</v>
      </c>
      <c r="AC65" t="n">
        <v>7</v>
      </c>
      <c r="AD65" t="n">
        <v>11</v>
      </c>
      <c r="AE65" t="n">
        <v>14</v>
      </c>
      <c r="AF65" t="n">
        <v>2</v>
      </c>
      <c r="AG65" t="n">
        <v>2</v>
      </c>
      <c r="AH65" t="n">
        <v>1</v>
      </c>
      <c r="AI65" t="n">
        <v>1</v>
      </c>
      <c r="AJ65" t="n">
        <v>4</v>
      </c>
      <c r="AK65" t="n">
        <v>5</v>
      </c>
      <c r="AL65" t="n">
        <v>5</v>
      </c>
      <c r="AM65" t="n">
        <v>6</v>
      </c>
      <c r="AN65" t="n">
        <v>0</v>
      </c>
      <c r="AO65" t="n">
        <v>1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HYPERLINK("https://creighton-primo.hosted.exlibrisgroup.com/primo-explore/search?tab=default_tab&amp;search_scope=EVERYTHING&amp;vid=01CRU&amp;lang=en_US&amp;offset=0&amp;query=any,contains,991002142939702656","Catalog Record")</f>
        <v/>
      </c>
      <c r="AT65">
        <f>HYPERLINK("http://www.worldcat.org/oclc/270916","WorldCat Record")</f>
        <v/>
      </c>
      <c r="AU65" t="inlineStr">
        <is>
          <t>401789:eng</t>
        </is>
      </c>
      <c r="AV65" t="inlineStr">
        <is>
          <t>270916</t>
        </is>
      </c>
      <c r="AW65" t="inlineStr">
        <is>
          <t>991002142939702656</t>
        </is>
      </c>
      <c r="AX65" t="inlineStr">
        <is>
          <t>991002142939702656</t>
        </is>
      </c>
      <c r="AY65" t="inlineStr">
        <is>
          <t>2263645740002656</t>
        </is>
      </c>
      <c r="AZ65" t="inlineStr">
        <is>
          <t>BOOK</t>
        </is>
      </c>
      <c r="BB65" t="inlineStr">
        <is>
          <t>9780030866999</t>
        </is>
      </c>
      <c r="BC65" t="inlineStr">
        <is>
          <t>32285001028918</t>
        </is>
      </c>
      <c r="BD65" t="inlineStr">
        <is>
          <t>893262102</t>
        </is>
      </c>
    </row>
    <row r="66">
      <c r="A66" t="inlineStr">
        <is>
          <t>No</t>
        </is>
      </c>
      <c r="B66" t="inlineStr">
        <is>
          <t>QH205 .B7 1968</t>
        </is>
      </c>
      <c r="C66" t="inlineStr">
        <is>
          <t>0                      QH 0205000B  7           1968</t>
        </is>
      </c>
      <c r="D66" t="inlineStr">
        <is>
          <t>The microscope : past and present / by S. Bradbury.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Bradbury, Savile.</t>
        </is>
      </c>
      <c r="L66" t="inlineStr">
        <is>
          <t>Oxford ; New York : Pergamon Press, [1968]</t>
        </is>
      </c>
      <c r="M66" t="inlineStr">
        <is>
          <t>1968</t>
        </is>
      </c>
      <c r="N66" t="inlineStr">
        <is>
          <t>[1st ed.]</t>
        </is>
      </c>
      <c r="O66" t="inlineStr">
        <is>
          <t>eng</t>
        </is>
      </c>
      <c r="P66" t="inlineStr">
        <is>
          <t>enk</t>
        </is>
      </c>
      <c r="Q66" t="inlineStr">
        <is>
          <t>Pergamon international popular science series</t>
        </is>
      </c>
      <c r="R66" t="inlineStr">
        <is>
          <t xml:space="preserve">QH </t>
        </is>
      </c>
      <c r="S66" t="n">
        <v>2</v>
      </c>
      <c r="T66" t="n">
        <v>2</v>
      </c>
      <c r="U66" t="inlineStr">
        <is>
          <t>1996-09-27</t>
        </is>
      </c>
      <c r="V66" t="inlineStr">
        <is>
          <t>1996-09-27</t>
        </is>
      </c>
      <c r="W66" t="inlineStr">
        <is>
          <t>1994-12-20</t>
        </is>
      </c>
      <c r="X66" t="inlineStr">
        <is>
          <t>1994-12-20</t>
        </is>
      </c>
      <c r="Y66" t="n">
        <v>322</v>
      </c>
      <c r="Z66" t="n">
        <v>238</v>
      </c>
      <c r="AA66" t="n">
        <v>274</v>
      </c>
      <c r="AB66" t="n">
        <v>3</v>
      </c>
      <c r="AC66" t="n">
        <v>3</v>
      </c>
      <c r="AD66" t="n">
        <v>8</v>
      </c>
      <c r="AE66" t="n">
        <v>11</v>
      </c>
      <c r="AF66" t="n">
        <v>3</v>
      </c>
      <c r="AG66" t="n">
        <v>5</v>
      </c>
      <c r="AH66" t="n">
        <v>0</v>
      </c>
      <c r="AI66" t="n">
        <v>2</v>
      </c>
      <c r="AJ66" t="n">
        <v>3</v>
      </c>
      <c r="AK66" t="n">
        <v>3</v>
      </c>
      <c r="AL66" t="n">
        <v>2</v>
      </c>
      <c r="AM66" t="n">
        <v>2</v>
      </c>
      <c r="AN66" t="n">
        <v>1</v>
      </c>
      <c r="AO66" t="n">
        <v>1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HYPERLINK("https://creighton-primo.hosted.exlibrisgroup.com/primo-explore/search?tab=default_tab&amp;search_scope=EVERYTHING&amp;vid=01CRU&amp;lang=en_US&amp;offset=0&amp;query=any,contains,991002972149702656","Catalog Record")</f>
        <v/>
      </c>
      <c r="AT66">
        <f>HYPERLINK("http://www.worldcat.org/oclc/549932","WorldCat Record")</f>
        <v/>
      </c>
      <c r="AU66" t="inlineStr">
        <is>
          <t>308584532:eng</t>
        </is>
      </c>
      <c r="AV66" t="inlineStr">
        <is>
          <t>549932</t>
        </is>
      </c>
      <c r="AW66" t="inlineStr">
        <is>
          <t>991002972149702656</t>
        </is>
      </c>
      <c r="AX66" t="inlineStr">
        <is>
          <t>991002972149702656</t>
        </is>
      </c>
      <c r="AY66" t="inlineStr">
        <is>
          <t>2262210850002656</t>
        </is>
      </c>
      <c r="AZ66" t="inlineStr">
        <is>
          <t>BOOK</t>
        </is>
      </c>
      <c r="BB66" t="inlineStr">
        <is>
          <t>9780080128481</t>
        </is>
      </c>
      <c r="BC66" t="inlineStr">
        <is>
          <t>32285001984292</t>
        </is>
      </c>
      <c r="BD66" t="inlineStr">
        <is>
          <t>893511426</t>
        </is>
      </c>
    </row>
    <row r="67">
      <c r="A67" t="inlineStr">
        <is>
          <t>No</t>
        </is>
      </c>
      <c r="B67" t="inlineStr">
        <is>
          <t>QH205 .G7</t>
        </is>
      </c>
      <c r="C67" t="inlineStr">
        <is>
          <t>0                      QH 0205000G  7</t>
        </is>
      </c>
      <c r="D67" t="inlineStr">
        <is>
          <t>The use of the microscope : an introductory handbook for biologists / Peter Gray.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Gray, Peter, 1908-1981.</t>
        </is>
      </c>
      <c r="L67" t="inlineStr">
        <is>
          <t>New York : McGraw-Hill, [1967]</t>
        </is>
      </c>
      <c r="M67" t="inlineStr">
        <is>
          <t>1967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QH </t>
        </is>
      </c>
      <c r="S67" t="n">
        <v>1</v>
      </c>
      <c r="T67" t="n">
        <v>1</v>
      </c>
      <c r="U67" t="inlineStr">
        <is>
          <t>1996-02-28</t>
        </is>
      </c>
      <c r="V67" t="inlineStr">
        <is>
          <t>1996-02-28</t>
        </is>
      </c>
      <c r="W67" t="inlineStr">
        <is>
          <t>1996-02-23</t>
        </is>
      </c>
      <c r="X67" t="inlineStr">
        <is>
          <t>1996-02-23</t>
        </is>
      </c>
      <c r="Y67" t="n">
        <v>308</v>
      </c>
      <c r="Z67" t="n">
        <v>244</v>
      </c>
      <c r="AA67" t="n">
        <v>244</v>
      </c>
      <c r="AB67" t="n">
        <v>2</v>
      </c>
      <c r="AC67" t="n">
        <v>2</v>
      </c>
      <c r="AD67" t="n">
        <v>13</v>
      </c>
      <c r="AE67" t="n">
        <v>13</v>
      </c>
      <c r="AF67" t="n">
        <v>6</v>
      </c>
      <c r="AG67" t="n">
        <v>6</v>
      </c>
      <c r="AH67" t="n">
        <v>2</v>
      </c>
      <c r="AI67" t="n">
        <v>2</v>
      </c>
      <c r="AJ67" t="n">
        <v>9</v>
      </c>
      <c r="AK67" t="n">
        <v>9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HYPERLINK("https://creighton-primo.hosted.exlibrisgroup.com/primo-explore/search?tab=default_tab&amp;search_scope=EVERYTHING&amp;vid=01CRU&amp;lang=en_US&amp;offset=0&amp;query=any,contains,991003046269702656","Catalog Record")</f>
        <v/>
      </c>
      <c r="AT67">
        <f>HYPERLINK("http://www.worldcat.org/oclc/606766","WorldCat Record")</f>
        <v/>
      </c>
      <c r="AU67" t="inlineStr">
        <is>
          <t>309569495:eng</t>
        </is>
      </c>
      <c r="AV67" t="inlineStr">
        <is>
          <t>606766</t>
        </is>
      </c>
      <c r="AW67" t="inlineStr">
        <is>
          <t>991003046269702656</t>
        </is>
      </c>
      <c r="AX67" t="inlineStr">
        <is>
          <t>991003046269702656</t>
        </is>
      </c>
      <c r="AY67" t="inlineStr">
        <is>
          <t>2264038730002656</t>
        </is>
      </c>
      <c r="AZ67" t="inlineStr">
        <is>
          <t>BOOK</t>
        </is>
      </c>
      <c r="BC67" t="inlineStr">
        <is>
          <t>32285002137619</t>
        </is>
      </c>
      <c r="BD67" t="inlineStr">
        <is>
          <t>893227624</t>
        </is>
      </c>
    </row>
    <row r="68">
      <c r="A68" t="inlineStr">
        <is>
          <t>No</t>
        </is>
      </c>
      <c r="B68" t="inlineStr">
        <is>
          <t>QH205 .S5</t>
        </is>
      </c>
      <c r="C68" t="inlineStr">
        <is>
          <t>0                      QH 0205000S  5</t>
        </is>
      </c>
      <c r="D68" t="inlineStr">
        <is>
          <t>Optical methods in biology [by] Elizabeth M. Slayter.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Slayter, Elizabeth M.</t>
        </is>
      </c>
      <c r="L68" t="inlineStr">
        <is>
          <t>New York, Wiley-Interscience [1970]</t>
        </is>
      </c>
      <c r="M68" t="inlineStr">
        <is>
          <t>1970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QH </t>
        </is>
      </c>
      <c r="S68" t="n">
        <v>1</v>
      </c>
      <c r="T68" t="n">
        <v>1</v>
      </c>
      <c r="U68" t="inlineStr">
        <is>
          <t>2001-03-24</t>
        </is>
      </c>
      <c r="V68" t="inlineStr">
        <is>
          <t>2001-03-24</t>
        </is>
      </c>
      <c r="W68" t="inlineStr">
        <is>
          <t>1997-06-30</t>
        </is>
      </c>
      <c r="X68" t="inlineStr">
        <is>
          <t>1997-06-30</t>
        </is>
      </c>
      <c r="Y68" t="n">
        <v>517</v>
      </c>
      <c r="Z68" t="n">
        <v>398</v>
      </c>
      <c r="AA68" t="n">
        <v>424</v>
      </c>
      <c r="AB68" t="n">
        <v>2</v>
      </c>
      <c r="AC68" t="n">
        <v>2</v>
      </c>
      <c r="AD68" t="n">
        <v>16</v>
      </c>
      <c r="AE68" t="n">
        <v>18</v>
      </c>
      <c r="AF68" t="n">
        <v>5</v>
      </c>
      <c r="AG68" t="n">
        <v>6</v>
      </c>
      <c r="AH68" t="n">
        <v>5</v>
      </c>
      <c r="AI68" t="n">
        <v>5</v>
      </c>
      <c r="AJ68" t="n">
        <v>10</v>
      </c>
      <c r="AK68" t="n">
        <v>11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HYPERLINK("http://catalog.hathitrust.org/Record/001490853","HathiTrust Record")</f>
        <v/>
      </c>
      <c r="AS68">
        <f>HYPERLINK("https://creighton-primo.hosted.exlibrisgroup.com/primo-explore/search?tab=default_tab&amp;search_scope=EVERYTHING&amp;vid=01CRU&amp;lang=en_US&amp;offset=0&amp;query=any,contains,991000141369702656","Catalog Record")</f>
        <v/>
      </c>
      <c r="AT68">
        <f>HYPERLINK("http://www.worldcat.org/oclc/57945","WorldCat Record")</f>
        <v/>
      </c>
      <c r="AU68" t="inlineStr">
        <is>
          <t>1194255:eng</t>
        </is>
      </c>
      <c r="AV68" t="inlineStr">
        <is>
          <t>57945</t>
        </is>
      </c>
      <c r="AW68" t="inlineStr">
        <is>
          <t>991000141369702656</t>
        </is>
      </c>
      <c r="AX68" t="inlineStr">
        <is>
          <t>991000141369702656</t>
        </is>
      </c>
      <c r="AY68" t="inlineStr">
        <is>
          <t>2261767060002656</t>
        </is>
      </c>
      <c r="AZ68" t="inlineStr">
        <is>
          <t>BOOK</t>
        </is>
      </c>
      <c r="BB68" t="inlineStr">
        <is>
          <t>9780471796701</t>
        </is>
      </c>
      <c r="BC68" t="inlineStr">
        <is>
          <t>32285002866258</t>
        </is>
      </c>
      <c r="BD68" t="inlineStr">
        <is>
          <t>893230902</t>
        </is>
      </c>
    </row>
    <row r="69">
      <c r="A69" t="inlineStr">
        <is>
          <t>No</t>
        </is>
      </c>
      <c r="B69" t="inlineStr">
        <is>
          <t>QH207 .P7 v. 2</t>
        </is>
      </c>
      <c r="C69" t="inlineStr">
        <is>
          <t>0                      QH 0207000P  7                                                       v. 2</t>
        </is>
      </c>
      <c r="D69" t="inlineStr">
        <is>
          <t>Principles and practice of electron microscope operation / Alan W. Agar, Ronald H. Alderson and Dawn Chescoe.</t>
        </is>
      </c>
      <c r="E69" t="inlineStr">
        <is>
          <t>V.2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Agar, Alan W.</t>
        </is>
      </c>
      <c r="L69" t="inlineStr">
        <is>
          <t>Amsterdam : North-Holland Pub. Co. ; New York : American Elsevier, 1974.</t>
        </is>
      </c>
      <c r="M69" t="inlineStr">
        <is>
          <t>1974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Practical methods in electron microscopy ; v. 2</t>
        </is>
      </c>
      <c r="R69" t="inlineStr">
        <is>
          <t xml:space="preserve">QH </t>
        </is>
      </c>
      <c r="S69" t="n">
        <v>2</v>
      </c>
      <c r="T69" t="n">
        <v>2</v>
      </c>
      <c r="U69" t="inlineStr">
        <is>
          <t>1996-01-22</t>
        </is>
      </c>
      <c r="V69" t="inlineStr">
        <is>
          <t>1996-01-22</t>
        </is>
      </c>
      <c r="W69" t="inlineStr">
        <is>
          <t>1994-01-06</t>
        </is>
      </c>
      <c r="X69" t="inlineStr">
        <is>
          <t>1994-01-06</t>
        </is>
      </c>
      <c r="Y69" t="n">
        <v>311</v>
      </c>
      <c r="Z69" t="n">
        <v>171</v>
      </c>
      <c r="AA69" t="n">
        <v>178</v>
      </c>
      <c r="AB69" t="n">
        <v>3</v>
      </c>
      <c r="AC69" t="n">
        <v>3</v>
      </c>
      <c r="AD69" t="n">
        <v>5</v>
      </c>
      <c r="AE69" t="n">
        <v>5</v>
      </c>
      <c r="AF69" t="n">
        <v>1</v>
      </c>
      <c r="AG69" t="n">
        <v>1</v>
      </c>
      <c r="AH69" t="n">
        <v>2</v>
      </c>
      <c r="AI69" t="n">
        <v>2</v>
      </c>
      <c r="AJ69" t="n">
        <v>3</v>
      </c>
      <c r="AK69" t="n">
        <v>3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HYPERLINK("http://catalog.hathitrust.org/Record/000882257","HathiTrust Record")</f>
        <v/>
      </c>
      <c r="AS69">
        <f>HYPERLINK("https://creighton-primo.hosted.exlibrisgroup.com/primo-explore/search?tab=default_tab&amp;search_scope=EVERYTHING&amp;vid=01CRU&amp;lang=en_US&amp;offset=0&amp;query=any,contains,991004538109702656","Catalog Record")</f>
        <v/>
      </c>
      <c r="AT69">
        <f>HYPERLINK("http://www.worldcat.org/oclc/15029447","WorldCat Record")</f>
        <v/>
      </c>
      <c r="AU69" t="inlineStr">
        <is>
          <t>8917249:eng</t>
        </is>
      </c>
      <c r="AV69" t="inlineStr">
        <is>
          <t>15029447</t>
        </is>
      </c>
      <c r="AW69" t="inlineStr">
        <is>
          <t>991004538109702656</t>
        </is>
      </c>
      <c r="AX69" t="inlineStr">
        <is>
          <t>991004538109702656</t>
        </is>
      </c>
      <c r="AY69" t="inlineStr">
        <is>
          <t>2272326470002656</t>
        </is>
      </c>
      <c r="AZ69" t="inlineStr">
        <is>
          <t>BOOK</t>
        </is>
      </c>
      <c r="BB69" t="inlineStr">
        <is>
          <t>9780720442502</t>
        </is>
      </c>
      <c r="BC69" t="inlineStr">
        <is>
          <t>32285001828564</t>
        </is>
      </c>
      <c r="BD69" t="inlineStr">
        <is>
          <t>893436404</t>
        </is>
      </c>
    </row>
    <row r="70">
      <c r="A70" t="inlineStr">
        <is>
          <t>No</t>
        </is>
      </c>
      <c r="B70" t="inlineStr">
        <is>
          <t>QH207 .P7 v.1</t>
        </is>
      </c>
      <c r="C70" t="inlineStr">
        <is>
          <t>0                      QH 0207000P  7                                                       v.1</t>
        </is>
      </c>
      <c r="D70" t="inlineStr">
        <is>
          <t>Specimen preparation in materials science / [by] P. J. Goodhew. [Including] Electron diffraction and optical diffraction techniques [by] B. E. P. Beeston, Robert W. Horne and Roy Markham.</t>
        </is>
      </c>
      <c r="E70" t="inlineStr">
        <is>
          <t>V.1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Goodhew, Peter J.</t>
        </is>
      </c>
      <c r="L70" t="inlineStr">
        <is>
          <t>Amsterdam, North Holland; New York, American Elsevier, 1972.</t>
        </is>
      </c>
      <c r="M70" t="inlineStr">
        <is>
          <t>1972</t>
        </is>
      </c>
      <c r="O70" t="inlineStr">
        <is>
          <t>eng</t>
        </is>
      </c>
      <c r="P70" t="inlineStr">
        <is>
          <t>___</t>
        </is>
      </c>
      <c r="Q70" t="inlineStr">
        <is>
          <t>Practical methods in electron microscopy ; v. 1</t>
        </is>
      </c>
      <c r="R70" t="inlineStr">
        <is>
          <t xml:space="preserve">QH </t>
        </is>
      </c>
      <c r="S70" t="n">
        <v>4</v>
      </c>
      <c r="T70" t="n">
        <v>4</v>
      </c>
      <c r="U70" t="inlineStr">
        <is>
          <t>1996-01-22</t>
        </is>
      </c>
      <c r="V70" t="inlineStr">
        <is>
          <t>1996-01-22</t>
        </is>
      </c>
      <c r="W70" t="inlineStr">
        <is>
          <t>1994-01-06</t>
        </is>
      </c>
      <c r="X70" t="inlineStr">
        <is>
          <t>1994-01-06</t>
        </is>
      </c>
      <c r="Y70" t="n">
        <v>109</v>
      </c>
      <c r="Z70" t="n">
        <v>76</v>
      </c>
      <c r="AA70" t="n">
        <v>77</v>
      </c>
      <c r="AB70" t="n">
        <v>1</v>
      </c>
      <c r="AC70" t="n">
        <v>1</v>
      </c>
      <c r="AD70" t="n">
        <v>3</v>
      </c>
      <c r="AE70" t="n">
        <v>3</v>
      </c>
      <c r="AF70" t="n">
        <v>0</v>
      </c>
      <c r="AG70" t="n">
        <v>0</v>
      </c>
      <c r="AH70" t="n">
        <v>2</v>
      </c>
      <c r="AI70" t="n">
        <v>2</v>
      </c>
      <c r="AJ70" t="n">
        <v>3</v>
      </c>
      <c r="AK70" t="n">
        <v>3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HYPERLINK("https://creighton-primo.hosted.exlibrisgroup.com/primo-explore/search?tab=default_tab&amp;search_scope=EVERYTHING&amp;vid=01CRU&amp;lang=en_US&amp;offset=0&amp;query=any,contains,991003752359702656","Catalog Record")</f>
        <v/>
      </c>
      <c r="AT70">
        <f>HYPERLINK("http://www.worldcat.org/oclc/50002936","WorldCat Record")</f>
        <v/>
      </c>
      <c r="AU70" t="inlineStr">
        <is>
          <t>5583817078:eng</t>
        </is>
      </c>
      <c r="AV70" t="inlineStr">
        <is>
          <t>50002936</t>
        </is>
      </c>
      <c r="AW70" t="inlineStr">
        <is>
          <t>991003752359702656</t>
        </is>
      </c>
      <c r="AX70" t="inlineStr">
        <is>
          <t>991003752359702656</t>
        </is>
      </c>
      <c r="AY70" t="inlineStr">
        <is>
          <t>2259139060002656</t>
        </is>
      </c>
      <c r="AZ70" t="inlineStr">
        <is>
          <t>BOOK</t>
        </is>
      </c>
      <c r="BC70" t="inlineStr">
        <is>
          <t>32285001828556</t>
        </is>
      </c>
      <c r="BD70" t="inlineStr">
        <is>
          <t>893499658</t>
        </is>
      </c>
    </row>
    <row r="71">
      <c r="A71" t="inlineStr">
        <is>
          <t>No</t>
        </is>
      </c>
      <c r="B71" t="inlineStr">
        <is>
          <t>QH207 .P7 v.5</t>
        </is>
      </c>
      <c r="C71" t="inlineStr">
        <is>
          <t>0                      QH 0207000P  7                                                       v.5</t>
        </is>
      </c>
      <c r="D71" t="inlineStr">
        <is>
          <t>Staining methods for sectioned material / P. R. Lewis and D. P. Knight. X-ray microanalysis in the electron microscope / John A. Chandler.</t>
        </is>
      </c>
      <c r="E71" t="inlineStr">
        <is>
          <t>V.5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Lewis, P. R.</t>
        </is>
      </c>
      <c r="L71" t="inlineStr">
        <is>
          <t>Amsterdam New York : North-Holland Pub. Co., 1977.</t>
        </is>
      </c>
      <c r="M71" t="inlineStr">
        <is>
          <t>1977</t>
        </is>
      </c>
      <c r="O71" t="inlineStr">
        <is>
          <t>eng</t>
        </is>
      </c>
      <c r="P71" t="inlineStr">
        <is>
          <t xml:space="preserve">ne </t>
        </is>
      </c>
      <c r="Q71" t="inlineStr">
        <is>
          <t>Practical methods in electron microscopy, v.5, pt.1-2.</t>
        </is>
      </c>
      <c r="R71" t="inlineStr">
        <is>
          <t xml:space="preserve">QH </t>
        </is>
      </c>
      <c r="S71" t="n">
        <v>3</v>
      </c>
      <c r="T71" t="n">
        <v>3</v>
      </c>
      <c r="U71" t="inlineStr">
        <is>
          <t>1995-03-29</t>
        </is>
      </c>
      <c r="V71" t="inlineStr">
        <is>
          <t>1995-03-29</t>
        </is>
      </c>
      <c r="W71" t="inlineStr">
        <is>
          <t>1994-01-06</t>
        </is>
      </c>
      <c r="X71" t="inlineStr">
        <is>
          <t>1994-01-06</t>
        </is>
      </c>
      <c r="Y71" t="n">
        <v>131</v>
      </c>
      <c r="Z71" t="n">
        <v>74</v>
      </c>
      <c r="AA71" t="n">
        <v>162</v>
      </c>
      <c r="AB71" t="n">
        <v>1</v>
      </c>
      <c r="AC71" t="n">
        <v>2</v>
      </c>
      <c r="AD71" t="n">
        <v>3</v>
      </c>
      <c r="AE71" t="n">
        <v>5</v>
      </c>
      <c r="AF71" t="n">
        <v>0</v>
      </c>
      <c r="AG71" t="n">
        <v>1</v>
      </c>
      <c r="AH71" t="n">
        <v>2</v>
      </c>
      <c r="AI71" t="n">
        <v>2</v>
      </c>
      <c r="AJ71" t="n">
        <v>3</v>
      </c>
      <c r="AK71" t="n">
        <v>4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HYPERLINK("http://catalog.hathitrust.org/Record/009464878","HathiTrust Record")</f>
        <v/>
      </c>
      <c r="AS71">
        <f>HYPERLINK("https://creighton-primo.hosted.exlibrisgroup.com/primo-explore/search?tab=default_tab&amp;search_scope=EVERYTHING&amp;vid=01CRU&amp;lang=en_US&amp;offset=0&amp;query=any,contains,991004405469702656","Catalog Record")</f>
        <v/>
      </c>
      <c r="AT71">
        <f>HYPERLINK("http://www.worldcat.org/oclc/3320213","WorldCat Record")</f>
        <v/>
      </c>
      <c r="AU71" t="inlineStr">
        <is>
          <t>9486688:eng</t>
        </is>
      </c>
      <c r="AV71" t="inlineStr">
        <is>
          <t>3320213</t>
        </is>
      </c>
      <c r="AW71" t="inlineStr">
        <is>
          <t>991004405469702656</t>
        </is>
      </c>
      <c r="AX71" t="inlineStr">
        <is>
          <t>991004405469702656</t>
        </is>
      </c>
      <c r="AY71" t="inlineStr">
        <is>
          <t>2272589060002656</t>
        </is>
      </c>
      <c r="AZ71" t="inlineStr">
        <is>
          <t>BOOK</t>
        </is>
      </c>
      <c r="BB71" t="inlineStr">
        <is>
          <t>9780720406054</t>
        </is>
      </c>
      <c r="BC71" t="inlineStr">
        <is>
          <t>32285001828598</t>
        </is>
      </c>
      <c r="BD71" t="inlineStr">
        <is>
          <t>893888663</t>
        </is>
      </c>
    </row>
    <row r="72">
      <c r="A72" t="inlineStr">
        <is>
          <t>No</t>
        </is>
      </c>
      <c r="B72" t="inlineStr">
        <is>
          <t>QH21.D66 M55 1929</t>
        </is>
      </c>
      <c r="C72" t="inlineStr">
        <is>
          <t>0                      QH 0021000D  66                 M  55          1929</t>
        </is>
      </c>
      <c r="D72" t="inlineStr">
        <is>
          <t>Mammals eaten by Indians, owls, and Spaniards in the coast region of the Dominican Republic / by Gerrit S. Miller, Jr.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Miller, Gerrit S. (Gerrit Smith), 1869-1956.</t>
        </is>
      </c>
      <c r="L72" t="inlineStr">
        <is>
          <t>City of Washington : The Smithsonian Institution, 1929.</t>
        </is>
      </c>
      <c r="M72" t="inlineStr">
        <is>
          <t>1929</t>
        </is>
      </c>
      <c r="O72" t="inlineStr">
        <is>
          <t>eng</t>
        </is>
      </c>
      <c r="P72" t="inlineStr">
        <is>
          <t xml:space="preserve">xx </t>
        </is>
      </c>
      <c r="Q72" t="inlineStr">
        <is>
          <t>Smithsonian miscellaneous collections ; v. 82, no. 5</t>
        </is>
      </c>
      <c r="R72" t="inlineStr">
        <is>
          <t xml:space="preserve">QH </t>
        </is>
      </c>
      <c r="S72" t="n">
        <v>1</v>
      </c>
      <c r="T72" t="n">
        <v>1</v>
      </c>
      <c r="U72" t="inlineStr">
        <is>
          <t>2000-09-18</t>
        </is>
      </c>
      <c r="V72" t="inlineStr">
        <is>
          <t>2000-09-18</t>
        </is>
      </c>
      <c r="W72" t="inlineStr">
        <is>
          <t>2000-09-18</t>
        </is>
      </c>
      <c r="X72" t="inlineStr">
        <is>
          <t>2000-09-18</t>
        </is>
      </c>
      <c r="Y72" t="n">
        <v>83</v>
      </c>
      <c r="Z72" t="n">
        <v>79</v>
      </c>
      <c r="AA72" t="n">
        <v>86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1</v>
      </c>
      <c r="AI72" t="n">
        <v>1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Yes</t>
        </is>
      </c>
      <c r="AQ72" t="inlineStr">
        <is>
          <t>No</t>
        </is>
      </c>
      <c r="AR72">
        <f>HYPERLINK("http://catalog.hathitrust.org/Record/001677868","HathiTrust Record")</f>
        <v/>
      </c>
      <c r="AS72">
        <f>HYPERLINK("https://creighton-primo.hosted.exlibrisgroup.com/primo-explore/search?tab=default_tab&amp;search_scope=EVERYTHING&amp;vid=01CRU&amp;lang=en_US&amp;offset=0&amp;query=any,contains,991003292509702656","Catalog Record")</f>
        <v/>
      </c>
      <c r="AT72">
        <f>HYPERLINK("http://www.worldcat.org/oclc/4398887","WorldCat Record")</f>
        <v/>
      </c>
      <c r="AU72" t="inlineStr">
        <is>
          <t>52465274:eng</t>
        </is>
      </c>
      <c r="AV72" t="inlineStr">
        <is>
          <t>4398887</t>
        </is>
      </c>
      <c r="AW72" t="inlineStr">
        <is>
          <t>991003292509702656</t>
        </is>
      </c>
      <c r="AX72" t="inlineStr">
        <is>
          <t>991003292509702656</t>
        </is>
      </c>
      <c r="AY72" t="inlineStr">
        <is>
          <t>2264275470002656</t>
        </is>
      </c>
      <c r="AZ72" t="inlineStr">
        <is>
          <t>BOOK</t>
        </is>
      </c>
      <c r="BC72" t="inlineStr">
        <is>
          <t>32285003762704</t>
        </is>
      </c>
      <c r="BD72" t="inlineStr">
        <is>
          <t>893240057</t>
        </is>
      </c>
    </row>
    <row r="73">
      <c r="A73" t="inlineStr">
        <is>
          <t>No</t>
        </is>
      </c>
      <c r="B73" t="inlineStr">
        <is>
          <t>QH21.E5 H62</t>
        </is>
      </c>
      <c r="C73" t="inlineStr">
        <is>
          <t>0                      QH 0021000E  5                  H  62</t>
        </is>
      </c>
      <c r="D73" t="inlineStr">
        <is>
          <t>The growth of natural history in Stuart England from Gerard to the Royal Society [by] F. D. and J. F. M. Hoeniger.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Hoeniger, F. David.</t>
        </is>
      </c>
      <c r="L73" t="inlineStr">
        <is>
          <t>[Charlottesville] Published for the Folger Shakespeare Library [by] the University Press of Virginia [1969]</t>
        </is>
      </c>
      <c r="M73" t="inlineStr">
        <is>
          <t>1969</t>
        </is>
      </c>
      <c r="O73" t="inlineStr">
        <is>
          <t>eng</t>
        </is>
      </c>
      <c r="P73" t="inlineStr">
        <is>
          <t>vau</t>
        </is>
      </c>
      <c r="Q73" t="inlineStr">
        <is>
          <t>Folger booklets on Tudor and Stuart civilization</t>
        </is>
      </c>
      <c r="R73" t="inlineStr">
        <is>
          <t xml:space="preserve">QH </t>
        </is>
      </c>
      <c r="S73" t="n">
        <v>2</v>
      </c>
      <c r="T73" t="n">
        <v>2</v>
      </c>
      <c r="U73" t="inlineStr">
        <is>
          <t>2003-11-11</t>
        </is>
      </c>
      <c r="V73" t="inlineStr">
        <is>
          <t>2003-11-11</t>
        </is>
      </c>
      <c r="W73" t="inlineStr">
        <is>
          <t>1997-06-26</t>
        </is>
      </c>
      <c r="X73" t="inlineStr">
        <is>
          <t>1997-06-26</t>
        </is>
      </c>
      <c r="Y73" t="n">
        <v>301</v>
      </c>
      <c r="Z73" t="n">
        <v>242</v>
      </c>
      <c r="AA73" t="n">
        <v>321</v>
      </c>
      <c r="AB73" t="n">
        <v>3</v>
      </c>
      <c r="AC73" t="n">
        <v>3</v>
      </c>
      <c r="AD73" t="n">
        <v>10</v>
      </c>
      <c r="AE73" t="n">
        <v>13</v>
      </c>
      <c r="AF73" t="n">
        <v>2</v>
      </c>
      <c r="AG73" t="n">
        <v>3</v>
      </c>
      <c r="AH73" t="n">
        <v>2</v>
      </c>
      <c r="AI73" t="n">
        <v>3</v>
      </c>
      <c r="AJ73" t="n">
        <v>7</v>
      </c>
      <c r="AK73" t="n">
        <v>9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HYPERLINK("http://catalog.hathitrust.org/Record/001998137","HathiTrust Record")</f>
        <v/>
      </c>
      <c r="AS73">
        <f>HYPERLINK("https://creighton-primo.hosted.exlibrisgroup.com/primo-explore/search?tab=default_tab&amp;search_scope=EVERYTHING&amp;vid=01CRU&amp;lang=en_US&amp;offset=0&amp;query=any,contains,991005438109702656","Catalog Record")</f>
        <v/>
      </c>
      <c r="AT73">
        <f>HYPERLINK("http://www.worldcat.org/oclc/5810","WorldCat Record")</f>
        <v/>
      </c>
      <c r="AU73" t="inlineStr">
        <is>
          <t>1129126:eng</t>
        </is>
      </c>
      <c r="AV73" t="inlineStr">
        <is>
          <t>5810</t>
        </is>
      </c>
      <c r="AW73" t="inlineStr">
        <is>
          <t>991005438109702656</t>
        </is>
      </c>
      <c r="AX73" t="inlineStr">
        <is>
          <t>991005438109702656</t>
        </is>
      </c>
      <c r="AY73" t="inlineStr">
        <is>
          <t>2264687580002656</t>
        </is>
      </c>
      <c r="AZ73" t="inlineStr">
        <is>
          <t>BOOK</t>
        </is>
      </c>
      <c r="BB73" t="inlineStr">
        <is>
          <t>9780813902647</t>
        </is>
      </c>
      <c r="BC73" t="inlineStr">
        <is>
          <t>32285002854866</t>
        </is>
      </c>
      <c r="BD73" t="inlineStr">
        <is>
          <t>893431517</t>
        </is>
      </c>
    </row>
    <row r="74">
      <c r="A74" t="inlineStr">
        <is>
          <t>No</t>
        </is>
      </c>
      <c r="B74" t="inlineStr">
        <is>
          <t>QH21.I4 T47 1997</t>
        </is>
      </c>
      <c r="C74" t="inlineStr">
        <is>
          <t>0                      QH 0021000I  4                  T  47          1997</t>
        </is>
      </c>
      <c r="D74" t="inlineStr">
        <is>
          <t>Land of the tiger : a natural history of the Indian subcontinent / Valmik Thapar.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Thapar, Valmik.</t>
        </is>
      </c>
      <c r="L74" t="inlineStr">
        <is>
          <t>Berkeley : University of California Press, 1997.</t>
        </is>
      </c>
      <c r="M74" t="inlineStr">
        <is>
          <t>1997</t>
        </is>
      </c>
      <c r="O74" t="inlineStr">
        <is>
          <t>eng</t>
        </is>
      </c>
      <c r="P74" t="inlineStr">
        <is>
          <t>cau</t>
        </is>
      </c>
      <c r="R74" t="inlineStr">
        <is>
          <t xml:space="preserve">QH </t>
        </is>
      </c>
      <c r="S74" t="n">
        <v>14</v>
      </c>
      <c r="T74" t="n">
        <v>14</v>
      </c>
      <c r="U74" t="inlineStr">
        <is>
          <t>2004-12-13</t>
        </is>
      </c>
      <c r="V74" t="inlineStr">
        <is>
          <t>2004-12-13</t>
        </is>
      </c>
      <c r="W74" t="inlineStr">
        <is>
          <t>1998-07-28</t>
        </is>
      </c>
      <c r="X74" t="inlineStr">
        <is>
          <t>1998-07-28</t>
        </is>
      </c>
      <c r="Y74" t="n">
        <v>887</v>
      </c>
      <c r="Z74" t="n">
        <v>856</v>
      </c>
      <c r="AA74" t="n">
        <v>865</v>
      </c>
      <c r="AB74" t="n">
        <v>3</v>
      </c>
      <c r="AC74" t="n">
        <v>3</v>
      </c>
      <c r="AD74" t="n">
        <v>15</v>
      </c>
      <c r="AE74" t="n">
        <v>15</v>
      </c>
      <c r="AF74" t="n">
        <v>6</v>
      </c>
      <c r="AG74" t="n">
        <v>6</v>
      </c>
      <c r="AH74" t="n">
        <v>3</v>
      </c>
      <c r="AI74" t="n">
        <v>3</v>
      </c>
      <c r="AJ74" t="n">
        <v>10</v>
      </c>
      <c r="AK74" t="n">
        <v>10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HYPERLINK("https://creighton-primo.hosted.exlibrisgroup.com/primo-explore/search?tab=default_tab&amp;search_scope=EVERYTHING&amp;vid=01CRU&amp;lang=en_US&amp;offset=0&amp;query=any,contains,991002928319702656","Catalog Record")</f>
        <v/>
      </c>
      <c r="AT74">
        <f>HYPERLINK("http://www.worldcat.org/oclc/38926376","WorldCat Record")</f>
        <v/>
      </c>
      <c r="AU74" t="inlineStr">
        <is>
          <t>796268546:eng</t>
        </is>
      </c>
      <c r="AV74" t="inlineStr">
        <is>
          <t>38926376</t>
        </is>
      </c>
      <c r="AW74" t="inlineStr">
        <is>
          <t>991002928319702656</t>
        </is>
      </c>
      <c r="AX74" t="inlineStr">
        <is>
          <t>991002928319702656</t>
        </is>
      </c>
      <c r="AY74" t="inlineStr">
        <is>
          <t>2265965080002656</t>
        </is>
      </c>
      <c r="AZ74" t="inlineStr">
        <is>
          <t>BOOK</t>
        </is>
      </c>
      <c r="BB74" t="inlineStr">
        <is>
          <t>9780520214705</t>
        </is>
      </c>
      <c r="BC74" t="inlineStr">
        <is>
          <t>32285003446779</t>
        </is>
      </c>
      <c r="BD74" t="inlineStr">
        <is>
          <t>893704691</t>
        </is>
      </c>
    </row>
    <row r="75">
      <c r="A75" t="inlineStr">
        <is>
          <t>No</t>
        </is>
      </c>
      <c r="B75" t="inlineStr">
        <is>
          <t>QH21.U5 P4</t>
        </is>
      </c>
      <c r="C75" t="inlineStr">
        <is>
          <t>0                      QH 0021000U  5                  P  4</t>
        </is>
      </c>
      <c r="D75" t="inlineStr">
        <is>
          <t>The road of a naturalist / Donald Culross Peattie. --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Peattie, Donald Culross, 1898-1964.</t>
        </is>
      </c>
      <c r="L75" t="inlineStr">
        <is>
          <t>Boston, Houghton Mifflin Co. [1941]</t>
        </is>
      </c>
      <c r="M75" t="inlineStr">
        <is>
          <t>1941</t>
        </is>
      </c>
      <c r="O75" t="inlineStr">
        <is>
          <t>eng</t>
        </is>
      </c>
      <c r="P75" t="inlineStr">
        <is>
          <t>mau</t>
        </is>
      </c>
      <c r="Q75" t="inlineStr">
        <is>
          <t>Life in America series</t>
        </is>
      </c>
      <c r="R75" t="inlineStr">
        <is>
          <t xml:space="preserve">QH </t>
        </is>
      </c>
      <c r="S75" t="n">
        <v>0</v>
      </c>
      <c r="T75" t="n">
        <v>0</v>
      </c>
      <c r="U75" t="inlineStr">
        <is>
          <t>2007-06-04</t>
        </is>
      </c>
      <c r="V75" t="inlineStr">
        <is>
          <t>2007-06-04</t>
        </is>
      </c>
      <c r="W75" t="inlineStr">
        <is>
          <t>1993-02-22</t>
        </is>
      </c>
      <c r="X75" t="inlineStr">
        <is>
          <t>1993-02-22</t>
        </is>
      </c>
      <c r="Y75" t="n">
        <v>533</v>
      </c>
      <c r="Z75" t="n">
        <v>501</v>
      </c>
      <c r="AA75" t="n">
        <v>576</v>
      </c>
      <c r="AB75" t="n">
        <v>2</v>
      </c>
      <c r="AC75" t="n">
        <v>4</v>
      </c>
      <c r="AD75" t="n">
        <v>7</v>
      </c>
      <c r="AE75" t="n">
        <v>10</v>
      </c>
      <c r="AF75" t="n">
        <v>1</v>
      </c>
      <c r="AG75" t="n">
        <v>2</v>
      </c>
      <c r="AH75" t="n">
        <v>3</v>
      </c>
      <c r="AI75" t="n">
        <v>4</v>
      </c>
      <c r="AJ75" t="n">
        <v>5</v>
      </c>
      <c r="AK75" t="n">
        <v>6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HYPERLINK("http://catalog.hathitrust.org/Record/001490035","HathiTrust Record")</f>
        <v/>
      </c>
      <c r="AS75">
        <f>HYPERLINK("https://creighton-primo.hosted.exlibrisgroup.com/primo-explore/search?tab=default_tab&amp;search_scope=EVERYTHING&amp;vid=01CRU&amp;lang=en_US&amp;offset=0&amp;query=any,contains,991002502439702656","Catalog Record")</f>
        <v/>
      </c>
      <c r="AT75">
        <f>HYPERLINK("http://www.worldcat.org/oclc/364575","WorldCat Record")</f>
        <v/>
      </c>
      <c r="AU75" t="inlineStr">
        <is>
          <t>1422623:eng</t>
        </is>
      </c>
      <c r="AV75" t="inlineStr">
        <is>
          <t>364575</t>
        </is>
      </c>
      <c r="AW75" t="inlineStr">
        <is>
          <t>991002502439702656</t>
        </is>
      </c>
      <c r="AX75" t="inlineStr">
        <is>
          <t>991002502439702656</t>
        </is>
      </c>
      <c r="AY75" t="inlineStr">
        <is>
          <t>2265621610002656</t>
        </is>
      </c>
      <c r="AZ75" t="inlineStr">
        <is>
          <t>BOOK</t>
        </is>
      </c>
      <c r="BC75" t="inlineStr">
        <is>
          <t>32285001550770</t>
        </is>
      </c>
      <c r="BD75" t="inlineStr">
        <is>
          <t>893880014</t>
        </is>
      </c>
    </row>
    <row r="76">
      <c r="A76" t="inlineStr">
        <is>
          <t>No</t>
        </is>
      </c>
      <c r="B76" t="inlineStr">
        <is>
          <t>QH211 .B45</t>
        </is>
      </c>
      <c r="C76" t="inlineStr">
        <is>
          <t>0                      QH 0211000B  45</t>
        </is>
      </c>
      <c r="D76" t="inlineStr">
        <is>
          <t>Phase microscopy; principles and applications [by] Alva H. Bennett [and others]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Bennett, Alva Herschel, 1895-</t>
        </is>
      </c>
      <c r="L76" t="inlineStr">
        <is>
          <t>New York, Wiley [c1951]</t>
        </is>
      </c>
      <c r="M76" t="inlineStr">
        <is>
          <t>1951</t>
        </is>
      </c>
      <c r="O76" t="inlineStr">
        <is>
          <t>eng</t>
        </is>
      </c>
      <c r="P76" t="inlineStr">
        <is>
          <t xml:space="preserve">xx </t>
        </is>
      </c>
      <c r="R76" t="inlineStr">
        <is>
          <t xml:space="preserve">QH </t>
        </is>
      </c>
      <c r="S76" t="n">
        <v>1</v>
      </c>
      <c r="T76" t="n">
        <v>1</v>
      </c>
      <c r="U76" t="inlineStr">
        <is>
          <t>2003-01-13</t>
        </is>
      </c>
      <c r="V76" t="inlineStr">
        <is>
          <t>2003-01-13</t>
        </is>
      </c>
      <c r="W76" t="inlineStr">
        <is>
          <t>1997-06-30</t>
        </is>
      </c>
      <c r="X76" t="inlineStr">
        <is>
          <t>1997-06-30</t>
        </is>
      </c>
      <c r="Y76" t="n">
        <v>372</v>
      </c>
      <c r="Z76" t="n">
        <v>280</v>
      </c>
      <c r="AA76" t="n">
        <v>320</v>
      </c>
      <c r="AB76" t="n">
        <v>2</v>
      </c>
      <c r="AC76" t="n">
        <v>2</v>
      </c>
      <c r="AD76" t="n">
        <v>13</v>
      </c>
      <c r="AE76" t="n">
        <v>14</v>
      </c>
      <c r="AF76" t="n">
        <v>4</v>
      </c>
      <c r="AG76" t="n">
        <v>5</v>
      </c>
      <c r="AH76" t="n">
        <v>4</v>
      </c>
      <c r="AI76" t="n">
        <v>4</v>
      </c>
      <c r="AJ76" t="n">
        <v>9</v>
      </c>
      <c r="AK76" t="n">
        <v>9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HYPERLINK("http://catalog.hathitrust.org/Record/001490901","HathiTrust Record")</f>
        <v/>
      </c>
      <c r="AS76">
        <f>HYPERLINK("https://creighton-primo.hosted.exlibrisgroup.com/primo-explore/search?tab=default_tab&amp;search_scope=EVERYTHING&amp;vid=01CRU&amp;lang=en_US&amp;offset=0&amp;query=any,contains,991000950909702656","Catalog Record")</f>
        <v/>
      </c>
      <c r="AT76">
        <f>HYPERLINK("http://www.worldcat.org/oclc/14663822","WorldCat Record")</f>
        <v/>
      </c>
      <c r="AU76" t="inlineStr">
        <is>
          <t>12468874:eng</t>
        </is>
      </c>
      <c r="AV76" t="inlineStr">
        <is>
          <t>14663822</t>
        </is>
      </c>
      <c r="AW76" t="inlineStr">
        <is>
          <t>991000950909702656</t>
        </is>
      </c>
      <c r="AX76" t="inlineStr">
        <is>
          <t>991000950909702656</t>
        </is>
      </c>
      <c r="AY76" t="inlineStr">
        <is>
          <t>2268430030002656</t>
        </is>
      </c>
      <c r="AZ76" t="inlineStr">
        <is>
          <t>BOOK</t>
        </is>
      </c>
      <c r="BC76" t="inlineStr">
        <is>
          <t>32285002866373</t>
        </is>
      </c>
      <c r="BD76" t="inlineStr">
        <is>
          <t>893884906</t>
        </is>
      </c>
    </row>
    <row r="77">
      <c r="A77" t="inlineStr">
        <is>
          <t>No</t>
        </is>
      </c>
      <c r="B77" t="inlineStr">
        <is>
          <t>QH211 .B8 1946</t>
        </is>
      </c>
      <c r="C77" t="inlineStr">
        <is>
          <t>0                      QH 0211000B  8           1946</t>
        </is>
      </c>
      <c r="D77" t="inlineStr">
        <is>
          <t>The electron microscope : an introduction to its fundamental principles and applications.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Burton, E. F. (Eli Franklin), 1879-1948.</t>
        </is>
      </c>
      <c r="L77" t="inlineStr">
        <is>
          <t>New York : Reinhold publishing corporation, 1946.</t>
        </is>
      </c>
      <c r="M77" t="inlineStr">
        <is>
          <t>1946</t>
        </is>
      </c>
      <c r="N77" t="inlineStr">
        <is>
          <t>2d ed.</t>
        </is>
      </c>
      <c r="O77" t="inlineStr">
        <is>
          <t>eng</t>
        </is>
      </c>
      <c r="P77" t="inlineStr">
        <is>
          <t xml:space="preserve">xx </t>
        </is>
      </c>
      <c r="R77" t="inlineStr">
        <is>
          <t xml:space="preserve">QH </t>
        </is>
      </c>
      <c r="S77" t="n">
        <v>6</v>
      </c>
      <c r="T77" t="n">
        <v>6</v>
      </c>
      <c r="U77" t="inlineStr">
        <is>
          <t>1994-11-20</t>
        </is>
      </c>
      <c r="V77" t="inlineStr">
        <is>
          <t>1994-11-20</t>
        </is>
      </c>
      <c r="W77" t="inlineStr">
        <is>
          <t>1993-08-30</t>
        </is>
      </c>
      <c r="X77" t="inlineStr">
        <is>
          <t>1993-08-30</t>
        </is>
      </c>
      <c r="Y77" t="n">
        <v>251</v>
      </c>
      <c r="Z77" t="n">
        <v>206</v>
      </c>
      <c r="AA77" t="n">
        <v>215</v>
      </c>
      <c r="AB77" t="n">
        <v>2</v>
      </c>
      <c r="AC77" t="n">
        <v>2</v>
      </c>
      <c r="AD77" t="n">
        <v>13</v>
      </c>
      <c r="AE77" t="n">
        <v>13</v>
      </c>
      <c r="AF77" t="n">
        <v>2</v>
      </c>
      <c r="AG77" t="n">
        <v>2</v>
      </c>
      <c r="AH77" t="n">
        <v>4</v>
      </c>
      <c r="AI77" t="n">
        <v>4</v>
      </c>
      <c r="AJ77" t="n">
        <v>10</v>
      </c>
      <c r="AK77" t="n">
        <v>10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HYPERLINK("http://catalog.hathitrust.org/Record/001480524","HathiTrust Record")</f>
        <v/>
      </c>
      <c r="AS77">
        <f>HYPERLINK("https://creighton-primo.hosted.exlibrisgroup.com/primo-explore/search?tab=default_tab&amp;search_scope=EVERYTHING&amp;vid=01CRU&amp;lang=en_US&amp;offset=0&amp;query=any,contains,991002969759702656","Catalog Record")</f>
        <v/>
      </c>
      <c r="AT77">
        <f>HYPERLINK("http://www.worldcat.org/oclc/547844","WorldCat Record")</f>
        <v/>
      </c>
      <c r="AU77" t="inlineStr">
        <is>
          <t>4919703781:eng</t>
        </is>
      </c>
      <c r="AV77" t="inlineStr">
        <is>
          <t>547844</t>
        </is>
      </c>
      <c r="AW77" t="inlineStr">
        <is>
          <t>991002969759702656</t>
        </is>
      </c>
      <c r="AX77" t="inlineStr">
        <is>
          <t>991002969759702656</t>
        </is>
      </c>
      <c r="AY77" t="inlineStr">
        <is>
          <t>2262858370002656</t>
        </is>
      </c>
      <c r="AZ77" t="inlineStr">
        <is>
          <t>BOOK</t>
        </is>
      </c>
      <c r="BC77" t="inlineStr">
        <is>
          <t>32285001761898</t>
        </is>
      </c>
      <c r="BD77" t="inlineStr">
        <is>
          <t>893867939</t>
        </is>
      </c>
    </row>
    <row r="78">
      <c r="A78" t="inlineStr">
        <is>
          <t>No</t>
        </is>
      </c>
      <c r="B78" t="inlineStr">
        <is>
          <t>QH211 .H37</t>
        </is>
      </c>
      <c r="C78" t="inlineStr">
        <is>
          <t>0                      QH 0211000H  37</t>
        </is>
      </c>
      <c r="D78" t="inlineStr">
        <is>
          <t>Seeing the invisible : the story of the electron microscope / by Gessner G. Hawley.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Hawley, Gessner G. (Gessner Goodrich), 1905-1983.</t>
        </is>
      </c>
      <c r="L78" t="inlineStr">
        <is>
          <t>New York : A.A. Knopf, 1945.</t>
        </is>
      </c>
      <c r="M78" t="inlineStr">
        <is>
          <t>1945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QH </t>
        </is>
      </c>
      <c r="S78" t="n">
        <v>2</v>
      </c>
      <c r="T78" t="n">
        <v>2</v>
      </c>
      <c r="U78" t="inlineStr">
        <is>
          <t>1993-12-01</t>
        </is>
      </c>
      <c r="V78" t="inlineStr">
        <is>
          <t>1993-12-01</t>
        </is>
      </c>
      <c r="W78" t="inlineStr">
        <is>
          <t>1993-08-30</t>
        </is>
      </c>
      <c r="X78" t="inlineStr">
        <is>
          <t>1993-08-30</t>
        </is>
      </c>
      <c r="Y78" t="n">
        <v>315</v>
      </c>
      <c r="Z78" t="n">
        <v>290</v>
      </c>
      <c r="AA78" t="n">
        <v>295</v>
      </c>
      <c r="AB78" t="n">
        <v>6</v>
      </c>
      <c r="AC78" t="n">
        <v>6</v>
      </c>
      <c r="AD78" t="n">
        <v>14</v>
      </c>
      <c r="AE78" t="n">
        <v>14</v>
      </c>
      <c r="AF78" t="n">
        <v>2</v>
      </c>
      <c r="AG78" t="n">
        <v>2</v>
      </c>
      <c r="AH78" t="n">
        <v>4</v>
      </c>
      <c r="AI78" t="n">
        <v>4</v>
      </c>
      <c r="AJ78" t="n">
        <v>6</v>
      </c>
      <c r="AK78" t="n">
        <v>6</v>
      </c>
      <c r="AL78" t="n">
        <v>4</v>
      </c>
      <c r="AM78" t="n">
        <v>4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HYPERLINK("http://catalog.hathitrust.org/Record/001480741","HathiTrust Record")</f>
        <v/>
      </c>
      <c r="AS78">
        <f>HYPERLINK("https://creighton-primo.hosted.exlibrisgroup.com/primo-explore/search?tab=default_tab&amp;search_scope=EVERYTHING&amp;vid=01CRU&amp;lang=en_US&amp;offset=0&amp;query=any,contains,991002969839702656","Catalog Record")</f>
        <v/>
      </c>
      <c r="AT78">
        <f>HYPERLINK("http://www.worldcat.org/oclc/547848","WorldCat Record")</f>
        <v/>
      </c>
      <c r="AU78" t="inlineStr">
        <is>
          <t>264855744:eng</t>
        </is>
      </c>
      <c r="AV78" t="inlineStr">
        <is>
          <t>547848</t>
        </is>
      </c>
      <c r="AW78" t="inlineStr">
        <is>
          <t>991002969839702656</t>
        </is>
      </c>
      <c r="AX78" t="inlineStr">
        <is>
          <t>991002969839702656</t>
        </is>
      </c>
      <c r="AY78" t="inlineStr">
        <is>
          <t>2262857910002656</t>
        </is>
      </c>
      <c r="AZ78" t="inlineStr">
        <is>
          <t>BOOK</t>
        </is>
      </c>
      <c r="BC78" t="inlineStr">
        <is>
          <t>32285001761906</t>
        </is>
      </c>
      <c r="BD78" t="inlineStr">
        <is>
          <t>893592029</t>
        </is>
      </c>
    </row>
    <row r="79">
      <c r="A79" t="inlineStr">
        <is>
          <t>No</t>
        </is>
      </c>
      <c r="B79" t="inlineStr">
        <is>
          <t>QH211 .W9</t>
        </is>
      </c>
      <c r="C79" t="inlineStr">
        <is>
          <t>0                      QH 0211000W  9</t>
        </is>
      </c>
      <c r="D79" t="inlineStr">
        <is>
          <t>Electron microscopy : technique and applications.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Wyckoff, Ralph W. G. (Ralph Walter Graystone), 1897-1994.</t>
        </is>
      </c>
      <c r="L79" t="inlineStr">
        <is>
          <t>New York : Interscience Publishers, 1949.</t>
        </is>
      </c>
      <c r="M79" t="inlineStr">
        <is>
          <t>1949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QH </t>
        </is>
      </c>
      <c r="S79" t="n">
        <v>4</v>
      </c>
      <c r="T79" t="n">
        <v>4</v>
      </c>
      <c r="U79" t="inlineStr">
        <is>
          <t>1994-11-20</t>
        </is>
      </c>
      <c r="V79" t="inlineStr">
        <is>
          <t>1994-11-20</t>
        </is>
      </c>
      <c r="W79" t="inlineStr">
        <is>
          <t>1993-08-30</t>
        </is>
      </c>
      <c r="X79" t="inlineStr">
        <is>
          <t>1993-08-30</t>
        </is>
      </c>
      <c r="Y79" t="n">
        <v>278</v>
      </c>
      <c r="Z79" t="n">
        <v>189</v>
      </c>
      <c r="AA79" t="n">
        <v>199</v>
      </c>
      <c r="AB79" t="n">
        <v>2</v>
      </c>
      <c r="AC79" t="n">
        <v>2</v>
      </c>
      <c r="AD79" t="n">
        <v>7</v>
      </c>
      <c r="AE79" t="n">
        <v>7</v>
      </c>
      <c r="AF79" t="n">
        <v>2</v>
      </c>
      <c r="AG79" t="n">
        <v>2</v>
      </c>
      <c r="AH79" t="n">
        <v>1</v>
      </c>
      <c r="AI79" t="n">
        <v>1</v>
      </c>
      <c r="AJ79" t="n">
        <v>5</v>
      </c>
      <c r="AK79" t="n">
        <v>5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HYPERLINK("http://catalog.hathitrust.org/Record/001480534","HathiTrust Record")</f>
        <v/>
      </c>
      <c r="AS79">
        <f>HYPERLINK("https://creighton-primo.hosted.exlibrisgroup.com/primo-explore/search?tab=default_tab&amp;search_scope=EVERYTHING&amp;vid=01CRU&amp;lang=en_US&amp;offset=0&amp;query=any,contains,991002969599702656","Catalog Record")</f>
        <v/>
      </c>
      <c r="AT79">
        <f>HYPERLINK("http://www.worldcat.org/oclc/547774","WorldCat Record")</f>
        <v/>
      </c>
      <c r="AU79" t="inlineStr">
        <is>
          <t>651376841:eng</t>
        </is>
      </c>
      <c r="AV79" t="inlineStr">
        <is>
          <t>547774</t>
        </is>
      </c>
      <c r="AW79" t="inlineStr">
        <is>
          <t>991002969599702656</t>
        </is>
      </c>
      <c r="AX79" t="inlineStr">
        <is>
          <t>991002969599702656</t>
        </is>
      </c>
      <c r="AY79" t="inlineStr">
        <is>
          <t>2262915570002656</t>
        </is>
      </c>
      <c r="AZ79" t="inlineStr">
        <is>
          <t>BOOK</t>
        </is>
      </c>
      <c r="BC79" t="inlineStr">
        <is>
          <t>32285001761914</t>
        </is>
      </c>
      <c r="BD79" t="inlineStr">
        <is>
          <t>893239744</t>
        </is>
      </c>
    </row>
    <row r="80">
      <c r="A80" t="inlineStr">
        <is>
          <t>No</t>
        </is>
      </c>
      <c r="B80" t="inlineStr">
        <is>
          <t>QH212.E4 B44 1985x</t>
        </is>
      </c>
      <c r="C80" t="inlineStr">
        <is>
          <t>0                      QH 0212000E  4                  B  44          1985x</t>
        </is>
      </c>
      <c r="D80" t="inlineStr">
        <is>
          <t>The beginnings of electron microscopy / edited by Peter W. Hawkes.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Orlando, Fla. : Academic Press, 1985.</t>
        </is>
      </c>
      <c r="M80" t="inlineStr">
        <is>
          <t>1985</t>
        </is>
      </c>
      <c r="O80" t="inlineStr">
        <is>
          <t>eng</t>
        </is>
      </c>
      <c r="P80" t="inlineStr">
        <is>
          <t>flu</t>
        </is>
      </c>
      <c r="Q80" t="inlineStr">
        <is>
          <t>Advances in electronics and electron physics. Supplement ; 16</t>
        </is>
      </c>
      <c r="R80" t="inlineStr">
        <is>
          <t xml:space="preserve">QH </t>
        </is>
      </c>
      <c r="S80" t="n">
        <v>1</v>
      </c>
      <c r="T80" t="n">
        <v>1</v>
      </c>
      <c r="U80" t="inlineStr">
        <is>
          <t>1998-07-21</t>
        </is>
      </c>
      <c r="V80" t="inlineStr">
        <is>
          <t>1998-07-21</t>
        </is>
      </c>
      <c r="W80" t="inlineStr">
        <is>
          <t>1993-05-26</t>
        </is>
      </c>
      <c r="X80" t="inlineStr">
        <is>
          <t>1993-05-26</t>
        </is>
      </c>
      <c r="Y80" t="n">
        <v>338</v>
      </c>
      <c r="Z80" t="n">
        <v>249</v>
      </c>
      <c r="AA80" t="n">
        <v>288</v>
      </c>
      <c r="AB80" t="n">
        <v>2</v>
      </c>
      <c r="AC80" t="n">
        <v>3</v>
      </c>
      <c r="AD80" t="n">
        <v>8</v>
      </c>
      <c r="AE80" t="n">
        <v>11</v>
      </c>
      <c r="AF80" t="n">
        <v>0</v>
      </c>
      <c r="AG80" t="n">
        <v>1</v>
      </c>
      <c r="AH80" t="n">
        <v>3</v>
      </c>
      <c r="AI80" t="n">
        <v>4</v>
      </c>
      <c r="AJ80" t="n">
        <v>5</v>
      </c>
      <c r="AK80" t="n">
        <v>5</v>
      </c>
      <c r="AL80" t="n">
        <v>1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HYPERLINK("http://catalog.hathitrust.org/Record/102034173","HathiTrust Record")</f>
        <v/>
      </c>
      <c r="AS80">
        <f>HYPERLINK("https://creighton-primo.hosted.exlibrisgroup.com/primo-explore/search?tab=default_tab&amp;search_scope=EVERYTHING&amp;vid=01CRU&amp;lang=en_US&amp;offset=0&amp;query=any,contains,991005405059702656","Catalog Record")</f>
        <v/>
      </c>
      <c r="AT80">
        <f>HYPERLINK("http://www.worldcat.org/oclc/11772383","WorldCat Record")</f>
        <v/>
      </c>
      <c r="AU80" t="inlineStr">
        <is>
          <t>54698401:eng</t>
        </is>
      </c>
      <c r="AV80" t="inlineStr">
        <is>
          <t>11772383</t>
        </is>
      </c>
      <c r="AW80" t="inlineStr">
        <is>
          <t>991005405059702656</t>
        </is>
      </c>
      <c r="AX80" t="inlineStr">
        <is>
          <t>991005405059702656</t>
        </is>
      </c>
      <c r="AY80" t="inlineStr">
        <is>
          <t>2272253370002656</t>
        </is>
      </c>
      <c r="AZ80" t="inlineStr">
        <is>
          <t>BOOK</t>
        </is>
      </c>
      <c r="BB80" t="inlineStr">
        <is>
          <t>9780120145782</t>
        </is>
      </c>
      <c r="BC80" t="inlineStr">
        <is>
          <t>32285001713592</t>
        </is>
      </c>
      <c r="BD80" t="inlineStr">
        <is>
          <t>893877490</t>
        </is>
      </c>
    </row>
    <row r="81">
      <c r="A81" t="inlineStr">
        <is>
          <t>No</t>
        </is>
      </c>
      <c r="B81" t="inlineStr">
        <is>
          <t>QH212.E4 H35 1972a</t>
        </is>
      </c>
      <c r="C81" t="inlineStr">
        <is>
          <t>0                      QH 0212000E  4                  H  35          1972a</t>
        </is>
      </c>
      <c r="D81" t="inlineStr">
        <is>
          <t>Electron optics and electron microscopy / [by] P. W. Hawkes.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Hawkes, P. W.</t>
        </is>
      </c>
      <c r="L81" t="inlineStr">
        <is>
          <t>London, Taylor and Francis ; New York : Barnes &amp; Noble Books, 1972.</t>
        </is>
      </c>
      <c r="M81" t="inlineStr">
        <is>
          <t>1972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QH </t>
        </is>
      </c>
      <c r="S81" t="n">
        <v>1</v>
      </c>
      <c r="T81" t="n">
        <v>1</v>
      </c>
      <c r="U81" t="inlineStr">
        <is>
          <t>2005-04-12</t>
        </is>
      </c>
      <c r="V81" t="inlineStr">
        <is>
          <t>2005-04-12</t>
        </is>
      </c>
      <c r="W81" t="inlineStr">
        <is>
          <t>1993-08-30</t>
        </is>
      </c>
      <c r="X81" t="inlineStr">
        <is>
          <t>1993-08-30</t>
        </is>
      </c>
      <c r="Y81" t="n">
        <v>361</v>
      </c>
      <c r="Z81" t="n">
        <v>216</v>
      </c>
      <c r="AA81" t="n">
        <v>222</v>
      </c>
      <c r="AB81" t="n">
        <v>3</v>
      </c>
      <c r="AC81" t="n">
        <v>3</v>
      </c>
      <c r="AD81" t="n">
        <v>6</v>
      </c>
      <c r="AE81" t="n">
        <v>6</v>
      </c>
      <c r="AF81" t="n">
        <v>1</v>
      </c>
      <c r="AG81" t="n">
        <v>1</v>
      </c>
      <c r="AH81" t="n">
        <v>2</v>
      </c>
      <c r="AI81" t="n">
        <v>2</v>
      </c>
      <c r="AJ81" t="n">
        <v>2</v>
      </c>
      <c r="AK81" t="n">
        <v>2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HYPERLINK("http://catalog.hathitrust.org/Record/007470079","HathiTrust Record")</f>
        <v/>
      </c>
      <c r="AS81">
        <f>HYPERLINK("https://creighton-primo.hosted.exlibrisgroup.com/primo-explore/search?tab=default_tab&amp;search_scope=EVERYTHING&amp;vid=01CRU&amp;lang=en_US&amp;offset=0&amp;query=any,contains,991002951639702656","Catalog Record")</f>
        <v/>
      </c>
      <c r="AT81">
        <f>HYPERLINK("http://www.worldcat.org/oclc/539258","WorldCat Record")</f>
        <v/>
      </c>
      <c r="AU81" t="inlineStr">
        <is>
          <t>1564190:eng</t>
        </is>
      </c>
      <c r="AV81" t="inlineStr">
        <is>
          <t>539258</t>
        </is>
      </c>
      <c r="AW81" t="inlineStr">
        <is>
          <t>991002951639702656</t>
        </is>
      </c>
      <c r="AX81" t="inlineStr">
        <is>
          <t>991002951639702656</t>
        </is>
      </c>
      <c r="AY81" t="inlineStr">
        <is>
          <t>2264210730002656</t>
        </is>
      </c>
      <c r="AZ81" t="inlineStr">
        <is>
          <t>BOOK</t>
        </is>
      </c>
      <c r="BB81" t="inlineStr">
        <is>
          <t>9780850660562</t>
        </is>
      </c>
      <c r="BC81" t="inlineStr">
        <is>
          <t>32285001761922</t>
        </is>
      </c>
      <c r="BD81" t="inlineStr">
        <is>
          <t>893524246</t>
        </is>
      </c>
    </row>
    <row r="82">
      <c r="A82" t="inlineStr">
        <is>
          <t>No</t>
        </is>
      </c>
      <c r="B82" t="inlineStr">
        <is>
          <t>QH212.E4 H4513</t>
        </is>
      </c>
      <c r="C82" t="inlineStr">
        <is>
          <t>0                      QH 0212000E  4                  H  4513</t>
        </is>
      </c>
      <c r="D82" t="inlineStr">
        <is>
          <t>Electron microscopy of materials : an introduction / Manfred von Heimendahl ; translated by Ursula E. Wolff.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Heimendahl, Manfred von.</t>
        </is>
      </c>
      <c r="L82" t="inlineStr">
        <is>
          <t>New York, N.Y. : Academic Press, 1980.</t>
        </is>
      </c>
      <c r="M82" t="inlineStr">
        <is>
          <t>1980</t>
        </is>
      </c>
      <c r="O82" t="inlineStr">
        <is>
          <t>eng</t>
        </is>
      </c>
      <c r="P82" t="inlineStr">
        <is>
          <t>nyu</t>
        </is>
      </c>
      <c r="Q82" t="inlineStr">
        <is>
          <t>Material science and technology series</t>
        </is>
      </c>
      <c r="R82" t="inlineStr">
        <is>
          <t xml:space="preserve">QH </t>
        </is>
      </c>
      <c r="S82" t="n">
        <v>1</v>
      </c>
      <c r="T82" t="n">
        <v>1</v>
      </c>
      <c r="U82" t="inlineStr">
        <is>
          <t>1993-08-06</t>
        </is>
      </c>
      <c r="V82" t="inlineStr">
        <is>
          <t>1993-08-06</t>
        </is>
      </c>
      <c r="W82" t="inlineStr">
        <is>
          <t>1993-03-17</t>
        </is>
      </c>
      <c r="X82" t="inlineStr">
        <is>
          <t>1993-03-17</t>
        </is>
      </c>
      <c r="Y82" t="n">
        <v>293</v>
      </c>
      <c r="Z82" t="n">
        <v>218</v>
      </c>
      <c r="AA82" t="n">
        <v>220</v>
      </c>
      <c r="AB82" t="n">
        <v>2</v>
      </c>
      <c r="AC82" t="n">
        <v>2</v>
      </c>
      <c r="AD82" t="n">
        <v>5</v>
      </c>
      <c r="AE82" t="n">
        <v>5</v>
      </c>
      <c r="AF82" t="n">
        <v>2</v>
      </c>
      <c r="AG82" t="n">
        <v>2</v>
      </c>
      <c r="AH82" t="n">
        <v>2</v>
      </c>
      <c r="AI82" t="n">
        <v>2</v>
      </c>
      <c r="AJ82" t="n">
        <v>2</v>
      </c>
      <c r="AK82" t="n">
        <v>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HYPERLINK("http://catalog.hathitrust.org/Record/000722422","HathiTrust Record")</f>
        <v/>
      </c>
      <c r="AS82">
        <f>HYPERLINK("https://creighton-primo.hosted.exlibrisgroup.com/primo-explore/search?tab=default_tab&amp;search_scope=EVERYTHING&amp;vid=01CRU&amp;lang=en_US&amp;offset=0&amp;query=any,contains,991004973619702656","Catalog Record")</f>
        <v/>
      </c>
      <c r="AT82">
        <f>HYPERLINK("http://www.worldcat.org/oclc/6377607","WorldCat Record")</f>
        <v/>
      </c>
      <c r="AU82" t="inlineStr">
        <is>
          <t>399531823:eng</t>
        </is>
      </c>
      <c r="AV82" t="inlineStr">
        <is>
          <t>6377607</t>
        </is>
      </c>
      <c r="AW82" t="inlineStr">
        <is>
          <t>991004973619702656</t>
        </is>
      </c>
      <c r="AX82" t="inlineStr">
        <is>
          <t>991004973619702656</t>
        </is>
      </c>
      <c r="AY82" t="inlineStr">
        <is>
          <t>2269515780002656</t>
        </is>
      </c>
      <c r="AZ82" t="inlineStr">
        <is>
          <t>BOOK</t>
        </is>
      </c>
      <c r="BB82" t="inlineStr">
        <is>
          <t>9780127251509</t>
        </is>
      </c>
      <c r="BC82" t="inlineStr">
        <is>
          <t>32285001552297</t>
        </is>
      </c>
      <c r="BD82" t="inlineStr">
        <is>
          <t>893600442</t>
        </is>
      </c>
    </row>
    <row r="83">
      <c r="A83" t="inlineStr">
        <is>
          <t>No</t>
        </is>
      </c>
      <c r="B83" t="inlineStr">
        <is>
          <t>QH212.E4 S94</t>
        </is>
      </c>
      <c r="C83" t="inlineStr">
        <is>
          <t>0                      QH 0212000E  4                  S  94</t>
        </is>
      </c>
      <c r="D83" t="inlineStr">
        <is>
          <t>Electron microscopes / [by] J. A. Swift.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Swift, John Alan.</t>
        </is>
      </c>
      <c r="L83" t="inlineStr">
        <is>
          <t>London : Kogan Page Ltd. ; New York : Barnes and Noble, 1970.</t>
        </is>
      </c>
      <c r="M83" t="inlineStr">
        <is>
          <t>1970</t>
        </is>
      </c>
      <c r="O83" t="inlineStr">
        <is>
          <t>eng</t>
        </is>
      </c>
      <c r="P83" t="inlineStr">
        <is>
          <t>enk</t>
        </is>
      </c>
      <c r="Q83" t="inlineStr">
        <is>
          <t>Laboratory instruments and techniques series</t>
        </is>
      </c>
      <c r="R83" t="inlineStr">
        <is>
          <t xml:space="preserve">QH </t>
        </is>
      </c>
      <c r="S83" t="n">
        <v>4</v>
      </c>
      <c r="T83" t="n">
        <v>4</v>
      </c>
      <c r="U83" t="inlineStr">
        <is>
          <t>1994-11-20</t>
        </is>
      </c>
      <c r="V83" t="inlineStr">
        <is>
          <t>1994-11-20</t>
        </is>
      </c>
      <c r="W83" t="inlineStr">
        <is>
          <t>1993-08-30</t>
        </is>
      </c>
      <c r="X83" t="inlineStr">
        <is>
          <t>1993-08-30</t>
        </is>
      </c>
      <c r="Y83" t="n">
        <v>243</v>
      </c>
      <c r="Z83" t="n">
        <v>166</v>
      </c>
      <c r="AA83" t="n">
        <v>176</v>
      </c>
      <c r="AB83" t="n">
        <v>3</v>
      </c>
      <c r="AC83" t="n">
        <v>3</v>
      </c>
      <c r="AD83" t="n">
        <v>4</v>
      </c>
      <c r="AE83" t="n">
        <v>4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HYPERLINK("http://catalog.hathitrust.org/Record/007078602","HathiTrust Record")</f>
        <v/>
      </c>
      <c r="AS83">
        <f>HYPERLINK("https://creighton-primo.hosted.exlibrisgroup.com/primo-explore/search?tab=default_tab&amp;search_scope=EVERYTHING&amp;vid=01CRU&amp;lang=en_US&amp;offset=0&amp;query=any,contains,991000724179702656","Catalog Record")</f>
        <v/>
      </c>
      <c r="AT83">
        <f>HYPERLINK("http://www.worldcat.org/oclc/127195","WorldCat Record")</f>
        <v/>
      </c>
      <c r="AU83" t="inlineStr">
        <is>
          <t>1254715:eng</t>
        </is>
      </c>
      <c r="AV83" t="inlineStr">
        <is>
          <t>127195</t>
        </is>
      </c>
      <c r="AW83" t="inlineStr">
        <is>
          <t>991000724179702656</t>
        </is>
      </c>
      <c r="AX83" t="inlineStr">
        <is>
          <t>991000724179702656</t>
        </is>
      </c>
      <c r="AY83" t="inlineStr">
        <is>
          <t>2260944290002656</t>
        </is>
      </c>
      <c r="AZ83" t="inlineStr">
        <is>
          <t>BOOK</t>
        </is>
      </c>
      <c r="BB83" t="inlineStr">
        <is>
          <t>9780850381405</t>
        </is>
      </c>
      <c r="BC83" t="inlineStr">
        <is>
          <t>32285001761930</t>
        </is>
      </c>
      <c r="BD83" t="inlineStr">
        <is>
          <t>893771914</t>
        </is>
      </c>
    </row>
    <row r="84">
      <c r="A84" t="inlineStr">
        <is>
          <t>No</t>
        </is>
      </c>
      <c r="B84" t="inlineStr">
        <is>
          <t>QH212.E4 T52</t>
        </is>
      </c>
      <c r="C84" t="inlineStr">
        <is>
          <t>0                      QH 0212000E  4                  T  52</t>
        </is>
      </c>
      <c r="D84" t="inlineStr">
        <is>
          <t>Scanning electron microscopy: applications to materials and device science [by] P. R. Thornton.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Thornton, P. R.</t>
        </is>
      </c>
      <c r="L84" t="inlineStr">
        <is>
          <t>London, Chapman &amp; Hall, 1968.</t>
        </is>
      </c>
      <c r="M84" t="inlineStr">
        <is>
          <t>1968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QH </t>
        </is>
      </c>
      <c r="S84" t="n">
        <v>1</v>
      </c>
      <c r="T84" t="n">
        <v>1</v>
      </c>
      <c r="U84" t="inlineStr">
        <is>
          <t>2003-03-21</t>
        </is>
      </c>
      <c r="V84" t="inlineStr">
        <is>
          <t>2003-03-21</t>
        </is>
      </c>
      <c r="W84" t="inlineStr">
        <is>
          <t>1997-06-30</t>
        </is>
      </c>
      <c r="X84" t="inlineStr">
        <is>
          <t>1997-06-30</t>
        </is>
      </c>
      <c r="Y84" t="n">
        <v>366</v>
      </c>
      <c r="Z84" t="n">
        <v>253</v>
      </c>
      <c r="AA84" t="n">
        <v>255</v>
      </c>
      <c r="AB84" t="n">
        <v>3</v>
      </c>
      <c r="AC84" t="n">
        <v>3</v>
      </c>
      <c r="AD84" t="n">
        <v>5</v>
      </c>
      <c r="AE84" t="n">
        <v>5</v>
      </c>
      <c r="AF84" t="n">
        <v>1</v>
      </c>
      <c r="AG84" t="n">
        <v>1</v>
      </c>
      <c r="AH84" t="n">
        <v>2</v>
      </c>
      <c r="AI84" t="n">
        <v>2</v>
      </c>
      <c r="AJ84" t="n">
        <v>1</v>
      </c>
      <c r="AK84" t="n">
        <v>1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HYPERLINK("http://catalog.hathitrust.org/Record/001490917","HathiTrust Record")</f>
        <v/>
      </c>
      <c r="AS84">
        <f>HYPERLINK("https://creighton-primo.hosted.exlibrisgroup.com/primo-explore/search?tab=default_tab&amp;search_scope=EVERYTHING&amp;vid=01CRU&amp;lang=en_US&amp;offset=0&amp;query=any,contains,991002817139702656","Catalog Record")</f>
        <v/>
      </c>
      <c r="AT84">
        <f>HYPERLINK("http://www.worldcat.org/oclc/461294","WorldCat Record")</f>
        <v/>
      </c>
      <c r="AU84" t="inlineStr">
        <is>
          <t>308584916:eng</t>
        </is>
      </c>
      <c r="AV84" t="inlineStr">
        <is>
          <t>461294</t>
        </is>
      </c>
      <c r="AW84" t="inlineStr">
        <is>
          <t>991002817139702656</t>
        </is>
      </c>
      <c r="AX84" t="inlineStr">
        <is>
          <t>991002817139702656</t>
        </is>
      </c>
      <c r="AY84" t="inlineStr">
        <is>
          <t>2259519790002656</t>
        </is>
      </c>
      <c r="AZ84" t="inlineStr">
        <is>
          <t>BOOK</t>
        </is>
      </c>
      <c r="BC84" t="inlineStr">
        <is>
          <t>32285002866431</t>
        </is>
      </c>
      <c r="BD84" t="inlineStr">
        <is>
          <t>893251650</t>
        </is>
      </c>
    </row>
    <row r="85">
      <c r="A85" t="inlineStr">
        <is>
          <t>No</t>
        </is>
      </c>
      <c r="B85" t="inlineStr">
        <is>
          <t>QH212.S3 C44 1990</t>
        </is>
      </c>
      <c r="C85" t="inlineStr">
        <is>
          <t>0                      QH 0212000S  3                  C  44          1990</t>
        </is>
      </c>
      <c r="D85" t="inlineStr">
        <is>
          <t>The operation of transmission and scanning electron microscopes / Dawn Chescoe and Peter J. Goodhew.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Chescoe, Dawn.</t>
        </is>
      </c>
      <c r="L85" t="inlineStr">
        <is>
          <t>Oxford ; New York : Oxford University Press ; Oxford : Royal Microscopical Society, 1990.</t>
        </is>
      </c>
      <c r="M85" t="inlineStr">
        <is>
          <t>1990</t>
        </is>
      </c>
      <c r="O85" t="inlineStr">
        <is>
          <t>eng</t>
        </is>
      </c>
      <c r="P85" t="inlineStr">
        <is>
          <t>enk</t>
        </is>
      </c>
      <c r="Q85" t="inlineStr">
        <is>
          <t>Microscopy handbooks ; 20</t>
        </is>
      </c>
      <c r="R85" t="inlineStr">
        <is>
          <t xml:space="preserve">QH </t>
        </is>
      </c>
      <c r="S85" t="n">
        <v>3</v>
      </c>
      <c r="T85" t="n">
        <v>3</v>
      </c>
      <c r="U85" t="inlineStr">
        <is>
          <t>2003-03-21</t>
        </is>
      </c>
      <c r="V85" t="inlineStr">
        <is>
          <t>2003-03-21</t>
        </is>
      </c>
      <c r="W85" t="inlineStr">
        <is>
          <t>1994-05-24</t>
        </is>
      </c>
      <c r="X85" t="inlineStr">
        <is>
          <t>1994-05-24</t>
        </is>
      </c>
      <c r="Y85" t="n">
        <v>271</v>
      </c>
      <c r="Z85" t="n">
        <v>153</v>
      </c>
      <c r="AA85" t="n">
        <v>153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1</v>
      </c>
      <c r="AI85" t="n">
        <v>1</v>
      </c>
      <c r="AJ85" t="n">
        <v>4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HYPERLINK("https://creighton-primo.hosted.exlibrisgroup.com/primo-explore/search?tab=default_tab&amp;search_scope=EVERYTHING&amp;vid=01CRU&amp;lang=en_US&amp;offset=0&amp;query=any,contains,991001629839702656","Catalog Record")</f>
        <v/>
      </c>
      <c r="AT85">
        <f>HYPERLINK("http://www.worldcat.org/oclc/20894663","WorldCat Record")</f>
        <v/>
      </c>
      <c r="AU85" t="inlineStr">
        <is>
          <t>4131198:eng</t>
        </is>
      </c>
      <c r="AV85" t="inlineStr">
        <is>
          <t>20894663</t>
        </is>
      </c>
      <c r="AW85" t="inlineStr">
        <is>
          <t>991001629839702656</t>
        </is>
      </c>
      <c r="AX85" t="inlineStr">
        <is>
          <t>991001629839702656</t>
        </is>
      </c>
      <c r="AY85" t="inlineStr">
        <is>
          <t>2266242330002656</t>
        </is>
      </c>
      <c r="AZ85" t="inlineStr">
        <is>
          <t>BOOK</t>
        </is>
      </c>
      <c r="BB85" t="inlineStr">
        <is>
          <t>9780198564201</t>
        </is>
      </c>
      <c r="BC85" t="inlineStr">
        <is>
          <t>32285001898252</t>
        </is>
      </c>
      <c r="BD85" t="inlineStr">
        <is>
          <t>893315897</t>
        </is>
      </c>
    </row>
    <row r="86">
      <c r="A86" t="inlineStr">
        <is>
          <t>No</t>
        </is>
      </c>
      <c r="B86" t="inlineStr">
        <is>
          <t>QH212.S3 H37 1978</t>
        </is>
      </c>
      <c r="C86" t="inlineStr">
        <is>
          <t>0                      QH 0212000S  3                  H  37          1978</t>
        </is>
      </c>
      <c r="D86" t="inlineStr">
        <is>
          <t>Introduction to biological scanning electron microscopy / M. A. Hayat.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Hayat, M. A., 1940-</t>
        </is>
      </c>
      <c r="L86" t="inlineStr">
        <is>
          <t>Baltimore : University Park Press, c1978.</t>
        </is>
      </c>
      <c r="M86" t="inlineStr">
        <is>
          <t>1978</t>
        </is>
      </c>
      <c r="O86" t="inlineStr">
        <is>
          <t>eng</t>
        </is>
      </c>
      <c r="P86" t="inlineStr">
        <is>
          <t>mdu</t>
        </is>
      </c>
      <c r="R86" t="inlineStr">
        <is>
          <t xml:space="preserve">QH </t>
        </is>
      </c>
      <c r="S86" t="n">
        <v>1</v>
      </c>
      <c r="T86" t="n">
        <v>1</v>
      </c>
      <c r="U86" t="inlineStr">
        <is>
          <t>1993-08-04</t>
        </is>
      </c>
      <c r="V86" t="inlineStr">
        <is>
          <t>1993-08-04</t>
        </is>
      </c>
      <c r="W86" t="inlineStr">
        <is>
          <t>1993-03-17</t>
        </is>
      </c>
      <c r="X86" t="inlineStr">
        <is>
          <t>1993-03-17</t>
        </is>
      </c>
      <c r="Y86" t="n">
        <v>445</v>
      </c>
      <c r="Z86" t="n">
        <v>346</v>
      </c>
      <c r="AA86" t="n">
        <v>360</v>
      </c>
      <c r="AB86" t="n">
        <v>4</v>
      </c>
      <c r="AC86" t="n">
        <v>4</v>
      </c>
      <c r="AD86" t="n">
        <v>12</v>
      </c>
      <c r="AE86" t="n">
        <v>12</v>
      </c>
      <c r="AF86" t="n">
        <v>7</v>
      </c>
      <c r="AG86" t="n">
        <v>7</v>
      </c>
      <c r="AH86" t="n">
        <v>1</v>
      </c>
      <c r="AI86" t="n">
        <v>1</v>
      </c>
      <c r="AJ86" t="n">
        <v>5</v>
      </c>
      <c r="AK86" t="n">
        <v>5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HYPERLINK("http://catalog.hathitrust.org/Record/000752930","HathiTrust Record")</f>
        <v/>
      </c>
      <c r="AS86">
        <f>HYPERLINK("https://creighton-primo.hosted.exlibrisgroup.com/primo-explore/search?tab=default_tab&amp;search_scope=EVERYTHING&amp;vid=01CRU&amp;lang=en_US&amp;offset=0&amp;query=any,contains,991004438449702656","Catalog Record")</f>
        <v/>
      </c>
      <c r="AT86">
        <f>HYPERLINK("http://www.worldcat.org/oclc/3447465","WorldCat Record")</f>
        <v/>
      </c>
      <c r="AU86" t="inlineStr">
        <is>
          <t>308897858:eng</t>
        </is>
      </c>
      <c r="AV86" t="inlineStr">
        <is>
          <t>3447465</t>
        </is>
      </c>
      <c r="AW86" t="inlineStr">
        <is>
          <t>991004438449702656</t>
        </is>
      </c>
      <c r="AX86" t="inlineStr">
        <is>
          <t>991004438449702656</t>
        </is>
      </c>
      <c r="AY86" t="inlineStr">
        <is>
          <t>2268730200002656</t>
        </is>
      </c>
      <c r="AZ86" t="inlineStr">
        <is>
          <t>BOOK</t>
        </is>
      </c>
      <c r="BB86" t="inlineStr">
        <is>
          <t>9780839111733</t>
        </is>
      </c>
      <c r="BC86" t="inlineStr">
        <is>
          <t>32285001552313</t>
        </is>
      </c>
      <c r="BD86" t="inlineStr">
        <is>
          <t>893599837</t>
        </is>
      </c>
    </row>
    <row r="87">
      <c r="A87" t="inlineStr">
        <is>
          <t>No</t>
        </is>
      </c>
      <c r="B87" t="inlineStr">
        <is>
          <t>QH212.S3 S27</t>
        </is>
      </c>
      <c r="C87" t="inlineStr">
        <is>
          <t>0                      QH 0212000S  3                  S  27</t>
        </is>
      </c>
      <c r="D87" t="inlineStr">
        <is>
          <t>The Scanning electron microscope.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London, Cambridge University Press, 1972-</t>
        </is>
      </c>
      <c r="M87" t="inlineStr">
        <is>
          <t>1972</t>
        </is>
      </c>
      <c r="O87" t="inlineStr">
        <is>
          <t>eng</t>
        </is>
      </c>
      <c r="P87" t="inlineStr">
        <is>
          <t>enk</t>
        </is>
      </c>
      <c r="Q87" t="inlineStr">
        <is>
          <t>Cambridge monographs on physics</t>
        </is>
      </c>
      <c r="R87" t="inlineStr">
        <is>
          <t xml:space="preserve">QH </t>
        </is>
      </c>
      <c r="S87" t="n">
        <v>1</v>
      </c>
      <c r="T87" t="n">
        <v>1</v>
      </c>
      <c r="U87" t="inlineStr">
        <is>
          <t>2003-03-21</t>
        </is>
      </c>
      <c r="V87" t="inlineStr">
        <is>
          <t>2003-03-21</t>
        </is>
      </c>
      <c r="W87" t="inlineStr">
        <is>
          <t>1997-06-30</t>
        </is>
      </c>
      <c r="X87" t="inlineStr">
        <is>
          <t>1997-06-30</t>
        </is>
      </c>
      <c r="Y87" t="n">
        <v>406</v>
      </c>
      <c r="Z87" t="n">
        <v>310</v>
      </c>
      <c r="AA87" t="n">
        <v>321</v>
      </c>
      <c r="AB87" t="n">
        <v>3</v>
      </c>
      <c r="AC87" t="n">
        <v>3</v>
      </c>
      <c r="AD87" t="n">
        <v>12</v>
      </c>
      <c r="AE87" t="n">
        <v>12</v>
      </c>
      <c r="AF87" t="n">
        <v>3</v>
      </c>
      <c r="AG87" t="n">
        <v>3</v>
      </c>
      <c r="AH87" t="n">
        <v>3</v>
      </c>
      <c r="AI87" t="n">
        <v>3</v>
      </c>
      <c r="AJ87" t="n">
        <v>6</v>
      </c>
      <c r="AK87" t="n">
        <v>6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HYPERLINK("https://creighton-primo.hosted.exlibrisgroup.com/primo-explore/search?tab=default_tab&amp;search_scope=EVERYTHING&amp;vid=01CRU&amp;lang=en_US&amp;offset=0&amp;query=any,contains,991003019829702656","Catalog Record")</f>
        <v/>
      </c>
      <c r="AT87">
        <f>HYPERLINK("http://www.worldcat.org/oclc/584387","WorldCat Record")</f>
        <v/>
      </c>
      <c r="AU87" t="inlineStr">
        <is>
          <t>353505451:eng</t>
        </is>
      </c>
      <c r="AV87" t="inlineStr">
        <is>
          <t>584387</t>
        </is>
      </c>
      <c r="AW87" t="inlineStr">
        <is>
          <t>991003019829702656</t>
        </is>
      </c>
      <c r="AX87" t="inlineStr">
        <is>
          <t>991003019829702656</t>
        </is>
      </c>
      <c r="AY87" t="inlineStr">
        <is>
          <t>2268963360002656</t>
        </is>
      </c>
      <c r="AZ87" t="inlineStr">
        <is>
          <t>BOOK</t>
        </is>
      </c>
      <c r="BB87" t="inlineStr">
        <is>
          <t>9780521085311</t>
        </is>
      </c>
      <c r="BC87" t="inlineStr">
        <is>
          <t>32285002866480</t>
        </is>
      </c>
      <c r="BD87" t="inlineStr">
        <is>
          <t>893233733</t>
        </is>
      </c>
    </row>
    <row r="88">
      <c r="A88" t="inlineStr">
        <is>
          <t>No</t>
        </is>
      </c>
      <c r="B88" t="inlineStr">
        <is>
          <t>QH212.S33 S27 1997</t>
        </is>
      </c>
      <c r="C88" t="inlineStr">
        <is>
          <t>0                      QH 0212000S  33                 S  27          1997</t>
        </is>
      </c>
      <c r="D88" t="inlineStr">
        <is>
          <t>Exploring scanning probe microscopy with Mathematica / Dror Sarid.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Sarid, Dror.</t>
        </is>
      </c>
      <c r="L88" t="inlineStr">
        <is>
          <t>New York : Wiley, c1997.</t>
        </is>
      </c>
      <c r="M88" t="inlineStr">
        <is>
          <t>1997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QH </t>
        </is>
      </c>
      <c r="S88" t="n">
        <v>1</v>
      </c>
      <c r="T88" t="n">
        <v>1</v>
      </c>
      <c r="U88" t="inlineStr">
        <is>
          <t>2004-12-17</t>
        </is>
      </c>
      <c r="V88" t="inlineStr">
        <is>
          <t>2004-12-17</t>
        </is>
      </c>
      <c r="W88" t="inlineStr">
        <is>
          <t>1998-10-06</t>
        </is>
      </c>
      <c r="X88" t="inlineStr">
        <is>
          <t>1998-10-06</t>
        </is>
      </c>
      <c r="Y88" t="n">
        <v>141</v>
      </c>
      <c r="Z88" t="n">
        <v>88</v>
      </c>
      <c r="AA88" t="n">
        <v>189</v>
      </c>
      <c r="AB88" t="n">
        <v>2</v>
      </c>
      <c r="AC88" t="n">
        <v>2</v>
      </c>
      <c r="AD88" t="n">
        <v>3</v>
      </c>
      <c r="AE88" t="n">
        <v>3</v>
      </c>
      <c r="AF88" t="n">
        <v>0</v>
      </c>
      <c r="AG88" t="n">
        <v>0</v>
      </c>
      <c r="AH88" t="n">
        <v>1</v>
      </c>
      <c r="AI88" t="n">
        <v>1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HYPERLINK("http://catalog.hathitrust.org/Record/009464910","HathiTrust Record")</f>
        <v/>
      </c>
      <c r="AS88">
        <f>HYPERLINK("https://creighton-primo.hosted.exlibrisgroup.com/primo-explore/search?tab=default_tab&amp;search_scope=EVERYTHING&amp;vid=01CRU&amp;lang=en_US&amp;offset=0&amp;query=any,contains,991002807659702656","Catalog Record")</f>
        <v/>
      </c>
      <c r="AT88">
        <f>HYPERLINK("http://www.worldcat.org/oclc/36884370","WorldCat Record")</f>
        <v/>
      </c>
      <c r="AU88" t="inlineStr">
        <is>
          <t>548749:eng</t>
        </is>
      </c>
      <c r="AV88" t="inlineStr">
        <is>
          <t>36884370</t>
        </is>
      </c>
      <c r="AW88" t="inlineStr">
        <is>
          <t>991002807659702656</t>
        </is>
      </c>
      <c r="AX88" t="inlineStr">
        <is>
          <t>991002807659702656</t>
        </is>
      </c>
      <c r="AY88" t="inlineStr">
        <is>
          <t>2269036840002656</t>
        </is>
      </c>
      <c r="AZ88" t="inlineStr">
        <is>
          <t>BOOK</t>
        </is>
      </c>
      <c r="BB88" t="inlineStr">
        <is>
          <t>9780471168188</t>
        </is>
      </c>
      <c r="BC88" t="inlineStr">
        <is>
          <t>32285003471959</t>
        </is>
      </c>
      <c r="BD88" t="inlineStr">
        <is>
          <t>893245673</t>
        </is>
      </c>
    </row>
    <row r="89">
      <c r="A89" t="inlineStr">
        <is>
          <t>No</t>
        </is>
      </c>
      <c r="B89" t="inlineStr">
        <is>
          <t>QH212.S35 S265 1993</t>
        </is>
      </c>
      <c r="C89" t="inlineStr">
        <is>
          <t>0                      QH 0212000S  35                 S  265         1993</t>
        </is>
      </c>
      <c r="D89" t="inlineStr">
        <is>
          <t>Scanning tunneling microscopy / edited by Joseph A. Stroscio and William J. Kaiser.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Boston : Academic Press, c1993.</t>
        </is>
      </c>
      <c r="M89" t="inlineStr">
        <is>
          <t>1993</t>
        </is>
      </c>
      <c r="O89" t="inlineStr">
        <is>
          <t>eng</t>
        </is>
      </c>
      <c r="P89" t="inlineStr">
        <is>
          <t>mau</t>
        </is>
      </c>
      <c r="Q89" t="inlineStr">
        <is>
          <t>Methods of experimental physics ; v. 27</t>
        </is>
      </c>
      <c r="R89" t="inlineStr">
        <is>
          <t xml:space="preserve">QH </t>
        </is>
      </c>
      <c r="S89" t="n">
        <v>3</v>
      </c>
      <c r="T89" t="n">
        <v>3</v>
      </c>
      <c r="U89" t="inlineStr">
        <is>
          <t>2010-11-15</t>
        </is>
      </c>
      <c r="V89" t="inlineStr">
        <is>
          <t>2010-11-15</t>
        </is>
      </c>
      <c r="W89" t="inlineStr">
        <is>
          <t>1995-07-12</t>
        </is>
      </c>
      <c r="X89" t="inlineStr">
        <is>
          <t>1995-07-12</t>
        </is>
      </c>
      <c r="Y89" t="n">
        <v>356</v>
      </c>
      <c r="Z89" t="n">
        <v>264</v>
      </c>
      <c r="AA89" t="n">
        <v>330</v>
      </c>
      <c r="AB89" t="n">
        <v>2</v>
      </c>
      <c r="AC89" t="n">
        <v>2</v>
      </c>
      <c r="AD89" t="n">
        <v>14</v>
      </c>
      <c r="AE89" t="n">
        <v>19</v>
      </c>
      <c r="AF89" t="n">
        <v>5</v>
      </c>
      <c r="AG89" t="n">
        <v>7</v>
      </c>
      <c r="AH89" t="n">
        <v>4</v>
      </c>
      <c r="AI89" t="n">
        <v>6</v>
      </c>
      <c r="AJ89" t="n">
        <v>12</v>
      </c>
      <c r="AK89" t="n">
        <v>14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HYPERLINK("https://creighton-primo.hosted.exlibrisgroup.com/primo-explore/search?tab=default_tab&amp;search_scope=EVERYTHING&amp;vid=01CRU&amp;lang=en_US&amp;offset=0&amp;query=any,contains,991002278699702656","Catalog Record")</f>
        <v/>
      </c>
      <c r="AT89">
        <f>HYPERLINK("http://www.worldcat.org/oclc/29549709","WorldCat Record")</f>
        <v/>
      </c>
      <c r="AU89" t="inlineStr">
        <is>
          <t>751760525:eng</t>
        </is>
      </c>
      <c r="AV89" t="inlineStr">
        <is>
          <t>29549709</t>
        </is>
      </c>
      <c r="AW89" t="inlineStr">
        <is>
          <t>991002278699702656</t>
        </is>
      </c>
      <c r="AX89" t="inlineStr">
        <is>
          <t>991002278699702656</t>
        </is>
      </c>
      <c r="AY89" t="inlineStr">
        <is>
          <t>2270288370002656</t>
        </is>
      </c>
      <c r="AZ89" t="inlineStr">
        <is>
          <t>BOOK</t>
        </is>
      </c>
      <c r="BB89" t="inlineStr">
        <is>
          <t>9780124759725</t>
        </is>
      </c>
      <c r="BC89" t="inlineStr">
        <is>
          <t>32285002058450</t>
        </is>
      </c>
      <c r="BD89" t="inlineStr">
        <is>
          <t>893892366</t>
        </is>
      </c>
    </row>
    <row r="90">
      <c r="A90" t="inlineStr">
        <is>
          <t>No</t>
        </is>
      </c>
      <c r="B90" t="inlineStr">
        <is>
          <t>QH222 .I56 1997</t>
        </is>
      </c>
      <c r="C90" t="inlineStr">
        <is>
          <t>0                      QH 0222000I  56          1997</t>
        </is>
      </c>
      <c r="D90" t="inlineStr">
        <is>
          <t>Video microscopy : the fundamentals / Shinya Inoué and Kenneth R. Spring.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Inoué, Shinya.</t>
        </is>
      </c>
      <c r="L90" t="inlineStr">
        <is>
          <t>New York : Plenum Press, c1997.</t>
        </is>
      </c>
      <c r="M90" t="inlineStr">
        <is>
          <t>1997</t>
        </is>
      </c>
      <c r="N90" t="inlineStr">
        <is>
          <t>2nd ed.</t>
        </is>
      </c>
      <c r="O90" t="inlineStr">
        <is>
          <t>eng</t>
        </is>
      </c>
      <c r="P90" t="inlineStr">
        <is>
          <t>nyu</t>
        </is>
      </c>
      <c r="Q90" t="inlineStr">
        <is>
          <t>The language of science</t>
        </is>
      </c>
      <c r="R90" t="inlineStr">
        <is>
          <t xml:space="preserve">QH </t>
        </is>
      </c>
      <c r="S90" t="n">
        <v>5</v>
      </c>
      <c r="T90" t="n">
        <v>5</v>
      </c>
      <c r="U90" t="inlineStr">
        <is>
          <t>2000-02-14</t>
        </is>
      </c>
      <c r="V90" t="inlineStr">
        <is>
          <t>2000-02-14</t>
        </is>
      </c>
      <c r="W90" t="inlineStr">
        <is>
          <t>1998-03-23</t>
        </is>
      </c>
      <c r="X90" t="inlineStr">
        <is>
          <t>1998-03-23</t>
        </is>
      </c>
      <c r="Y90" t="n">
        <v>286</v>
      </c>
      <c r="Z90" t="n">
        <v>220</v>
      </c>
      <c r="AA90" t="n">
        <v>226</v>
      </c>
      <c r="AB90" t="n">
        <v>2</v>
      </c>
      <c r="AC90" t="n">
        <v>2</v>
      </c>
      <c r="AD90" t="n">
        <v>8</v>
      </c>
      <c r="AE90" t="n">
        <v>8</v>
      </c>
      <c r="AF90" t="n">
        <v>2</v>
      </c>
      <c r="AG90" t="n">
        <v>2</v>
      </c>
      <c r="AH90" t="n">
        <v>2</v>
      </c>
      <c r="AI90" t="n">
        <v>2</v>
      </c>
      <c r="AJ90" t="n">
        <v>6</v>
      </c>
      <c r="AK90" t="n">
        <v>6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HYPERLINK("https://creighton-primo.hosted.exlibrisgroup.com/primo-explore/search?tab=default_tab&amp;search_scope=EVERYTHING&amp;vid=01CRU&amp;lang=en_US&amp;offset=0&amp;query=any,contains,991002826089702656","Catalog Record")</f>
        <v/>
      </c>
      <c r="AT90">
        <f>HYPERLINK("http://www.worldcat.org/oclc/37211298","WorldCat Record")</f>
        <v/>
      </c>
      <c r="AU90" t="inlineStr">
        <is>
          <t>5090355716:eng</t>
        </is>
      </c>
      <c r="AV90" t="inlineStr">
        <is>
          <t>37211298</t>
        </is>
      </c>
      <c r="AW90" t="inlineStr">
        <is>
          <t>991002826089702656</t>
        </is>
      </c>
      <c r="AX90" t="inlineStr">
        <is>
          <t>991002826089702656</t>
        </is>
      </c>
      <c r="AY90" t="inlineStr">
        <is>
          <t>2258832930002656</t>
        </is>
      </c>
      <c r="AZ90" t="inlineStr">
        <is>
          <t>BOOK</t>
        </is>
      </c>
      <c r="BB90" t="inlineStr">
        <is>
          <t>9780306455315</t>
        </is>
      </c>
      <c r="BC90" t="inlineStr">
        <is>
          <t>32285003359576</t>
        </is>
      </c>
      <c r="BD90" t="inlineStr">
        <is>
          <t>893597928</t>
        </is>
      </c>
    </row>
    <row r="91">
      <c r="A91" t="inlineStr">
        <is>
          <t>No</t>
        </is>
      </c>
      <c r="B91" t="inlineStr">
        <is>
          <t>QH224 .C64 2002</t>
        </is>
      </c>
      <c r="C91" t="inlineStr">
        <is>
          <t>0                      QH 0224000C  64          2002</t>
        </is>
      </c>
      <c r="D91" t="inlineStr">
        <is>
          <t>Confocal and two-photon microscopy : foundations, applications, and advances / edited by Alberto Diaspro.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Wiley-Liss, c2002.</t>
        </is>
      </c>
      <c r="M91" t="inlineStr">
        <is>
          <t>2002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QH </t>
        </is>
      </c>
      <c r="S91" t="n">
        <v>1</v>
      </c>
      <c r="T91" t="n">
        <v>1</v>
      </c>
      <c r="U91" t="inlineStr">
        <is>
          <t>2007-02-06</t>
        </is>
      </c>
      <c r="V91" t="inlineStr">
        <is>
          <t>2007-02-06</t>
        </is>
      </c>
      <c r="W91" t="inlineStr">
        <is>
          <t>2007-02-06</t>
        </is>
      </c>
      <c r="X91" t="inlineStr">
        <is>
          <t>2007-02-06</t>
        </is>
      </c>
      <c r="Y91" t="n">
        <v>195</v>
      </c>
      <c r="Z91" t="n">
        <v>129</v>
      </c>
      <c r="AA91" t="n">
        <v>129</v>
      </c>
      <c r="AB91" t="n">
        <v>3</v>
      </c>
      <c r="AC91" t="n">
        <v>3</v>
      </c>
      <c r="AD91" t="n">
        <v>8</v>
      </c>
      <c r="AE91" t="n">
        <v>8</v>
      </c>
      <c r="AF91" t="n">
        <v>0</v>
      </c>
      <c r="AG91" t="n">
        <v>0</v>
      </c>
      <c r="AH91" t="n">
        <v>4</v>
      </c>
      <c r="AI91" t="n">
        <v>4</v>
      </c>
      <c r="AJ91" t="n">
        <v>4</v>
      </c>
      <c r="AK91" t="n">
        <v>4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HYPERLINK("https://creighton-primo.hosted.exlibrisgroup.com/primo-explore/search?tab=default_tab&amp;search_scope=EVERYTHING&amp;vid=01CRU&amp;lang=en_US&amp;offset=0&amp;query=any,contains,991005028489702656","Catalog Record")</f>
        <v/>
      </c>
      <c r="AT91">
        <f>HYPERLINK("http://www.worldcat.org/oclc/47013915","WorldCat Record")</f>
        <v/>
      </c>
      <c r="AU91" t="inlineStr">
        <is>
          <t>35984383:eng</t>
        </is>
      </c>
      <c r="AV91" t="inlineStr">
        <is>
          <t>47013915</t>
        </is>
      </c>
      <c r="AW91" t="inlineStr">
        <is>
          <t>991005028489702656</t>
        </is>
      </c>
      <c r="AX91" t="inlineStr">
        <is>
          <t>991005028489702656</t>
        </is>
      </c>
      <c r="AY91" t="inlineStr">
        <is>
          <t>2255224590002656</t>
        </is>
      </c>
      <c r="AZ91" t="inlineStr">
        <is>
          <t>BOOK</t>
        </is>
      </c>
      <c r="BB91" t="inlineStr">
        <is>
          <t>9780471409205</t>
        </is>
      </c>
      <c r="BC91" t="inlineStr">
        <is>
          <t>32285005275242</t>
        </is>
      </c>
      <c r="BD91" t="inlineStr">
        <is>
          <t>893242091</t>
        </is>
      </c>
    </row>
    <row r="92">
      <c r="A92" t="inlineStr">
        <is>
          <t>No</t>
        </is>
      </c>
      <c r="B92" t="inlineStr">
        <is>
          <t>QH231 .H8</t>
        </is>
      </c>
      <c r="C92" t="inlineStr">
        <is>
          <t>0                      QH 0231000H  8</t>
        </is>
      </c>
      <c r="D92" t="inlineStr">
        <is>
          <t>Animal tissue techniques [by] Gretchen L. Humason.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Humason, Gretchen L.</t>
        </is>
      </c>
      <c r="L92" t="inlineStr">
        <is>
          <t>San Francisco, W. H. Freeman [1967]</t>
        </is>
      </c>
      <c r="M92" t="inlineStr">
        <is>
          <t>1967</t>
        </is>
      </c>
      <c r="N92" t="inlineStr">
        <is>
          <t>2d ed.</t>
        </is>
      </c>
      <c r="O92" t="inlineStr">
        <is>
          <t>eng</t>
        </is>
      </c>
      <c r="P92" t="inlineStr">
        <is>
          <t>cau</t>
        </is>
      </c>
      <c r="Q92" t="inlineStr">
        <is>
          <t>A Series of books in biology</t>
        </is>
      </c>
      <c r="R92" t="inlineStr">
        <is>
          <t xml:space="preserve">QH </t>
        </is>
      </c>
      <c r="S92" t="n">
        <v>2</v>
      </c>
      <c r="T92" t="n">
        <v>2</v>
      </c>
      <c r="U92" t="inlineStr">
        <is>
          <t>1998-08-21</t>
        </is>
      </c>
      <c r="V92" t="inlineStr">
        <is>
          <t>1998-08-21</t>
        </is>
      </c>
      <c r="W92" t="inlineStr">
        <is>
          <t>1997-06-30</t>
        </is>
      </c>
      <c r="X92" t="inlineStr">
        <is>
          <t>1997-06-30</t>
        </is>
      </c>
      <c r="Y92" t="n">
        <v>453</v>
      </c>
      <c r="Z92" t="n">
        <v>371</v>
      </c>
      <c r="AA92" t="n">
        <v>934</v>
      </c>
      <c r="AB92" t="n">
        <v>4</v>
      </c>
      <c r="AC92" t="n">
        <v>5</v>
      </c>
      <c r="AD92" t="n">
        <v>11</v>
      </c>
      <c r="AE92" t="n">
        <v>34</v>
      </c>
      <c r="AF92" t="n">
        <v>2</v>
      </c>
      <c r="AG92" t="n">
        <v>14</v>
      </c>
      <c r="AH92" t="n">
        <v>3</v>
      </c>
      <c r="AI92" t="n">
        <v>8</v>
      </c>
      <c r="AJ92" t="n">
        <v>6</v>
      </c>
      <c r="AK92" t="n">
        <v>18</v>
      </c>
      <c r="AL92" t="n">
        <v>3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HYPERLINK("http://catalog.hathitrust.org/Record/001553017","HathiTrust Record")</f>
        <v/>
      </c>
      <c r="AS92">
        <f>HYPERLINK("https://creighton-primo.hosted.exlibrisgroup.com/primo-explore/search?tab=default_tab&amp;search_scope=EVERYTHING&amp;vid=01CRU&amp;lang=en_US&amp;offset=0&amp;query=any,contains,991002289739702656","Catalog Record")</f>
        <v/>
      </c>
      <c r="AT92">
        <f>HYPERLINK("http://www.worldcat.org/oclc/312605","WorldCat Record")</f>
        <v/>
      </c>
      <c r="AU92" t="inlineStr">
        <is>
          <t>285956:eng</t>
        </is>
      </c>
      <c r="AV92" t="inlineStr">
        <is>
          <t>312605</t>
        </is>
      </c>
      <c r="AW92" t="inlineStr">
        <is>
          <t>991002289739702656</t>
        </is>
      </c>
      <c r="AX92" t="inlineStr">
        <is>
          <t>991002289739702656</t>
        </is>
      </c>
      <c r="AY92" t="inlineStr">
        <is>
          <t>2271051290002656</t>
        </is>
      </c>
      <c r="AZ92" t="inlineStr">
        <is>
          <t>BOOK</t>
        </is>
      </c>
      <c r="BC92" t="inlineStr">
        <is>
          <t>32285002866563</t>
        </is>
      </c>
      <c r="BD92" t="inlineStr">
        <is>
          <t>893792284</t>
        </is>
      </c>
    </row>
    <row r="93">
      <c r="A93" t="inlineStr">
        <is>
          <t>No</t>
        </is>
      </c>
      <c r="B93" t="inlineStr">
        <is>
          <t>QH26 .B68</t>
        </is>
      </c>
      <c r="C93" t="inlineStr">
        <is>
          <t>0                      QH 0026000B  68</t>
        </is>
      </c>
      <c r="D93" t="inlineStr">
        <is>
          <t>Speaking for nature : how literary naturalists from Henry Thoreau to Rachel Carson have shaped America / Paul Brooks ; with drawings by the author.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Brooks, Paul, 1909-1998.</t>
        </is>
      </c>
      <c r="L93" t="inlineStr">
        <is>
          <t>Boston : Houghton Mifflin Co., 1980.</t>
        </is>
      </c>
      <c r="M93" t="inlineStr">
        <is>
          <t>1980</t>
        </is>
      </c>
      <c r="O93" t="inlineStr">
        <is>
          <t>eng</t>
        </is>
      </c>
      <c r="P93" t="inlineStr">
        <is>
          <t>mau</t>
        </is>
      </c>
      <c r="R93" t="inlineStr">
        <is>
          <t xml:space="preserve">QH </t>
        </is>
      </c>
      <c r="S93" t="n">
        <v>5</v>
      </c>
      <c r="T93" t="n">
        <v>5</v>
      </c>
      <c r="U93" t="inlineStr">
        <is>
          <t>1994-03-07</t>
        </is>
      </c>
      <c r="V93" t="inlineStr">
        <is>
          <t>1994-03-07</t>
        </is>
      </c>
      <c r="W93" t="inlineStr">
        <is>
          <t>1993-02-22</t>
        </is>
      </c>
      <c r="X93" t="inlineStr">
        <is>
          <t>1993-02-22</t>
        </is>
      </c>
      <c r="Y93" t="n">
        <v>826</v>
      </c>
      <c r="Z93" t="n">
        <v>774</v>
      </c>
      <c r="AA93" t="n">
        <v>861</v>
      </c>
      <c r="AB93" t="n">
        <v>5</v>
      </c>
      <c r="AC93" t="n">
        <v>5</v>
      </c>
      <c r="AD93" t="n">
        <v>19</v>
      </c>
      <c r="AE93" t="n">
        <v>24</v>
      </c>
      <c r="AF93" t="n">
        <v>6</v>
      </c>
      <c r="AG93" t="n">
        <v>10</v>
      </c>
      <c r="AH93" t="n">
        <v>7</v>
      </c>
      <c r="AI93" t="n">
        <v>7</v>
      </c>
      <c r="AJ93" t="n">
        <v>10</v>
      </c>
      <c r="AK93" t="n">
        <v>12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HYPERLINK("http://catalog.hathitrust.org/Record/006202130","HathiTrust Record")</f>
        <v/>
      </c>
      <c r="AS93">
        <f>HYPERLINK("https://creighton-primo.hosted.exlibrisgroup.com/primo-explore/search?tab=default_tab&amp;search_scope=EVERYTHING&amp;vid=01CRU&amp;lang=en_US&amp;offset=0&amp;query=any,contains,991004980449702656","Catalog Record")</f>
        <v/>
      </c>
      <c r="AT93">
        <f>HYPERLINK("http://www.worldcat.org/oclc/6421778","WorldCat Record")</f>
        <v/>
      </c>
      <c r="AU93" t="inlineStr">
        <is>
          <t>428485381:eng</t>
        </is>
      </c>
      <c r="AV93" t="inlineStr">
        <is>
          <t>6421778</t>
        </is>
      </c>
      <c r="AW93" t="inlineStr">
        <is>
          <t>991004980449702656</t>
        </is>
      </c>
      <c r="AX93" t="inlineStr">
        <is>
          <t>991004980449702656</t>
        </is>
      </c>
      <c r="AY93" t="inlineStr">
        <is>
          <t>2270396170002656</t>
        </is>
      </c>
      <c r="AZ93" t="inlineStr">
        <is>
          <t>BOOK</t>
        </is>
      </c>
      <c r="BB93" t="inlineStr">
        <is>
          <t>9780395296103</t>
        </is>
      </c>
      <c r="BC93" t="inlineStr">
        <is>
          <t>32285001550788</t>
        </is>
      </c>
      <c r="BD93" t="inlineStr">
        <is>
          <t>893319847</t>
        </is>
      </c>
    </row>
    <row r="94">
      <c r="A94" t="inlineStr">
        <is>
          <t>No</t>
        </is>
      </c>
      <c r="B94" t="inlineStr">
        <is>
          <t>QH26 .E24</t>
        </is>
      </c>
      <c r="C94" t="inlineStr">
        <is>
          <t>0                      QH 0026000E  24</t>
        </is>
      </c>
      <c r="D94" t="inlineStr">
        <is>
          <t>Great scientists speak again / by Richard M. Eakin.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Eakin, Richard M., 1910-1999.</t>
        </is>
      </c>
      <c r="L94" t="inlineStr">
        <is>
          <t>Berkeley : University of California Press, c1975.</t>
        </is>
      </c>
      <c r="M94" t="inlineStr">
        <is>
          <t>1975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QH </t>
        </is>
      </c>
      <c r="S94" t="n">
        <v>4</v>
      </c>
      <c r="T94" t="n">
        <v>4</v>
      </c>
      <c r="U94" t="inlineStr">
        <is>
          <t>1998-02-15</t>
        </is>
      </c>
      <c r="V94" t="inlineStr">
        <is>
          <t>1998-02-15</t>
        </is>
      </c>
      <c r="W94" t="inlineStr">
        <is>
          <t>1997-06-26</t>
        </is>
      </c>
      <c r="X94" t="inlineStr">
        <is>
          <t>1997-06-26</t>
        </is>
      </c>
      <c r="Y94" t="n">
        <v>479</v>
      </c>
      <c r="Z94" t="n">
        <v>415</v>
      </c>
      <c r="AA94" t="n">
        <v>434</v>
      </c>
      <c r="AB94" t="n">
        <v>5</v>
      </c>
      <c r="AC94" t="n">
        <v>5</v>
      </c>
      <c r="AD94" t="n">
        <v>11</v>
      </c>
      <c r="AE94" t="n">
        <v>11</v>
      </c>
      <c r="AF94" t="n">
        <v>1</v>
      </c>
      <c r="AG94" t="n">
        <v>1</v>
      </c>
      <c r="AH94" t="n">
        <v>1</v>
      </c>
      <c r="AI94" t="n">
        <v>1</v>
      </c>
      <c r="AJ94" t="n">
        <v>5</v>
      </c>
      <c r="AK94" t="n">
        <v>5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HYPERLINK("https://creighton-primo.hosted.exlibrisgroup.com/primo-explore/search?tab=default_tab&amp;search_scope=EVERYTHING&amp;vid=01CRU&amp;lang=en_US&amp;offset=0&amp;query=any,contains,991003883209702656","Catalog Record")</f>
        <v/>
      </c>
      <c r="AT94">
        <f>HYPERLINK("http://www.worldcat.org/oclc/1733175","WorldCat Record")</f>
        <v/>
      </c>
      <c r="AU94" t="inlineStr">
        <is>
          <t>575651:eng</t>
        </is>
      </c>
      <c r="AV94" t="inlineStr">
        <is>
          <t>1733175</t>
        </is>
      </c>
      <c r="AW94" t="inlineStr">
        <is>
          <t>991003883209702656</t>
        </is>
      </c>
      <c r="AX94" t="inlineStr">
        <is>
          <t>991003883209702656</t>
        </is>
      </c>
      <c r="AY94" t="inlineStr">
        <is>
          <t>2256852890002656</t>
        </is>
      </c>
      <c r="AZ94" t="inlineStr">
        <is>
          <t>BOOK</t>
        </is>
      </c>
      <c r="BB94" t="inlineStr">
        <is>
          <t>9780520028760</t>
        </is>
      </c>
      <c r="BC94" t="inlineStr">
        <is>
          <t>32285002854882</t>
        </is>
      </c>
      <c r="BD94" t="inlineStr">
        <is>
          <t>893423085</t>
        </is>
      </c>
    </row>
    <row r="95">
      <c r="A95" t="inlineStr">
        <is>
          <t>No</t>
        </is>
      </c>
      <c r="B95" t="inlineStr">
        <is>
          <t>QH271 .H79 1961</t>
        </is>
      </c>
      <c r="C95" t="inlineStr">
        <is>
          <t>0                      QH 0271000H  79          1961</t>
        </is>
      </c>
      <c r="D95" t="inlineStr">
        <is>
          <t>Micrographia ; or, Some physiological descriptions of minute bodies made by magnifying glasses, with observations and inquiries thereupon / by Robert Hooke ; with a pref. by R.T. Gunther.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Hooke, Robert, 1635-1703.</t>
        </is>
      </c>
      <c r="L95" t="inlineStr">
        <is>
          <t>New York : Dover Publications, 1961.</t>
        </is>
      </c>
      <c r="M95" t="inlineStr">
        <is>
          <t>1961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QH </t>
        </is>
      </c>
      <c r="S95" t="n">
        <v>1</v>
      </c>
      <c r="T95" t="n">
        <v>1</v>
      </c>
      <c r="U95" t="inlineStr">
        <is>
          <t>2001-07-12</t>
        </is>
      </c>
      <c r="V95" t="inlineStr">
        <is>
          <t>2001-07-12</t>
        </is>
      </c>
      <c r="W95" t="inlineStr">
        <is>
          <t>2001-07-11</t>
        </is>
      </c>
      <c r="X95" t="inlineStr">
        <is>
          <t>2001-07-11</t>
        </is>
      </c>
      <c r="Y95" t="n">
        <v>536</v>
      </c>
      <c r="Z95" t="n">
        <v>466</v>
      </c>
      <c r="AA95" t="n">
        <v>817</v>
      </c>
      <c r="AB95" t="n">
        <v>3</v>
      </c>
      <c r="AC95" t="n">
        <v>7</v>
      </c>
      <c r="AD95" t="n">
        <v>17</v>
      </c>
      <c r="AE95" t="n">
        <v>33</v>
      </c>
      <c r="AF95" t="n">
        <v>6</v>
      </c>
      <c r="AG95" t="n">
        <v>11</v>
      </c>
      <c r="AH95" t="n">
        <v>3</v>
      </c>
      <c r="AI95" t="n">
        <v>8</v>
      </c>
      <c r="AJ95" t="n">
        <v>9</v>
      </c>
      <c r="AK95" t="n">
        <v>13</v>
      </c>
      <c r="AL95" t="n">
        <v>2</v>
      </c>
      <c r="AM95" t="n">
        <v>6</v>
      </c>
      <c r="AN95" t="n">
        <v>0</v>
      </c>
      <c r="AO95" t="n">
        <v>1</v>
      </c>
      <c r="AP95" t="inlineStr">
        <is>
          <t>No</t>
        </is>
      </c>
      <c r="AQ95" t="inlineStr">
        <is>
          <t>No</t>
        </is>
      </c>
      <c r="AR95">
        <f>HYPERLINK("http://catalog.hathitrust.org/Record/001490985","HathiTrust Record")</f>
        <v/>
      </c>
      <c r="AS95">
        <f>HYPERLINK("https://creighton-primo.hosted.exlibrisgroup.com/primo-explore/search?tab=default_tab&amp;search_scope=EVERYTHING&amp;vid=01CRU&amp;lang=en_US&amp;offset=0&amp;query=any,contains,991003567109702656","Catalog Record")</f>
        <v/>
      </c>
      <c r="AT95">
        <f>HYPERLINK("http://www.worldcat.org/oclc/232959","WorldCat Record")</f>
        <v/>
      </c>
      <c r="AU95" t="inlineStr">
        <is>
          <t>13111016:eng</t>
        </is>
      </c>
      <c r="AV95" t="inlineStr">
        <is>
          <t>232959</t>
        </is>
      </c>
      <c r="AW95" t="inlineStr">
        <is>
          <t>991003567109702656</t>
        </is>
      </c>
      <c r="AX95" t="inlineStr">
        <is>
          <t>991003567109702656</t>
        </is>
      </c>
      <c r="AY95" t="inlineStr">
        <is>
          <t>2258609410002656</t>
        </is>
      </c>
      <c r="AZ95" t="inlineStr">
        <is>
          <t>BOOK</t>
        </is>
      </c>
      <c r="BC95" t="inlineStr">
        <is>
          <t>32285004331897</t>
        </is>
      </c>
      <c r="BD95" t="inlineStr">
        <is>
          <t>893611175</t>
        </is>
      </c>
    </row>
    <row r="96">
      <c r="A96" t="inlineStr">
        <is>
          <t>No</t>
        </is>
      </c>
      <c r="B96" t="inlineStr">
        <is>
          <t>QH273 .S313 1964</t>
        </is>
      </c>
      <c r="C96" t="inlineStr">
        <is>
          <t>0                      QH 0273000S  313         1964</t>
        </is>
      </c>
      <c r="D96" t="inlineStr">
        <is>
          <t>Atlas of electron microscopy; biological applications, compiled by F. Scanga.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Scanga, F. (Franco)</t>
        </is>
      </c>
      <c r="L96" t="inlineStr">
        <is>
          <t>Amsterdam, New York, Elsevier Pub. Co. [sole distributors for the U.S. and Canada, American Elsevier Pub. Co., New York] 1964.</t>
        </is>
      </c>
      <c r="M96" t="inlineStr">
        <is>
          <t>1964</t>
        </is>
      </c>
      <c r="N96" t="inlineStr">
        <is>
          <t>[Rev. ed.].</t>
        </is>
      </c>
      <c r="O96" t="inlineStr">
        <is>
          <t>eng</t>
        </is>
      </c>
      <c r="P96" t="inlineStr">
        <is>
          <t xml:space="preserve">ne </t>
        </is>
      </c>
      <c r="R96" t="inlineStr">
        <is>
          <t xml:space="preserve">QH </t>
        </is>
      </c>
      <c r="S96" t="n">
        <v>1</v>
      </c>
      <c r="T96" t="n">
        <v>1</v>
      </c>
      <c r="U96" t="inlineStr">
        <is>
          <t>2005-04-12</t>
        </is>
      </c>
      <c r="V96" t="inlineStr">
        <is>
          <t>2005-04-12</t>
        </is>
      </c>
      <c r="W96" t="inlineStr">
        <is>
          <t>1997-06-30</t>
        </is>
      </c>
      <c r="X96" t="inlineStr">
        <is>
          <t>1997-06-30</t>
        </is>
      </c>
      <c r="Y96" t="n">
        <v>310</v>
      </c>
      <c r="Z96" t="n">
        <v>211</v>
      </c>
      <c r="AA96" t="n">
        <v>228</v>
      </c>
      <c r="AB96" t="n">
        <v>2</v>
      </c>
      <c r="AC96" t="n">
        <v>2</v>
      </c>
      <c r="AD96" t="n">
        <v>10</v>
      </c>
      <c r="AE96" t="n">
        <v>10</v>
      </c>
      <c r="AF96" t="n">
        <v>3</v>
      </c>
      <c r="AG96" t="n">
        <v>3</v>
      </c>
      <c r="AH96" t="n">
        <v>3</v>
      </c>
      <c r="AI96" t="n">
        <v>3</v>
      </c>
      <c r="AJ96" t="n">
        <v>6</v>
      </c>
      <c r="AK96" t="n">
        <v>6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HYPERLINK("https://creighton-primo.hosted.exlibrisgroup.com/primo-explore/search?tab=default_tab&amp;search_scope=EVERYTHING&amp;vid=01CRU&amp;lang=en_US&amp;offset=0&amp;query=any,contains,991000671739702656","Catalog Record")</f>
        <v/>
      </c>
      <c r="AT96">
        <f>HYPERLINK("http://www.worldcat.org/oclc/12316555","WorldCat Record")</f>
        <v/>
      </c>
      <c r="AU96" t="inlineStr">
        <is>
          <t>4988931:eng</t>
        </is>
      </c>
      <c r="AV96" t="inlineStr">
        <is>
          <t>12316555</t>
        </is>
      </c>
      <c r="AW96" t="inlineStr">
        <is>
          <t>991000671739702656</t>
        </is>
      </c>
      <c r="AX96" t="inlineStr">
        <is>
          <t>991000671739702656</t>
        </is>
      </c>
      <c r="AY96" t="inlineStr">
        <is>
          <t>2256815930002656</t>
        </is>
      </c>
      <c r="AZ96" t="inlineStr">
        <is>
          <t>BOOK</t>
        </is>
      </c>
      <c r="BC96" t="inlineStr">
        <is>
          <t>32285002866688</t>
        </is>
      </c>
      <c r="BD96" t="inlineStr">
        <is>
          <t>893620690</t>
        </is>
      </c>
    </row>
    <row r="97">
      <c r="A97" t="inlineStr">
        <is>
          <t>No</t>
        </is>
      </c>
      <c r="B97" t="inlineStr">
        <is>
          <t>QH3.W34 A3 2007</t>
        </is>
      </c>
      <c r="C97" t="inlineStr">
        <is>
          <t>0                      QH 0003000W  34                 A  3           2007</t>
        </is>
      </c>
      <c r="D97" t="inlineStr">
        <is>
          <t>Avoid boring people : lessons from a life in science / James D. Watson.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Watson, James D., 1928-</t>
        </is>
      </c>
      <c r="L97" t="inlineStr">
        <is>
          <t>New York : Alfred A. Knopf, 2007.</t>
        </is>
      </c>
      <c r="M97" t="inlineStr">
        <is>
          <t>2007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QH </t>
        </is>
      </c>
      <c r="S97" t="n">
        <v>1</v>
      </c>
      <c r="T97" t="n">
        <v>1</v>
      </c>
      <c r="U97" t="inlineStr">
        <is>
          <t>2007-12-13</t>
        </is>
      </c>
      <c r="V97" t="inlineStr">
        <is>
          <t>2007-12-13</t>
        </is>
      </c>
      <c r="W97" t="inlineStr">
        <is>
          <t>2007-12-13</t>
        </is>
      </c>
      <c r="X97" t="inlineStr">
        <is>
          <t>2007-12-13</t>
        </is>
      </c>
      <c r="Y97" t="n">
        <v>870</v>
      </c>
      <c r="Z97" t="n">
        <v>804</v>
      </c>
      <c r="AA97" t="n">
        <v>872</v>
      </c>
      <c r="AB97" t="n">
        <v>5</v>
      </c>
      <c r="AC97" t="n">
        <v>5</v>
      </c>
      <c r="AD97" t="n">
        <v>16</v>
      </c>
      <c r="AE97" t="n">
        <v>19</v>
      </c>
      <c r="AF97" t="n">
        <v>5</v>
      </c>
      <c r="AG97" t="n">
        <v>7</v>
      </c>
      <c r="AH97" t="n">
        <v>4</v>
      </c>
      <c r="AI97" t="n">
        <v>5</v>
      </c>
      <c r="AJ97" t="n">
        <v>9</v>
      </c>
      <c r="AK97" t="n">
        <v>10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HYPERLINK("https://creighton-primo.hosted.exlibrisgroup.com/primo-explore/search?tab=default_tab&amp;search_scope=EVERYTHING&amp;vid=01CRU&amp;lang=en_US&amp;offset=0&amp;query=any,contains,991005156219702656","Catalog Record")</f>
        <v/>
      </c>
      <c r="AT97">
        <f>HYPERLINK("http://www.worldcat.org/oclc/123485197","WorldCat Record")</f>
        <v/>
      </c>
      <c r="AU97" t="inlineStr">
        <is>
          <t>794779029:eng</t>
        </is>
      </c>
      <c r="AV97" t="inlineStr">
        <is>
          <t>123485197</t>
        </is>
      </c>
      <c r="AW97" t="inlineStr">
        <is>
          <t>991005156219702656</t>
        </is>
      </c>
      <c r="AX97" t="inlineStr">
        <is>
          <t>991005156219702656</t>
        </is>
      </c>
      <c r="AY97" t="inlineStr">
        <is>
          <t>2263114300002656</t>
        </is>
      </c>
      <c r="AZ97" t="inlineStr">
        <is>
          <t>BOOK</t>
        </is>
      </c>
      <c r="BB97" t="inlineStr">
        <is>
          <t>9780375412844</t>
        </is>
      </c>
      <c r="BC97" t="inlineStr">
        <is>
          <t>32285005372577</t>
        </is>
      </c>
      <c r="BD97" t="inlineStr">
        <is>
          <t>893507703</t>
        </is>
      </c>
    </row>
    <row r="98">
      <c r="A98" t="inlineStr">
        <is>
          <t>No</t>
        </is>
      </c>
      <c r="B98" t="inlineStr">
        <is>
          <t>QH301 .G39</t>
        </is>
      </c>
      <c r="C98" t="inlineStr">
        <is>
          <t>0                      QH 0301000G  39</t>
        </is>
      </c>
      <c r="D98" t="inlineStr">
        <is>
          <t>Genes, cells, and behavior : a view of biology fifty years later : 50th anniversary symposium, Division of Biology, California Institute of Technology, November 1-3, 1978 / edited by Norman H. Horowitz and Edward Hutchings, Jr.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San Francisco : W. H. Freeman, c1980.</t>
        </is>
      </c>
      <c r="M98" t="inlineStr">
        <is>
          <t>1980</t>
        </is>
      </c>
      <c r="O98" t="inlineStr">
        <is>
          <t>eng</t>
        </is>
      </c>
      <c r="P98" t="inlineStr">
        <is>
          <t>cau</t>
        </is>
      </c>
      <c r="Q98" t="inlineStr">
        <is>
          <t>A Series of books in biology</t>
        </is>
      </c>
      <c r="R98" t="inlineStr">
        <is>
          <t xml:space="preserve">QH </t>
        </is>
      </c>
      <c r="S98" t="n">
        <v>3</v>
      </c>
      <c r="T98" t="n">
        <v>3</v>
      </c>
      <c r="U98" t="inlineStr">
        <is>
          <t>1994-11-20</t>
        </is>
      </c>
      <c r="V98" t="inlineStr">
        <is>
          <t>1994-11-20</t>
        </is>
      </c>
      <c r="W98" t="inlineStr">
        <is>
          <t>1993-03-17</t>
        </is>
      </c>
      <c r="X98" t="inlineStr">
        <is>
          <t>1993-03-17</t>
        </is>
      </c>
      <c r="Y98" t="n">
        <v>204</v>
      </c>
      <c r="Z98" t="n">
        <v>157</v>
      </c>
      <c r="AA98" t="n">
        <v>160</v>
      </c>
      <c r="AB98" t="n">
        <v>3</v>
      </c>
      <c r="AC98" t="n">
        <v>3</v>
      </c>
      <c r="AD98" t="n">
        <v>4</v>
      </c>
      <c r="AE98" t="n">
        <v>4</v>
      </c>
      <c r="AF98" t="n">
        <v>1</v>
      </c>
      <c r="AG98" t="n">
        <v>1</v>
      </c>
      <c r="AH98" t="n">
        <v>1</v>
      </c>
      <c r="AI98" t="n">
        <v>1</v>
      </c>
      <c r="AJ98" t="n">
        <v>0</v>
      </c>
      <c r="AK98" t="n">
        <v>0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HYPERLINK("https://creighton-primo.hosted.exlibrisgroup.com/primo-explore/search?tab=default_tab&amp;search_scope=EVERYTHING&amp;vid=01CRU&amp;lang=en_US&amp;offset=0&amp;query=any,contains,991004991779702656","Catalog Record")</f>
        <v/>
      </c>
      <c r="AT98">
        <f>HYPERLINK("http://www.worldcat.org/oclc/6487521","WorldCat Record")</f>
        <v/>
      </c>
      <c r="AU98" t="inlineStr">
        <is>
          <t>819526356:eng</t>
        </is>
      </c>
      <c r="AV98" t="inlineStr">
        <is>
          <t>6487521</t>
        </is>
      </c>
      <c r="AW98" t="inlineStr">
        <is>
          <t>991004991779702656</t>
        </is>
      </c>
      <c r="AX98" t="inlineStr">
        <is>
          <t>991004991779702656</t>
        </is>
      </c>
      <c r="AY98" t="inlineStr">
        <is>
          <t>2271786730002656</t>
        </is>
      </c>
      <c r="AZ98" t="inlineStr">
        <is>
          <t>BOOK</t>
        </is>
      </c>
      <c r="BB98" t="inlineStr">
        <is>
          <t>9780716712176</t>
        </is>
      </c>
      <c r="BC98" t="inlineStr">
        <is>
          <t>32285001552347</t>
        </is>
      </c>
      <c r="BD98" t="inlineStr">
        <is>
          <t>893594323</t>
        </is>
      </c>
    </row>
    <row r="99">
      <c r="A99" t="inlineStr">
        <is>
          <t>No</t>
        </is>
      </c>
      <c r="B99" t="inlineStr">
        <is>
          <t>QH301 .I46 99</t>
        </is>
      </c>
      <c r="C99" t="inlineStr">
        <is>
          <t>0                      QH 0301000I  46                                                      99</t>
        </is>
      </c>
      <c r="D99" t="inlineStr">
        <is>
          <t>The physiology of diving in man and other animals / H. V. Hempleman, A. P. M. Lockwood.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Hempleman, H. V.</t>
        </is>
      </c>
      <c r="L99" t="inlineStr">
        <is>
          <t>London : E. Arnold, 1978.</t>
        </is>
      </c>
      <c r="M99" t="inlineStr">
        <is>
          <t>1978</t>
        </is>
      </c>
      <c r="O99" t="inlineStr">
        <is>
          <t>eng</t>
        </is>
      </c>
      <c r="P99" t="inlineStr">
        <is>
          <t>enk</t>
        </is>
      </c>
      <c r="Q99" t="inlineStr">
        <is>
          <t>Institute of Biology's studies in biology ; no. 99</t>
        </is>
      </c>
      <c r="R99" t="inlineStr">
        <is>
          <t xml:space="preserve">QH </t>
        </is>
      </c>
      <c r="S99" t="n">
        <v>6</v>
      </c>
      <c r="T99" t="n">
        <v>6</v>
      </c>
      <c r="U99" t="inlineStr">
        <is>
          <t>2000-02-26</t>
        </is>
      </c>
      <c r="V99" t="inlineStr">
        <is>
          <t>2000-02-26</t>
        </is>
      </c>
      <c r="W99" t="inlineStr">
        <is>
          <t>1992-01-14</t>
        </is>
      </c>
      <c r="X99" t="inlineStr">
        <is>
          <t>1992-01-14</t>
        </is>
      </c>
      <c r="Y99" t="n">
        <v>396</v>
      </c>
      <c r="Z99" t="n">
        <v>248</v>
      </c>
      <c r="AA99" t="n">
        <v>250</v>
      </c>
      <c r="AB99" t="n">
        <v>2</v>
      </c>
      <c r="AC99" t="n">
        <v>2</v>
      </c>
      <c r="AD99" t="n">
        <v>9</v>
      </c>
      <c r="AE99" t="n">
        <v>9</v>
      </c>
      <c r="AF99" t="n">
        <v>2</v>
      </c>
      <c r="AG99" t="n">
        <v>2</v>
      </c>
      <c r="AH99" t="n">
        <v>4</v>
      </c>
      <c r="AI99" t="n">
        <v>4</v>
      </c>
      <c r="AJ99" t="n">
        <v>6</v>
      </c>
      <c r="AK99" t="n">
        <v>6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HYPERLINK("http://catalog.hathitrust.org/Record/007159023","HathiTrust Record")</f>
        <v/>
      </c>
      <c r="AS99">
        <f>HYPERLINK("https://creighton-primo.hosted.exlibrisgroup.com/primo-explore/search?tab=default_tab&amp;search_scope=EVERYTHING&amp;vid=01CRU&amp;lang=en_US&amp;offset=0&amp;query=any,contains,991004637559702656","Catalog Record")</f>
        <v/>
      </c>
      <c r="AT99">
        <f>HYPERLINK("http://www.worldcat.org/oclc/4428672","WorldCat Record")</f>
        <v/>
      </c>
      <c r="AU99" t="inlineStr">
        <is>
          <t>14708161:eng</t>
        </is>
      </c>
      <c r="AV99" t="inlineStr">
        <is>
          <t>4428672</t>
        </is>
      </c>
      <c r="AW99" t="inlineStr">
        <is>
          <t>991004637559702656</t>
        </is>
      </c>
      <c r="AX99" t="inlineStr">
        <is>
          <t>991004637559702656</t>
        </is>
      </c>
      <c r="AY99" t="inlineStr">
        <is>
          <t>2269334640002656</t>
        </is>
      </c>
      <c r="AZ99" t="inlineStr">
        <is>
          <t>BOOK</t>
        </is>
      </c>
      <c r="BB99" t="inlineStr">
        <is>
          <t>9780713126914</t>
        </is>
      </c>
      <c r="BC99" t="inlineStr">
        <is>
          <t>32285000913995</t>
        </is>
      </c>
      <c r="BD99" t="inlineStr">
        <is>
          <t>893782468</t>
        </is>
      </c>
    </row>
    <row r="100">
      <c r="A100" t="inlineStr">
        <is>
          <t>No</t>
        </is>
      </c>
      <c r="B100" t="inlineStr">
        <is>
          <t>QH301 .I595 no.105</t>
        </is>
      </c>
      <c r="C100" t="inlineStr">
        <is>
          <t>0                      QH 0301000I  595                                                     no.105</t>
        </is>
      </c>
      <c r="D100" t="inlineStr">
        <is>
          <t>Liver / W. H. Horner Andrews.</t>
        </is>
      </c>
      <c r="E100" t="inlineStr">
        <is>
          <t>no.105*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Andrews, W. H. Horner.</t>
        </is>
      </c>
      <c r="L100" t="inlineStr">
        <is>
          <t>Baltimore : University Park Press, c1979.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Q100" t="inlineStr">
        <is>
          <t>The Institute of Biology's studies in biology ; no. 105</t>
        </is>
      </c>
      <c r="R100" t="inlineStr">
        <is>
          <t xml:space="preserve">QH </t>
        </is>
      </c>
      <c r="S100" t="n">
        <v>1</v>
      </c>
      <c r="T100" t="n">
        <v>1</v>
      </c>
      <c r="U100" t="inlineStr">
        <is>
          <t>1993-03-15</t>
        </is>
      </c>
      <c r="V100" t="inlineStr">
        <is>
          <t>1993-03-15</t>
        </is>
      </c>
      <c r="W100" t="inlineStr">
        <is>
          <t>1993-03-04</t>
        </is>
      </c>
      <c r="X100" t="inlineStr">
        <is>
          <t>1993-03-04</t>
        </is>
      </c>
      <c r="Y100" t="n">
        <v>151</v>
      </c>
      <c r="Z100" t="n">
        <v>130</v>
      </c>
      <c r="AA100" t="n">
        <v>173</v>
      </c>
      <c r="AB100" t="n">
        <v>2</v>
      </c>
      <c r="AC100" t="n">
        <v>3</v>
      </c>
      <c r="AD100" t="n">
        <v>4</v>
      </c>
      <c r="AE100" t="n">
        <v>5</v>
      </c>
      <c r="AF100" t="n">
        <v>1</v>
      </c>
      <c r="AG100" t="n">
        <v>1</v>
      </c>
      <c r="AH100" t="n">
        <v>1</v>
      </c>
      <c r="AI100" t="n">
        <v>1</v>
      </c>
      <c r="AJ100" t="n">
        <v>3</v>
      </c>
      <c r="AK100" t="n">
        <v>3</v>
      </c>
      <c r="AL100" t="n">
        <v>1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HYPERLINK("https://creighton-primo.hosted.exlibrisgroup.com/primo-explore/search?tab=default_tab&amp;search_scope=EVERYTHING&amp;vid=01CRU&amp;lang=en_US&amp;offset=0&amp;query=any,contains,991004660359702656","Catalog Record")</f>
        <v/>
      </c>
      <c r="AT100">
        <f>HYPERLINK("http://www.worldcat.org/oclc/4496574","WorldCat Record")</f>
        <v/>
      </c>
      <c r="AU100" t="inlineStr">
        <is>
          <t>12557819:eng</t>
        </is>
      </c>
      <c r="AV100" t="inlineStr">
        <is>
          <t>4496574</t>
        </is>
      </c>
      <c r="AW100" t="inlineStr">
        <is>
          <t>991004660359702656</t>
        </is>
      </c>
      <c r="AX100" t="inlineStr">
        <is>
          <t>991004660359702656</t>
        </is>
      </c>
      <c r="AY100" t="inlineStr">
        <is>
          <t>2268699140002656</t>
        </is>
      </c>
      <c r="AZ100" t="inlineStr">
        <is>
          <t>BOOK</t>
        </is>
      </c>
      <c r="BB100" t="inlineStr">
        <is>
          <t>9780839102557</t>
        </is>
      </c>
      <c r="BC100" t="inlineStr">
        <is>
          <t>32285001544088</t>
        </is>
      </c>
      <c r="BD100" t="inlineStr">
        <is>
          <t>893344100</t>
        </is>
      </c>
    </row>
    <row r="101">
      <c r="A101" t="inlineStr">
        <is>
          <t>No</t>
        </is>
      </c>
      <c r="B101" t="inlineStr">
        <is>
          <t>QH301 .I595 no.107</t>
        </is>
      </c>
      <c r="C101" t="inlineStr">
        <is>
          <t>0                      QH 0301000I  595                                                     no.107</t>
        </is>
      </c>
      <c r="D101" t="inlineStr">
        <is>
          <t>Pollen and allergy / R. Bruce Knox.</t>
        </is>
      </c>
      <c r="E101" t="inlineStr">
        <is>
          <t>no.107*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Knox, R. Bruce.</t>
        </is>
      </c>
      <c r="L101" t="inlineStr">
        <is>
          <t>Baltimore : University Park Press, 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Q101" t="inlineStr">
        <is>
          <t>The Institute of Biology's Studies in biology ; no. 107</t>
        </is>
      </c>
      <c r="R101" t="inlineStr">
        <is>
          <t xml:space="preserve">QH </t>
        </is>
      </c>
      <c r="S101" t="n">
        <v>3</v>
      </c>
      <c r="T101" t="n">
        <v>3</v>
      </c>
      <c r="U101" t="inlineStr">
        <is>
          <t>2008-02-24</t>
        </is>
      </c>
      <c r="V101" t="inlineStr">
        <is>
          <t>2008-02-24</t>
        </is>
      </c>
      <c r="W101" t="inlineStr">
        <is>
          <t>1993-03-04</t>
        </is>
      </c>
      <c r="X101" t="inlineStr">
        <is>
          <t>1993-03-04</t>
        </is>
      </c>
      <c r="Y101" t="n">
        <v>243</v>
      </c>
      <c r="Z101" t="n">
        <v>222</v>
      </c>
      <c r="AA101" t="n">
        <v>284</v>
      </c>
      <c r="AB101" t="n">
        <v>2</v>
      </c>
      <c r="AC101" t="n">
        <v>3</v>
      </c>
      <c r="AD101" t="n">
        <v>5</v>
      </c>
      <c r="AE101" t="n">
        <v>7</v>
      </c>
      <c r="AF101" t="n">
        <v>3</v>
      </c>
      <c r="AG101" t="n">
        <v>3</v>
      </c>
      <c r="AH101" t="n">
        <v>1</v>
      </c>
      <c r="AI101" t="n">
        <v>2</v>
      </c>
      <c r="AJ101" t="n">
        <v>0</v>
      </c>
      <c r="AK101" t="n">
        <v>1</v>
      </c>
      <c r="AL101" t="n">
        <v>1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HYPERLINK("http://catalog.hathitrust.org/Record/004419810","HathiTrust Record")</f>
        <v/>
      </c>
      <c r="AS101">
        <f>HYPERLINK("https://creighton-primo.hosted.exlibrisgroup.com/primo-explore/search?tab=default_tab&amp;search_scope=EVERYTHING&amp;vid=01CRU&amp;lang=en_US&amp;offset=0&amp;query=any,contains,991004662779702656","Catalog Record")</f>
        <v/>
      </c>
      <c r="AT101">
        <f>HYPERLINK("http://www.worldcat.org/oclc/4498008","WorldCat Record")</f>
        <v/>
      </c>
      <c r="AU101" t="inlineStr">
        <is>
          <t>12587510:eng</t>
        </is>
      </c>
      <c r="AV101" t="inlineStr">
        <is>
          <t>4498008</t>
        </is>
      </c>
      <c r="AW101" t="inlineStr">
        <is>
          <t>991004662779702656</t>
        </is>
      </c>
      <c r="AX101" t="inlineStr">
        <is>
          <t>991004662779702656</t>
        </is>
      </c>
      <c r="AY101" t="inlineStr">
        <is>
          <t>2266442390002656</t>
        </is>
      </c>
      <c r="AZ101" t="inlineStr">
        <is>
          <t>BOOK</t>
        </is>
      </c>
      <c r="BB101" t="inlineStr">
        <is>
          <t>9780839102571</t>
        </is>
      </c>
      <c r="BC101" t="inlineStr">
        <is>
          <t>32285001544104</t>
        </is>
      </c>
      <c r="BD101" t="inlineStr">
        <is>
          <t>893331877</t>
        </is>
      </c>
    </row>
    <row r="102">
      <c r="A102" t="inlineStr">
        <is>
          <t>No</t>
        </is>
      </c>
      <c r="B102" t="inlineStr">
        <is>
          <t>QH301 .I595 no.109</t>
        </is>
      </c>
      <c r="C102" t="inlineStr">
        <is>
          <t>0                      QH 0301000I  595                                                     no.109</t>
        </is>
      </c>
      <c r="D102" t="inlineStr">
        <is>
          <t>Lizards, a study in thermoregulation / R. A. Avery.</t>
        </is>
      </c>
      <c r="E102" t="inlineStr">
        <is>
          <t>no.109*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Avery, R. A. (Roger Anthony)</t>
        </is>
      </c>
      <c r="L102" t="inlineStr">
        <is>
          <t>Baltimore : University Park Press, c1979.</t>
        </is>
      </c>
      <c r="M102" t="inlineStr">
        <is>
          <t>1979</t>
        </is>
      </c>
      <c r="O102" t="inlineStr">
        <is>
          <t>eng</t>
        </is>
      </c>
      <c r="P102" t="inlineStr">
        <is>
          <t>mdu</t>
        </is>
      </c>
      <c r="Q102" t="inlineStr">
        <is>
          <t>The Institute of Biology's studies in biology ; no. 109</t>
        </is>
      </c>
      <c r="R102" t="inlineStr">
        <is>
          <t xml:space="preserve">QH </t>
        </is>
      </c>
      <c r="S102" t="n">
        <v>3</v>
      </c>
      <c r="T102" t="n">
        <v>3</v>
      </c>
      <c r="U102" t="inlineStr">
        <is>
          <t>2010-02-10</t>
        </is>
      </c>
      <c r="V102" t="inlineStr">
        <is>
          <t>2010-02-10</t>
        </is>
      </c>
      <c r="W102" t="inlineStr">
        <is>
          <t>1993-03-04</t>
        </is>
      </c>
      <c r="X102" t="inlineStr">
        <is>
          <t>1993-03-04</t>
        </is>
      </c>
      <c r="Y102" t="n">
        <v>232</v>
      </c>
      <c r="Z102" t="n">
        <v>213</v>
      </c>
      <c r="AA102" t="n">
        <v>250</v>
      </c>
      <c r="AB102" t="n">
        <v>4</v>
      </c>
      <c r="AC102" t="n">
        <v>4</v>
      </c>
      <c r="AD102" t="n">
        <v>11</v>
      </c>
      <c r="AE102" t="n">
        <v>11</v>
      </c>
      <c r="AF102" t="n">
        <v>4</v>
      </c>
      <c r="AG102" t="n">
        <v>4</v>
      </c>
      <c r="AH102" t="n">
        <v>2</v>
      </c>
      <c r="AI102" t="n">
        <v>2</v>
      </c>
      <c r="AJ102" t="n">
        <v>6</v>
      </c>
      <c r="AK102" t="n">
        <v>6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HYPERLINK("https://creighton-primo.hosted.exlibrisgroup.com/primo-explore/search?tab=default_tab&amp;search_scope=EVERYTHING&amp;vid=01CRU&amp;lang=en_US&amp;offset=0&amp;query=any,contains,991004717779702656","Catalog Record")</f>
        <v/>
      </c>
      <c r="AT102">
        <f>HYPERLINK("http://www.worldcat.org/oclc/4776881","WorldCat Record")</f>
        <v/>
      </c>
      <c r="AU102" t="inlineStr">
        <is>
          <t>12485380:eng</t>
        </is>
      </c>
      <c r="AV102" t="inlineStr">
        <is>
          <t>4776881</t>
        </is>
      </c>
      <c r="AW102" t="inlineStr">
        <is>
          <t>991004717779702656</t>
        </is>
      </c>
      <c r="AX102" t="inlineStr">
        <is>
          <t>991004717779702656</t>
        </is>
      </c>
      <c r="AY102" t="inlineStr">
        <is>
          <t>2254936900002656</t>
        </is>
      </c>
      <c r="AZ102" t="inlineStr">
        <is>
          <t>BOOK</t>
        </is>
      </c>
      <c r="BB102" t="inlineStr">
        <is>
          <t>9780839102595</t>
        </is>
      </c>
      <c r="BC102" t="inlineStr">
        <is>
          <t>32285001544120</t>
        </is>
      </c>
      <c r="BD102" t="inlineStr">
        <is>
          <t>893235853</t>
        </is>
      </c>
    </row>
    <row r="103">
      <c r="A103" t="inlineStr">
        <is>
          <t>No</t>
        </is>
      </c>
      <c r="B103" t="inlineStr">
        <is>
          <t>QH301 .I595 no.11</t>
        </is>
      </c>
      <c r="C103" t="inlineStr">
        <is>
          <t>0                      QH 0301000I  595                                                     no.11</t>
        </is>
      </c>
      <c r="D103" t="inlineStr">
        <is>
          <t>Muscle, by D. R. Wilkie.</t>
        </is>
      </c>
      <c r="E103" t="inlineStr">
        <is>
          <t>no.11*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Wilkie, Douglas R. (Douglas Robert)</t>
        </is>
      </c>
      <c r="L103" t="inlineStr">
        <is>
          <t>New York, St. Martin's Press, 1968.</t>
        </is>
      </c>
      <c r="M103" t="inlineStr">
        <is>
          <t>1968</t>
        </is>
      </c>
      <c r="O103" t="inlineStr">
        <is>
          <t>eng</t>
        </is>
      </c>
      <c r="P103" t="inlineStr">
        <is>
          <t>nyu</t>
        </is>
      </c>
      <c r="Q103" t="inlineStr">
        <is>
          <t>Institute of Biology. Studies in biology no. 11</t>
        </is>
      </c>
      <c r="R103" t="inlineStr">
        <is>
          <t xml:space="preserve">QH </t>
        </is>
      </c>
      <c r="S103" t="n">
        <v>2</v>
      </c>
      <c r="T103" t="n">
        <v>2</v>
      </c>
      <c r="U103" t="inlineStr">
        <is>
          <t>2008-02-12</t>
        </is>
      </c>
      <c r="V103" t="inlineStr">
        <is>
          <t>2008-02-12</t>
        </is>
      </c>
      <c r="W103" t="inlineStr">
        <is>
          <t>1993-03-04</t>
        </is>
      </c>
      <c r="X103" t="inlineStr">
        <is>
          <t>1993-03-04</t>
        </is>
      </c>
      <c r="Y103" t="n">
        <v>127</v>
      </c>
      <c r="Z103" t="n">
        <v>115</v>
      </c>
      <c r="AA103" t="n">
        <v>283</v>
      </c>
      <c r="AB103" t="n">
        <v>2</v>
      </c>
      <c r="AC103" t="n">
        <v>4</v>
      </c>
      <c r="AD103" t="n">
        <v>6</v>
      </c>
      <c r="AE103" t="n">
        <v>14</v>
      </c>
      <c r="AF103" t="n">
        <v>3</v>
      </c>
      <c r="AG103" t="n">
        <v>5</v>
      </c>
      <c r="AH103" t="n">
        <v>0</v>
      </c>
      <c r="AI103" t="n">
        <v>2</v>
      </c>
      <c r="AJ103" t="n">
        <v>4</v>
      </c>
      <c r="AK103" t="n">
        <v>6</v>
      </c>
      <c r="AL103" t="n">
        <v>1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HYPERLINK("https://creighton-primo.hosted.exlibrisgroup.com/primo-explore/search?tab=default_tab&amp;search_scope=EVERYTHING&amp;vid=01CRU&amp;lang=en_US&amp;offset=0&amp;query=any,contains,991002783649702656","Catalog Record")</f>
        <v/>
      </c>
      <c r="AT103">
        <f>HYPERLINK("http://www.worldcat.org/oclc/441014","WorldCat Record")</f>
        <v/>
      </c>
      <c r="AU103" t="inlineStr">
        <is>
          <t>8960711681:eng</t>
        </is>
      </c>
      <c r="AV103" t="inlineStr">
        <is>
          <t>441014</t>
        </is>
      </c>
      <c r="AW103" t="inlineStr">
        <is>
          <t>991002783649702656</t>
        </is>
      </c>
      <c r="AX103" t="inlineStr">
        <is>
          <t>991002783649702656</t>
        </is>
      </c>
      <c r="AY103" t="inlineStr">
        <is>
          <t>2257062960002656</t>
        </is>
      </c>
      <c r="AZ103" t="inlineStr">
        <is>
          <t>BOOK</t>
        </is>
      </c>
      <c r="BC103" t="inlineStr">
        <is>
          <t>32285001543833</t>
        </is>
      </c>
      <c r="BD103" t="inlineStr">
        <is>
          <t>893498528</t>
        </is>
      </c>
    </row>
    <row r="104">
      <c r="A104" t="inlineStr">
        <is>
          <t>No</t>
        </is>
      </c>
      <c r="B104" t="inlineStr">
        <is>
          <t>QH301 .I595 no.114</t>
        </is>
      </c>
      <c r="C104" t="inlineStr">
        <is>
          <t>0                      QH 0301000I  595                                                     no.114</t>
        </is>
      </c>
      <c r="D104" t="inlineStr">
        <is>
          <t>Nerves, brains, and behaviour/ J. B. Messenger.</t>
        </is>
      </c>
      <c r="E104" t="inlineStr">
        <is>
          <t>no.114*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Messenger, J. B.</t>
        </is>
      </c>
      <c r="L104" t="inlineStr">
        <is>
          <t>Baltimore : University Park Press, c1979.</t>
        </is>
      </c>
      <c r="M104" t="inlineStr">
        <is>
          <t>1979</t>
        </is>
      </c>
      <c r="O104" t="inlineStr">
        <is>
          <t>eng</t>
        </is>
      </c>
      <c r="P104" t="inlineStr">
        <is>
          <t>mdu</t>
        </is>
      </c>
      <c r="Q104" t="inlineStr">
        <is>
          <t>The Institute of Biology's studies in biology ; no. 114</t>
        </is>
      </c>
      <c r="R104" t="inlineStr">
        <is>
          <t xml:space="preserve">QH </t>
        </is>
      </c>
      <c r="S104" t="n">
        <v>1</v>
      </c>
      <c r="T104" t="n">
        <v>1</v>
      </c>
      <c r="U104" t="inlineStr">
        <is>
          <t>1995-04-17</t>
        </is>
      </c>
      <c r="V104" t="inlineStr">
        <is>
          <t>1995-04-17</t>
        </is>
      </c>
      <c r="W104" t="inlineStr">
        <is>
          <t>1993-03-04</t>
        </is>
      </c>
      <c r="X104" t="inlineStr">
        <is>
          <t>1993-03-04</t>
        </is>
      </c>
      <c r="Y104" t="n">
        <v>103</v>
      </c>
      <c r="Z104" t="n">
        <v>94</v>
      </c>
      <c r="AA104" t="n">
        <v>145</v>
      </c>
      <c r="AB104" t="n">
        <v>2</v>
      </c>
      <c r="AC104" t="n">
        <v>3</v>
      </c>
      <c r="AD104" t="n">
        <v>3</v>
      </c>
      <c r="AE104" t="n">
        <v>4</v>
      </c>
      <c r="AF104" t="n">
        <v>1</v>
      </c>
      <c r="AG104" t="n">
        <v>1</v>
      </c>
      <c r="AH104" t="n">
        <v>0</v>
      </c>
      <c r="AI104" t="n">
        <v>0</v>
      </c>
      <c r="AJ104" t="n">
        <v>2</v>
      </c>
      <c r="AK104" t="n">
        <v>2</v>
      </c>
      <c r="AL104" t="n">
        <v>1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HYPERLINK("http://catalog.hathitrust.org/Record/009493590","HathiTrust Record")</f>
        <v/>
      </c>
      <c r="AS104">
        <f>HYPERLINK("https://creighton-primo.hosted.exlibrisgroup.com/primo-explore/search?tab=default_tab&amp;search_scope=EVERYTHING&amp;vid=01CRU&amp;lang=en_US&amp;offset=0&amp;query=any,contains,991004832069702656","Catalog Record")</f>
        <v/>
      </c>
      <c r="AT104">
        <f>HYPERLINK("http://www.worldcat.org/oclc/5411887","WorldCat Record")</f>
        <v/>
      </c>
      <c r="AU104" t="inlineStr">
        <is>
          <t>12530403:eng</t>
        </is>
      </c>
      <c r="AV104" t="inlineStr">
        <is>
          <t>5411887</t>
        </is>
      </c>
      <c r="AW104" t="inlineStr">
        <is>
          <t>991004832069702656</t>
        </is>
      </c>
      <c r="AX104" t="inlineStr">
        <is>
          <t>991004832069702656</t>
        </is>
      </c>
      <c r="AY104" t="inlineStr">
        <is>
          <t>2256381640002656</t>
        </is>
      </c>
      <c r="AZ104" t="inlineStr">
        <is>
          <t>BOOK</t>
        </is>
      </c>
      <c r="BB104" t="inlineStr">
        <is>
          <t>9780839102649</t>
        </is>
      </c>
      <c r="BC104" t="inlineStr">
        <is>
          <t>32285001544138</t>
        </is>
      </c>
      <c r="BD104" t="inlineStr">
        <is>
          <t>893248037</t>
        </is>
      </c>
    </row>
    <row r="105">
      <c r="A105" t="inlineStr">
        <is>
          <t>No</t>
        </is>
      </c>
      <c r="B105" t="inlineStr">
        <is>
          <t>QH301 .I595 no.115</t>
        </is>
      </c>
      <c r="C105" t="inlineStr">
        <is>
          <t>0                      QH 0301000I  595                                                     no.115</t>
        </is>
      </c>
      <c r="D105" t="inlineStr">
        <is>
          <t>Vocal communication in birds / Clive K. Catchpole.</t>
        </is>
      </c>
      <c r="E105" t="inlineStr">
        <is>
          <t>no.115*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Catchpole, Clive.</t>
        </is>
      </c>
      <c r="L105" t="inlineStr">
        <is>
          <t>Baltimore : University Park Press, [1980]</t>
        </is>
      </c>
      <c r="M105" t="inlineStr">
        <is>
          <t>1980</t>
        </is>
      </c>
      <c r="N105" t="inlineStr">
        <is>
          <t>[2d ed.].</t>
        </is>
      </c>
      <c r="O105" t="inlineStr">
        <is>
          <t>eng</t>
        </is>
      </c>
      <c r="P105" t="inlineStr">
        <is>
          <t>mdu</t>
        </is>
      </c>
      <c r="Q105" t="inlineStr">
        <is>
          <t>Studies in biology ; 115</t>
        </is>
      </c>
      <c r="R105" t="inlineStr">
        <is>
          <t xml:space="preserve">QH </t>
        </is>
      </c>
      <c r="S105" t="n">
        <v>2</v>
      </c>
      <c r="T105" t="n">
        <v>2</v>
      </c>
      <c r="U105" t="inlineStr">
        <is>
          <t>1995-11-11</t>
        </is>
      </c>
      <c r="V105" t="inlineStr">
        <is>
          <t>1995-11-11</t>
        </is>
      </c>
      <c r="W105" t="inlineStr">
        <is>
          <t>1993-03-04</t>
        </is>
      </c>
      <c r="X105" t="inlineStr">
        <is>
          <t>1993-03-04</t>
        </is>
      </c>
      <c r="Y105" t="n">
        <v>139</v>
      </c>
      <c r="Z105" t="n">
        <v>124</v>
      </c>
      <c r="AA105" t="n">
        <v>179</v>
      </c>
      <c r="AB105" t="n">
        <v>2</v>
      </c>
      <c r="AC105" t="n">
        <v>2</v>
      </c>
      <c r="AD105" t="n">
        <v>4</v>
      </c>
      <c r="AE105" t="n">
        <v>4</v>
      </c>
      <c r="AF105" t="n">
        <v>0</v>
      </c>
      <c r="AG105" t="n">
        <v>0</v>
      </c>
      <c r="AH105" t="n">
        <v>1</v>
      </c>
      <c r="AI105" t="n">
        <v>1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HYPERLINK("https://creighton-primo.hosted.exlibrisgroup.com/primo-explore/search?tab=default_tab&amp;search_scope=EVERYTHING&amp;vid=01CRU&amp;lang=en_US&amp;offset=0&amp;query=any,contains,991004793009702656","Catalog Record")</f>
        <v/>
      </c>
      <c r="AT105">
        <f>HYPERLINK("http://www.worldcat.org/oclc/5171870","WorldCat Record")</f>
        <v/>
      </c>
      <c r="AU105" t="inlineStr">
        <is>
          <t>12425121:eng</t>
        </is>
      </c>
      <c r="AV105" t="inlineStr">
        <is>
          <t>5171870</t>
        </is>
      </c>
      <c r="AW105" t="inlineStr">
        <is>
          <t>991004793009702656</t>
        </is>
      </c>
      <c r="AX105" t="inlineStr">
        <is>
          <t>991004793009702656</t>
        </is>
      </c>
      <c r="AY105" t="inlineStr">
        <is>
          <t>2259035440002656</t>
        </is>
      </c>
      <c r="AZ105" t="inlineStr">
        <is>
          <t>BOOK</t>
        </is>
      </c>
      <c r="BB105" t="inlineStr">
        <is>
          <t>9780839102649</t>
        </is>
      </c>
      <c r="BC105" t="inlineStr">
        <is>
          <t>32285001544146</t>
        </is>
      </c>
      <c r="BD105" t="inlineStr">
        <is>
          <t>893260177</t>
        </is>
      </c>
    </row>
    <row r="106">
      <c r="A106" t="inlineStr">
        <is>
          <t>No</t>
        </is>
      </c>
      <c r="B106" t="inlineStr">
        <is>
          <t>QH301 .I595 no.121</t>
        </is>
      </c>
      <c r="C106" t="inlineStr">
        <is>
          <t>0                      QH 0301000I  595                                                     no.121</t>
        </is>
      </c>
      <c r="D106" t="inlineStr">
        <is>
          <t>Ecology of insect-plant interactions / Peter J. Edwards, Stephen D. Wratten.</t>
        </is>
      </c>
      <c r="E106" t="inlineStr">
        <is>
          <t>no.121*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Edwards, Peter J.</t>
        </is>
      </c>
      <c r="L106" t="inlineStr">
        <is>
          <t>London : E. Arnold, 1980.</t>
        </is>
      </c>
      <c r="M106" t="inlineStr">
        <is>
          <t>1980</t>
        </is>
      </c>
      <c r="O106" t="inlineStr">
        <is>
          <t>eng</t>
        </is>
      </c>
      <c r="P106" t="inlineStr">
        <is>
          <t>enk</t>
        </is>
      </c>
      <c r="Q106" t="inlineStr">
        <is>
          <t>The Institute of Biology's Studies in biology ; no. 121 0537-9024</t>
        </is>
      </c>
      <c r="R106" t="inlineStr">
        <is>
          <t xml:space="preserve">QH </t>
        </is>
      </c>
      <c r="S106" t="n">
        <v>3</v>
      </c>
      <c r="T106" t="n">
        <v>3</v>
      </c>
      <c r="U106" t="inlineStr">
        <is>
          <t>1994-11-05</t>
        </is>
      </c>
      <c r="V106" t="inlineStr">
        <is>
          <t>1994-11-05</t>
        </is>
      </c>
      <c r="W106" t="inlineStr">
        <is>
          <t>1993-03-04</t>
        </is>
      </c>
      <c r="X106" t="inlineStr">
        <is>
          <t>1993-03-04</t>
        </is>
      </c>
      <c r="Y106" t="n">
        <v>376</v>
      </c>
      <c r="Z106" t="n">
        <v>188</v>
      </c>
      <c r="AA106" t="n">
        <v>193</v>
      </c>
      <c r="AB106" t="n">
        <v>4</v>
      </c>
      <c r="AC106" t="n">
        <v>4</v>
      </c>
      <c r="AD106" t="n">
        <v>7</v>
      </c>
      <c r="AE106" t="n">
        <v>7</v>
      </c>
      <c r="AF106" t="n">
        <v>0</v>
      </c>
      <c r="AG106" t="n">
        <v>0</v>
      </c>
      <c r="AH106" t="n">
        <v>2</v>
      </c>
      <c r="AI106" t="n">
        <v>2</v>
      </c>
      <c r="AJ106" t="n">
        <v>3</v>
      </c>
      <c r="AK106" t="n">
        <v>3</v>
      </c>
      <c r="AL106" t="n">
        <v>3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HYPERLINK("https://creighton-primo.hosted.exlibrisgroup.com/primo-explore/search?tab=default_tab&amp;search_scope=EVERYTHING&amp;vid=01CRU&amp;lang=en_US&amp;offset=0&amp;query=any,contains,991005076319702656","Catalog Record")</f>
        <v/>
      </c>
      <c r="AT106">
        <f>HYPERLINK("http://www.worldcat.org/oclc/7116919","WorldCat Record")</f>
        <v/>
      </c>
      <c r="AU106" t="inlineStr">
        <is>
          <t>25797879:eng</t>
        </is>
      </c>
      <c r="AV106" t="inlineStr">
        <is>
          <t>7116919</t>
        </is>
      </c>
      <c r="AW106" t="inlineStr">
        <is>
          <t>991005076319702656</t>
        </is>
      </c>
      <c r="AX106" t="inlineStr">
        <is>
          <t>991005076319702656</t>
        </is>
      </c>
      <c r="AY106" t="inlineStr">
        <is>
          <t>2255127190002656</t>
        </is>
      </c>
      <c r="AZ106" t="inlineStr">
        <is>
          <t>BOOK</t>
        </is>
      </c>
      <c r="BB106" t="inlineStr">
        <is>
          <t>9780713128031</t>
        </is>
      </c>
      <c r="BC106" t="inlineStr">
        <is>
          <t>32285001544153</t>
        </is>
      </c>
      <c r="BD106" t="inlineStr">
        <is>
          <t>893443360</t>
        </is>
      </c>
    </row>
    <row r="107">
      <c r="A107" t="inlineStr">
        <is>
          <t>No</t>
        </is>
      </c>
      <c r="B107" t="inlineStr">
        <is>
          <t>QH301 .I595 no.122</t>
        </is>
      </c>
      <c r="C107" t="inlineStr">
        <is>
          <t>0                      QH 0301000I  595                                                     no.122</t>
        </is>
      </c>
      <c r="D107" t="inlineStr">
        <is>
          <t>The ecology of streams and rivers / Colin R. Townsend.</t>
        </is>
      </c>
      <c r="E107" t="inlineStr">
        <is>
          <t>no.122*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Townsend, Colin R.</t>
        </is>
      </c>
      <c r="L107" t="inlineStr">
        <is>
          <t>London : E. Arnold,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enk</t>
        </is>
      </c>
      <c r="Q107" t="inlineStr">
        <is>
          <t>The Institute of Biology's Studies in biology ; no. 122 0537-9024</t>
        </is>
      </c>
      <c r="R107" t="inlineStr">
        <is>
          <t xml:space="preserve">QH </t>
        </is>
      </c>
      <c r="S107" t="n">
        <v>4</v>
      </c>
      <c r="T107" t="n">
        <v>4</v>
      </c>
      <c r="U107" t="inlineStr">
        <is>
          <t>1996-12-03</t>
        </is>
      </c>
      <c r="V107" t="inlineStr">
        <is>
          <t>1996-12-03</t>
        </is>
      </c>
      <c r="W107" t="inlineStr">
        <is>
          <t>1994-11-09</t>
        </is>
      </c>
      <c r="X107" t="inlineStr">
        <is>
          <t>1994-11-09</t>
        </is>
      </c>
      <c r="Y107" t="n">
        <v>374</v>
      </c>
      <c r="Z107" t="n">
        <v>190</v>
      </c>
      <c r="AA107" t="n">
        <v>190</v>
      </c>
      <c r="AB107" t="n">
        <v>3</v>
      </c>
      <c r="AC107" t="n">
        <v>3</v>
      </c>
      <c r="AD107" t="n">
        <v>4</v>
      </c>
      <c r="AE107" t="n">
        <v>4</v>
      </c>
      <c r="AF107" t="n">
        <v>0</v>
      </c>
      <c r="AG107" t="n">
        <v>0</v>
      </c>
      <c r="AH107" t="n">
        <v>1</v>
      </c>
      <c r="AI107" t="n">
        <v>1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HYPERLINK("https://creighton-primo.hosted.exlibrisgroup.com/primo-explore/search?tab=default_tab&amp;search_scope=EVERYTHING&amp;vid=01CRU&amp;lang=en_US&amp;offset=0&amp;query=any,contains,991005076339702656","Catalog Record")</f>
        <v/>
      </c>
      <c r="AT107">
        <f>HYPERLINK("http://www.worldcat.org/oclc/7117009","WorldCat Record")</f>
        <v/>
      </c>
      <c r="AU107" t="inlineStr">
        <is>
          <t>9463017605:eng</t>
        </is>
      </c>
      <c r="AV107" t="inlineStr">
        <is>
          <t>7117009</t>
        </is>
      </c>
      <c r="AW107" t="inlineStr">
        <is>
          <t>991005076339702656</t>
        </is>
      </c>
      <c r="AX107" t="inlineStr">
        <is>
          <t>991005076339702656</t>
        </is>
      </c>
      <c r="AY107" t="inlineStr">
        <is>
          <t>2255065550002656</t>
        </is>
      </c>
      <c r="AZ107" t="inlineStr">
        <is>
          <t>BOOK</t>
        </is>
      </c>
      <c r="BB107" t="inlineStr">
        <is>
          <t>9780713128048</t>
        </is>
      </c>
      <c r="BC107" t="inlineStr">
        <is>
          <t>32285001966059</t>
        </is>
      </c>
      <c r="BD107" t="inlineStr">
        <is>
          <t>893418336</t>
        </is>
      </c>
    </row>
    <row r="108">
      <c r="A108" t="inlineStr">
        <is>
          <t>No</t>
        </is>
      </c>
      <c r="B108" t="inlineStr">
        <is>
          <t>QH301 .I595 no.147</t>
        </is>
      </c>
      <c r="C108" t="inlineStr">
        <is>
          <t>0                      QH 0301000I  595                                                     no.147</t>
        </is>
      </c>
      <c r="D108" t="inlineStr">
        <is>
          <t>Insect pheromones / M.C. Birch and K.F. Haynes.</t>
        </is>
      </c>
      <c r="E108" t="inlineStr">
        <is>
          <t>no.147*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Birch, Martin C.</t>
        </is>
      </c>
      <c r="L108" t="inlineStr">
        <is>
          <t>London : E. Arnold, 1982.</t>
        </is>
      </c>
      <c r="M108" t="inlineStr">
        <is>
          <t>1982</t>
        </is>
      </c>
      <c r="O108" t="inlineStr">
        <is>
          <t>eng</t>
        </is>
      </c>
      <c r="P108" t="inlineStr">
        <is>
          <t>enk</t>
        </is>
      </c>
      <c r="Q108" t="inlineStr">
        <is>
          <t>The Institute of Biology's. Studies in biology, 0537-7024 ; no. 147</t>
        </is>
      </c>
      <c r="R108" t="inlineStr">
        <is>
          <t xml:space="preserve">QH </t>
        </is>
      </c>
      <c r="S108" t="n">
        <v>6</v>
      </c>
      <c r="T108" t="n">
        <v>6</v>
      </c>
      <c r="U108" t="inlineStr">
        <is>
          <t>2008-11-20</t>
        </is>
      </c>
      <c r="V108" t="inlineStr">
        <is>
          <t>2008-11-20</t>
        </is>
      </c>
      <c r="W108" t="inlineStr">
        <is>
          <t>1993-03-04</t>
        </is>
      </c>
      <c r="X108" t="inlineStr">
        <is>
          <t>1993-03-04</t>
        </is>
      </c>
      <c r="Y108" t="n">
        <v>326</v>
      </c>
      <c r="Z108" t="n">
        <v>181</v>
      </c>
      <c r="AA108" t="n">
        <v>186</v>
      </c>
      <c r="AB108" t="n">
        <v>3</v>
      </c>
      <c r="AC108" t="n">
        <v>3</v>
      </c>
      <c r="AD108" t="n">
        <v>7</v>
      </c>
      <c r="AE108" t="n">
        <v>7</v>
      </c>
      <c r="AF108" t="n">
        <v>2</v>
      </c>
      <c r="AG108" t="n">
        <v>2</v>
      </c>
      <c r="AH108" t="n">
        <v>1</v>
      </c>
      <c r="AI108" t="n">
        <v>1</v>
      </c>
      <c r="AJ108" t="n">
        <v>4</v>
      </c>
      <c r="AK108" t="n">
        <v>4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HYPERLINK("https://creighton-primo.hosted.exlibrisgroup.com/primo-explore/search?tab=default_tab&amp;search_scope=EVERYTHING&amp;vid=01CRU&amp;lang=en_US&amp;offset=0&amp;query=any,contains,991000118999702656","Catalog Record")</f>
        <v/>
      </c>
      <c r="AT108">
        <f>HYPERLINK("http://www.worldcat.org/oclc/9055535","WorldCat Record")</f>
        <v/>
      </c>
      <c r="AU108" t="inlineStr">
        <is>
          <t>42974770:eng</t>
        </is>
      </c>
      <c r="AV108" t="inlineStr">
        <is>
          <t>9055535</t>
        </is>
      </c>
      <c r="AW108" t="inlineStr">
        <is>
          <t>991000118999702656</t>
        </is>
      </c>
      <c r="AX108" t="inlineStr">
        <is>
          <t>991000118999702656</t>
        </is>
      </c>
      <c r="AY108" t="inlineStr">
        <is>
          <t>2266460540002656</t>
        </is>
      </c>
      <c r="AZ108" t="inlineStr">
        <is>
          <t>BOOK</t>
        </is>
      </c>
      <c r="BB108" t="inlineStr">
        <is>
          <t>9780713128529</t>
        </is>
      </c>
      <c r="BC108" t="inlineStr">
        <is>
          <t>32285001544161</t>
        </is>
      </c>
      <c r="BD108" t="inlineStr">
        <is>
          <t>893224748</t>
        </is>
      </c>
    </row>
    <row r="109">
      <c r="A109" t="inlineStr">
        <is>
          <t>No</t>
        </is>
      </c>
      <c r="B109" t="inlineStr">
        <is>
          <t>QH301 .I595 no.149</t>
        </is>
      </c>
      <c r="C109" t="inlineStr">
        <is>
          <t>0                      QH 0301000I  595                                                     no.149</t>
        </is>
      </c>
      <c r="D109" t="inlineStr">
        <is>
          <t>Toxicology / David Pascoe.</t>
        </is>
      </c>
      <c r="E109" t="inlineStr">
        <is>
          <t>no.149*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Pascoe, David.</t>
        </is>
      </c>
      <c r="L109" t="inlineStr">
        <is>
          <t>London : E. Arnold, 1983.</t>
        </is>
      </c>
      <c r="M109" t="inlineStr">
        <is>
          <t>1983</t>
        </is>
      </c>
      <c r="O109" t="inlineStr">
        <is>
          <t>eng</t>
        </is>
      </c>
      <c r="P109" t="inlineStr">
        <is>
          <t>xxk</t>
        </is>
      </c>
      <c r="Q109" t="inlineStr">
        <is>
          <t>Institute of Biology's studies in biology ; no. 149</t>
        </is>
      </c>
      <c r="R109" t="inlineStr">
        <is>
          <t xml:space="preserve">QH </t>
        </is>
      </c>
      <c r="S109" t="n">
        <v>4</v>
      </c>
      <c r="T109" t="n">
        <v>4</v>
      </c>
      <c r="U109" t="inlineStr">
        <is>
          <t>1995-01-11</t>
        </is>
      </c>
      <c r="V109" t="inlineStr">
        <is>
          <t>1995-01-11</t>
        </is>
      </c>
      <c r="W109" t="inlineStr">
        <is>
          <t>1993-03-03</t>
        </is>
      </c>
      <c r="X109" t="inlineStr">
        <is>
          <t>1993-03-03</t>
        </is>
      </c>
      <c r="Y109" t="n">
        <v>189</v>
      </c>
      <c r="Z109" t="n">
        <v>75</v>
      </c>
      <c r="AA109" t="n">
        <v>75</v>
      </c>
      <c r="AB109" t="n">
        <v>1</v>
      </c>
      <c r="AC109" t="n">
        <v>1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HYPERLINK("https://creighton-primo.hosted.exlibrisgroup.com/primo-explore/search?tab=default_tab&amp;search_scope=EVERYTHING&amp;vid=01CRU&amp;lang=en_US&amp;offset=0&amp;query=any,contains,991000208549702656","Catalog Record")</f>
        <v/>
      </c>
      <c r="AT109">
        <f>HYPERLINK("http://www.worldcat.org/oclc/12104561","WorldCat Record")</f>
        <v/>
      </c>
      <c r="AU109" t="inlineStr">
        <is>
          <t>4818307:eng</t>
        </is>
      </c>
      <c r="AV109" t="inlineStr">
        <is>
          <t>12104561</t>
        </is>
      </c>
      <c r="AW109" t="inlineStr">
        <is>
          <t>991000208549702656</t>
        </is>
      </c>
      <c r="AX109" t="inlineStr">
        <is>
          <t>991000208549702656</t>
        </is>
      </c>
      <c r="AY109" t="inlineStr">
        <is>
          <t>2268260030002656</t>
        </is>
      </c>
      <c r="AZ109" t="inlineStr">
        <is>
          <t>BOOK</t>
        </is>
      </c>
      <c r="BB109" t="inlineStr">
        <is>
          <t>9780713128628</t>
        </is>
      </c>
      <c r="BC109" t="inlineStr">
        <is>
          <t>32285001541993</t>
        </is>
      </c>
      <c r="BD109" t="inlineStr">
        <is>
          <t>893496043</t>
        </is>
      </c>
    </row>
    <row r="110">
      <c r="A110" t="inlineStr">
        <is>
          <t>No</t>
        </is>
      </c>
      <c r="B110" t="inlineStr">
        <is>
          <t>QH301 .I595 no.154</t>
        </is>
      </c>
      <c r="C110" t="inlineStr">
        <is>
          <t>0                      QH 0301000I  595                                                     no.154</t>
        </is>
      </c>
      <c r="D110" t="inlineStr">
        <is>
          <t>Wetland ecology / John R. Etherington.</t>
        </is>
      </c>
      <c r="E110" t="inlineStr">
        <is>
          <t>no.154*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Etherington, John R.</t>
        </is>
      </c>
      <c r="L110" t="inlineStr">
        <is>
          <t>London : E. Arnold, 1983.</t>
        </is>
      </c>
      <c r="M110" t="inlineStr">
        <is>
          <t>1983</t>
        </is>
      </c>
      <c r="O110" t="inlineStr">
        <is>
          <t>eng</t>
        </is>
      </c>
      <c r="P110" t="inlineStr">
        <is>
          <t>xxk</t>
        </is>
      </c>
      <c r="Q110" t="inlineStr">
        <is>
          <t>Institute of Biology's studies in biology ; no. 154</t>
        </is>
      </c>
      <c r="R110" t="inlineStr">
        <is>
          <t xml:space="preserve">QH </t>
        </is>
      </c>
      <c r="S110" t="n">
        <v>3</v>
      </c>
      <c r="T110" t="n">
        <v>3</v>
      </c>
      <c r="U110" t="inlineStr">
        <is>
          <t>1992-09-29</t>
        </is>
      </c>
      <c r="V110" t="inlineStr">
        <is>
          <t>1992-09-29</t>
        </is>
      </c>
      <c r="W110" t="inlineStr">
        <is>
          <t>1992-09-29</t>
        </is>
      </c>
      <c r="X110" t="inlineStr">
        <is>
          <t>1992-09-29</t>
        </is>
      </c>
      <c r="Y110" t="n">
        <v>361</v>
      </c>
      <c r="Z110" t="n">
        <v>208</v>
      </c>
      <c r="AA110" t="n">
        <v>208</v>
      </c>
      <c r="AB110" t="n">
        <v>3</v>
      </c>
      <c r="AC110" t="n">
        <v>3</v>
      </c>
      <c r="AD110" t="n">
        <v>5</v>
      </c>
      <c r="AE110" t="n">
        <v>5</v>
      </c>
      <c r="AF110" t="n">
        <v>1</v>
      </c>
      <c r="AG110" t="n">
        <v>1</v>
      </c>
      <c r="AH110" t="n">
        <v>2</v>
      </c>
      <c r="AI110" t="n">
        <v>2</v>
      </c>
      <c r="AJ110" t="n">
        <v>2</v>
      </c>
      <c r="AK110" t="n">
        <v>2</v>
      </c>
      <c r="AL110" t="n">
        <v>1</v>
      </c>
      <c r="AM110" t="n">
        <v>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HYPERLINK("https://creighton-primo.hosted.exlibrisgroup.com/primo-explore/search?tab=default_tab&amp;search_scope=EVERYTHING&amp;vid=01CRU&amp;lang=en_US&amp;offset=0&amp;query=any,contains,991000246019702656","Catalog Record")</f>
        <v/>
      </c>
      <c r="AT110">
        <f>HYPERLINK("http://www.worldcat.org/oclc/9705187","WorldCat Record")</f>
        <v/>
      </c>
      <c r="AU110" t="inlineStr">
        <is>
          <t>43024224:eng</t>
        </is>
      </c>
      <c r="AV110" t="inlineStr">
        <is>
          <t>9705187</t>
        </is>
      </c>
      <c r="AW110" t="inlineStr">
        <is>
          <t>991000246019702656</t>
        </is>
      </c>
      <c r="AX110" t="inlineStr">
        <is>
          <t>991000246019702656</t>
        </is>
      </c>
      <c r="AY110" t="inlineStr">
        <is>
          <t>2270838100002656</t>
        </is>
      </c>
      <c r="AZ110" t="inlineStr">
        <is>
          <t>BOOK</t>
        </is>
      </c>
      <c r="BB110" t="inlineStr">
        <is>
          <t>9780713128659</t>
        </is>
      </c>
      <c r="BC110" t="inlineStr">
        <is>
          <t>32285001323434</t>
        </is>
      </c>
      <c r="BD110" t="inlineStr">
        <is>
          <t>893784089</t>
        </is>
      </c>
    </row>
    <row r="111">
      <c r="A111" t="inlineStr">
        <is>
          <t>No</t>
        </is>
      </c>
      <c r="B111" t="inlineStr">
        <is>
          <t>QH301 .I595 no.162</t>
        </is>
      </c>
      <c r="C111" t="inlineStr">
        <is>
          <t>0                      QH 0301000I  595                                                     no.162</t>
        </is>
      </c>
      <c r="D111" t="inlineStr">
        <is>
          <t>Genetic engineering in higher organisms / J. Roger Warr.</t>
        </is>
      </c>
      <c r="E111" t="inlineStr">
        <is>
          <t>no.162*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Warr, J. Roger.</t>
        </is>
      </c>
      <c r="L111" t="inlineStr">
        <is>
          <t>London : E. Arnold, 1984.</t>
        </is>
      </c>
      <c r="M111" t="inlineStr">
        <is>
          <t>1984</t>
        </is>
      </c>
      <c r="O111" t="inlineStr">
        <is>
          <t>eng</t>
        </is>
      </c>
      <c r="P111" t="inlineStr">
        <is>
          <t>xxk</t>
        </is>
      </c>
      <c r="Q111" t="inlineStr">
        <is>
          <t>Institute of Biology's studies in biology ; no. 162</t>
        </is>
      </c>
      <c r="R111" t="inlineStr">
        <is>
          <t xml:space="preserve">QH </t>
        </is>
      </c>
      <c r="S111" t="n">
        <v>8</v>
      </c>
      <c r="T111" t="n">
        <v>8</v>
      </c>
      <c r="U111" t="inlineStr">
        <is>
          <t>1996-09-24</t>
        </is>
      </c>
      <c r="V111" t="inlineStr">
        <is>
          <t>1996-09-24</t>
        </is>
      </c>
      <c r="W111" t="inlineStr">
        <is>
          <t>1993-03-04</t>
        </is>
      </c>
      <c r="X111" t="inlineStr">
        <is>
          <t>1993-03-04</t>
        </is>
      </c>
      <c r="Y111" t="n">
        <v>259</v>
      </c>
      <c r="Z111" t="n">
        <v>130</v>
      </c>
      <c r="AA111" t="n">
        <v>130</v>
      </c>
      <c r="AB111" t="n">
        <v>3</v>
      </c>
      <c r="AC111" t="n">
        <v>3</v>
      </c>
      <c r="AD111" t="n">
        <v>3</v>
      </c>
      <c r="AE111" t="n">
        <v>3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HYPERLINK("https://creighton-primo.hosted.exlibrisgroup.com/primo-explore/search?tab=default_tab&amp;search_scope=EVERYTHING&amp;vid=01CRU&amp;lang=en_US&amp;offset=0&amp;query=any,contains,991000451109702656","Catalog Record")</f>
        <v/>
      </c>
      <c r="AT111">
        <f>HYPERLINK("http://www.worldcat.org/oclc/10880326","WorldCat Record")</f>
        <v/>
      </c>
      <c r="AU111" t="inlineStr">
        <is>
          <t>3473271:eng</t>
        </is>
      </c>
      <c r="AV111" t="inlineStr">
        <is>
          <t>10880326</t>
        </is>
      </c>
      <c r="AW111" t="inlineStr">
        <is>
          <t>991000451109702656</t>
        </is>
      </c>
      <c r="AX111" t="inlineStr">
        <is>
          <t>991000451109702656</t>
        </is>
      </c>
      <c r="AY111" t="inlineStr">
        <is>
          <t>2260787290002656</t>
        </is>
      </c>
      <c r="AZ111" t="inlineStr">
        <is>
          <t>BOOK</t>
        </is>
      </c>
      <c r="BB111" t="inlineStr">
        <is>
          <t>9780713128857</t>
        </is>
      </c>
      <c r="BC111" t="inlineStr">
        <is>
          <t>32285001544187</t>
        </is>
      </c>
      <c r="BD111" t="inlineStr">
        <is>
          <t>893689701</t>
        </is>
      </c>
    </row>
    <row r="112">
      <c r="A112" t="inlineStr">
        <is>
          <t>No</t>
        </is>
      </c>
      <c r="B112" t="inlineStr">
        <is>
          <t>QH301 .I595 no.25</t>
        </is>
      </c>
      <c r="C112" t="inlineStr">
        <is>
          <t>0                      QH 0301000I  595                                                     no.25</t>
        </is>
      </c>
      <c r="D112" t="inlineStr">
        <is>
          <t>Animal photoperiodism.</t>
        </is>
      </c>
      <c r="E112" t="inlineStr">
        <is>
          <t>no.25*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Lofts, Brian.</t>
        </is>
      </c>
      <c r="L112" t="inlineStr">
        <is>
          <t>London : Arnold, 1970.</t>
        </is>
      </c>
      <c r="M112" t="inlineStr">
        <is>
          <t>1970</t>
        </is>
      </c>
      <c r="O112" t="inlineStr">
        <is>
          <t>eng</t>
        </is>
      </c>
      <c r="P112" t="inlineStr">
        <is>
          <t>enk</t>
        </is>
      </c>
      <c r="Q112" t="inlineStr">
        <is>
          <t>Institute of Biology. Studies in biology ; no. 25</t>
        </is>
      </c>
      <c r="R112" t="inlineStr">
        <is>
          <t xml:space="preserve">QH </t>
        </is>
      </c>
      <c r="S112" t="n">
        <v>1</v>
      </c>
      <c r="T112" t="n">
        <v>1</v>
      </c>
      <c r="U112" t="inlineStr">
        <is>
          <t>1993-04-21</t>
        </is>
      </c>
      <c r="V112" t="inlineStr">
        <is>
          <t>1993-04-21</t>
        </is>
      </c>
      <c r="W112" t="inlineStr">
        <is>
          <t>1992-09-30</t>
        </is>
      </c>
      <c r="X112" t="inlineStr">
        <is>
          <t>1992-09-30</t>
        </is>
      </c>
      <c r="Y112" t="n">
        <v>343</v>
      </c>
      <c r="Z112" t="n">
        <v>176</v>
      </c>
      <c r="AA112" t="n">
        <v>178</v>
      </c>
      <c r="AB112" t="n">
        <v>3</v>
      </c>
      <c r="AC112" t="n">
        <v>3</v>
      </c>
      <c r="AD112" t="n">
        <v>8</v>
      </c>
      <c r="AE112" t="n">
        <v>8</v>
      </c>
      <c r="AF112" t="n">
        <v>3</v>
      </c>
      <c r="AG112" t="n">
        <v>3</v>
      </c>
      <c r="AH112" t="n">
        <v>1</v>
      </c>
      <c r="AI112" t="n">
        <v>1</v>
      </c>
      <c r="AJ112" t="n">
        <v>5</v>
      </c>
      <c r="AK112" t="n">
        <v>5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HYPERLINK("http://catalog.hathitrust.org/Record/000003002","HathiTrust Record")</f>
        <v/>
      </c>
      <c r="AS112">
        <f>HYPERLINK("https://creighton-primo.hosted.exlibrisgroup.com/primo-explore/search?tab=default_tab&amp;search_scope=EVERYTHING&amp;vid=01CRU&amp;lang=en_US&amp;offset=0&amp;query=any,contains,991001236249702656","Catalog Record")</f>
        <v/>
      </c>
      <c r="AT112">
        <f>HYPERLINK("http://www.worldcat.org/oclc/206384","WorldCat Record")</f>
        <v/>
      </c>
      <c r="AU112" t="inlineStr">
        <is>
          <t>1269497:eng</t>
        </is>
      </c>
      <c r="AV112" t="inlineStr">
        <is>
          <t>206384</t>
        </is>
      </c>
      <c r="AW112" t="inlineStr">
        <is>
          <t>991001236249702656</t>
        </is>
      </c>
      <c r="AX112" t="inlineStr">
        <is>
          <t>991001236249702656</t>
        </is>
      </c>
      <c r="AY112" t="inlineStr">
        <is>
          <t>2254850540002656</t>
        </is>
      </c>
      <c r="AZ112" t="inlineStr">
        <is>
          <t>BOOK</t>
        </is>
      </c>
      <c r="BB112" t="inlineStr">
        <is>
          <t>9780713122947</t>
        </is>
      </c>
      <c r="BC112" t="inlineStr">
        <is>
          <t>32285001323442</t>
        </is>
      </c>
      <c r="BD112" t="inlineStr">
        <is>
          <t>893503228</t>
        </is>
      </c>
    </row>
    <row r="113">
      <c r="A113" t="inlineStr">
        <is>
          <t>No</t>
        </is>
      </c>
      <c r="B113" t="inlineStr">
        <is>
          <t>QH301 .I595 no.33</t>
        </is>
      </c>
      <c r="C113" t="inlineStr">
        <is>
          <t>0                      QH 0301000I  595                                                     no.33</t>
        </is>
      </c>
      <c r="D113" t="inlineStr">
        <is>
          <t>Animal flight / by Colin Pennycuick.</t>
        </is>
      </c>
      <c r="E113" t="inlineStr">
        <is>
          <t>no.33*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Pennycuick, C. J. (Colin J.)</t>
        </is>
      </c>
      <c r="L113" t="inlineStr">
        <is>
          <t>London : Edward Arnold, 1972.</t>
        </is>
      </c>
      <c r="M113" t="inlineStr">
        <is>
          <t>1972</t>
        </is>
      </c>
      <c r="O113" t="inlineStr">
        <is>
          <t>eng</t>
        </is>
      </c>
      <c r="P113" t="inlineStr">
        <is>
          <t>enk</t>
        </is>
      </c>
      <c r="Q113" t="inlineStr">
        <is>
          <t>The Institute of Biology's studies in biology, no. 33</t>
        </is>
      </c>
      <c r="R113" t="inlineStr">
        <is>
          <t xml:space="preserve">QH </t>
        </is>
      </c>
      <c r="S113" t="n">
        <v>2</v>
      </c>
      <c r="T113" t="n">
        <v>2</v>
      </c>
      <c r="U113" t="inlineStr">
        <is>
          <t>2008-02-08</t>
        </is>
      </c>
      <c r="V113" t="inlineStr">
        <is>
          <t>2008-02-08</t>
        </is>
      </c>
      <c r="W113" t="inlineStr">
        <is>
          <t>2000-06-15</t>
        </is>
      </c>
      <c r="X113" t="inlineStr">
        <is>
          <t>2000-06-15</t>
        </is>
      </c>
      <c r="Y113" t="n">
        <v>377</v>
      </c>
      <c r="Z113" t="n">
        <v>188</v>
      </c>
      <c r="AA113" t="n">
        <v>190</v>
      </c>
      <c r="AB113" t="n">
        <v>3</v>
      </c>
      <c r="AC113" t="n">
        <v>3</v>
      </c>
      <c r="AD113" t="n">
        <v>7</v>
      </c>
      <c r="AE113" t="n">
        <v>7</v>
      </c>
      <c r="AF113" t="n">
        <v>2</v>
      </c>
      <c r="AG113" t="n">
        <v>2</v>
      </c>
      <c r="AH113" t="n">
        <v>2</v>
      </c>
      <c r="AI113" t="n">
        <v>2</v>
      </c>
      <c r="AJ113" t="n">
        <v>1</v>
      </c>
      <c r="AK113" t="n">
        <v>1</v>
      </c>
      <c r="AL113" t="n">
        <v>2</v>
      </c>
      <c r="AM113" t="n">
        <v>2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HYPERLINK("http://catalog.hathitrust.org/Record/001554430","HathiTrust Record")</f>
        <v/>
      </c>
      <c r="AS113">
        <f>HYPERLINK("https://creighton-primo.hosted.exlibrisgroup.com/primo-explore/search?tab=default_tab&amp;search_scope=EVERYTHING&amp;vid=01CRU&amp;lang=en_US&amp;offset=0&amp;query=any,contains,991003092349702656","Catalog Record")</f>
        <v/>
      </c>
      <c r="AT113">
        <f>HYPERLINK("http://www.worldcat.org/oclc/792145","WorldCat Record")</f>
        <v/>
      </c>
      <c r="AU113" t="inlineStr">
        <is>
          <t>1745006:eng</t>
        </is>
      </c>
      <c r="AV113" t="inlineStr">
        <is>
          <t>792145</t>
        </is>
      </c>
      <c r="AW113" t="inlineStr">
        <is>
          <t>991003092349702656</t>
        </is>
      </c>
      <c r="AX113" t="inlineStr">
        <is>
          <t>991003092349702656</t>
        </is>
      </c>
      <c r="AY113" t="inlineStr">
        <is>
          <t>2272504980002656</t>
        </is>
      </c>
      <c r="AZ113" t="inlineStr">
        <is>
          <t>BOOK</t>
        </is>
      </c>
      <c r="BB113" t="inlineStr">
        <is>
          <t>9780713123555</t>
        </is>
      </c>
      <c r="BC113" t="inlineStr">
        <is>
          <t>32285001543874</t>
        </is>
      </c>
      <c r="BD113" t="inlineStr">
        <is>
          <t>893604430</t>
        </is>
      </c>
    </row>
    <row r="114">
      <c r="A114" t="inlineStr">
        <is>
          <t>No</t>
        </is>
      </c>
      <c r="B114" t="inlineStr">
        <is>
          <t>QH301 .I595 no.83</t>
        </is>
      </c>
      <c r="C114" t="inlineStr">
        <is>
          <t>0                      QH 0301000I  595                                                     no.83</t>
        </is>
      </c>
      <c r="D114" t="inlineStr">
        <is>
          <t>The genetic code and protein biosynthesis / Brian F.C. Clark.</t>
        </is>
      </c>
      <c r="E114" t="inlineStr">
        <is>
          <t>no.83*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Clark, Brian F. C. (Brian Frederic Carl)</t>
        </is>
      </c>
      <c r="L114" t="inlineStr">
        <is>
          <t>London : E. Arnold, 1984.</t>
        </is>
      </c>
      <c r="M114" t="inlineStr">
        <is>
          <t>1984</t>
        </is>
      </c>
      <c r="N114" t="inlineStr">
        <is>
          <t>2nd ed.</t>
        </is>
      </c>
      <c r="O114" t="inlineStr">
        <is>
          <t>eng</t>
        </is>
      </c>
      <c r="P114" t="inlineStr">
        <is>
          <t>enk</t>
        </is>
      </c>
      <c r="Q114" t="inlineStr">
        <is>
          <t>The Institute of Biology's studies in biology ; no. 83</t>
        </is>
      </c>
      <c r="R114" t="inlineStr">
        <is>
          <t xml:space="preserve">QH </t>
        </is>
      </c>
      <c r="S114" t="n">
        <v>3</v>
      </c>
      <c r="T114" t="n">
        <v>3</v>
      </c>
      <c r="U114" t="inlineStr">
        <is>
          <t>1994-09-29</t>
        </is>
      </c>
      <c r="V114" t="inlineStr">
        <is>
          <t>1994-09-29</t>
        </is>
      </c>
      <c r="W114" t="inlineStr">
        <is>
          <t>1993-03-04</t>
        </is>
      </c>
      <c r="X114" t="inlineStr">
        <is>
          <t>1993-03-04</t>
        </is>
      </c>
      <c r="Y114" t="n">
        <v>230</v>
      </c>
      <c r="Z114" t="n">
        <v>111</v>
      </c>
      <c r="AA114" t="n">
        <v>111</v>
      </c>
      <c r="AB114" t="n">
        <v>2</v>
      </c>
      <c r="AC114" t="n">
        <v>2</v>
      </c>
      <c r="AD114" t="n">
        <v>2</v>
      </c>
      <c r="AE114" t="n">
        <v>2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HYPERLINK("https://creighton-primo.hosted.exlibrisgroup.com/primo-explore/search?tab=default_tab&amp;search_scope=EVERYTHING&amp;vid=01CRU&amp;lang=en_US&amp;offset=0&amp;query=any,contains,991000540969702656","Catalog Record")</f>
        <v/>
      </c>
      <c r="AT114">
        <f>HYPERLINK("http://www.worldcat.org/oclc/12551741","WorldCat Record")</f>
        <v/>
      </c>
      <c r="AU114" t="inlineStr">
        <is>
          <t>3372155406:eng</t>
        </is>
      </c>
      <c r="AV114" t="inlineStr">
        <is>
          <t>12551741</t>
        </is>
      </c>
      <c r="AW114" t="inlineStr">
        <is>
          <t>991000540969702656</t>
        </is>
      </c>
      <c r="AX114" t="inlineStr">
        <is>
          <t>991000540969702656</t>
        </is>
      </c>
      <c r="AY114" t="inlineStr">
        <is>
          <t>2265539050002656</t>
        </is>
      </c>
      <c r="AZ114" t="inlineStr">
        <is>
          <t>BOOK</t>
        </is>
      </c>
      <c r="BB114" t="inlineStr">
        <is>
          <t>9780713128871</t>
        </is>
      </c>
      <c r="BC114" t="inlineStr">
        <is>
          <t>32285001543924</t>
        </is>
      </c>
      <c r="BD114" t="inlineStr">
        <is>
          <t>893345758</t>
        </is>
      </c>
    </row>
    <row r="115">
      <c r="A115" t="inlineStr">
        <is>
          <t>No</t>
        </is>
      </c>
      <c r="B115" t="inlineStr">
        <is>
          <t>QH301 .I595 no.89</t>
        </is>
      </c>
      <c r="C115" t="inlineStr">
        <is>
          <t>0                      QH 0301000I  595                                                     no.89</t>
        </is>
      </c>
      <c r="D115" t="inlineStr">
        <is>
          <t>Life in sandy shores / A. E. Brafield. --</t>
        </is>
      </c>
      <c r="E115" t="inlineStr">
        <is>
          <t>no.89*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Brafield, A. E.</t>
        </is>
      </c>
      <c r="L115" t="inlineStr">
        <is>
          <t>London : E. Arnold, 1978.</t>
        </is>
      </c>
      <c r="M115" t="inlineStr">
        <is>
          <t>1978</t>
        </is>
      </c>
      <c r="O115" t="inlineStr">
        <is>
          <t>eng</t>
        </is>
      </c>
      <c r="P115" t="inlineStr">
        <is>
          <t>enk</t>
        </is>
      </c>
      <c r="Q115" t="inlineStr">
        <is>
          <t>The Institute of Biology's Studies in biology ; no. 89</t>
        </is>
      </c>
      <c r="R115" t="inlineStr">
        <is>
          <t xml:space="preserve">QH </t>
        </is>
      </c>
      <c r="S115" t="n">
        <v>1</v>
      </c>
      <c r="T115" t="n">
        <v>1</v>
      </c>
      <c r="U115" t="inlineStr">
        <is>
          <t>1993-11-11</t>
        </is>
      </c>
      <c r="V115" t="inlineStr">
        <is>
          <t>1993-11-11</t>
        </is>
      </c>
      <c r="W115" t="inlineStr">
        <is>
          <t>1993-03-04</t>
        </is>
      </c>
      <c r="X115" t="inlineStr">
        <is>
          <t>1993-03-04</t>
        </is>
      </c>
      <c r="Y115" t="n">
        <v>372</v>
      </c>
      <c r="Z115" t="n">
        <v>204</v>
      </c>
      <c r="AA115" t="n">
        <v>210</v>
      </c>
      <c r="AB115" t="n">
        <v>3</v>
      </c>
      <c r="AC115" t="n">
        <v>3</v>
      </c>
      <c r="AD115" t="n">
        <v>6</v>
      </c>
      <c r="AE115" t="n">
        <v>6</v>
      </c>
      <c r="AF115" t="n">
        <v>2</v>
      </c>
      <c r="AG115" t="n">
        <v>2</v>
      </c>
      <c r="AH115" t="n">
        <v>1</v>
      </c>
      <c r="AI115" t="n">
        <v>1</v>
      </c>
      <c r="AJ115" t="n">
        <v>2</v>
      </c>
      <c r="AK115" t="n">
        <v>2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HYPERLINK("https://creighton-primo.hosted.exlibrisgroup.com/primo-explore/search?tab=default_tab&amp;search_scope=EVERYTHING&amp;vid=01CRU&amp;lang=en_US&amp;offset=0&amp;query=any,contains,991004584389702656","Catalog Record")</f>
        <v/>
      </c>
      <c r="AT115">
        <f>HYPERLINK("http://www.worldcat.org/oclc/4077011","WorldCat Record")</f>
        <v/>
      </c>
      <c r="AU115" t="inlineStr">
        <is>
          <t>14161325:eng</t>
        </is>
      </c>
      <c r="AV115" t="inlineStr">
        <is>
          <t>4077011</t>
        </is>
      </c>
      <c r="AW115" t="inlineStr">
        <is>
          <t>991004584389702656</t>
        </is>
      </c>
      <c r="AX115" t="inlineStr">
        <is>
          <t>991004584389702656</t>
        </is>
      </c>
      <c r="AY115" t="inlineStr">
        <is>
          <t>2262786630002656</t>
        </is>
      </c>
      <c r="AZ115" t="inlineStr">
        <is>
          <t>BOOK</t>
        </is>
      </c>
      <c r="BB115" t="inlineStr">
        <is>
          <t>9780713126815</t>
        </is>
      </c>
      <c r="BC115" t="inlineStr">
        <is>
          <t>32285001543973</t>
        </is>
      </c>
      <c r="BD115" t="inlineStr">
        <is>
          <t>893876275</t>
        </is>
      </c>
    </row>
    <row r="116">
      <c r="A116" t="inlineStr">
        <is>
          <t>No</t>
        </is>
      </c>
      <c r="B116" t="inlineStr">
        <is>
          <t>QH302 .F7</t>
        </is>
      </c>
      <c r="C116" t="inlineStr">
        <is>
          <t>0                      QH 0302000F  7</t>
        </is>
      </c>
      <c r="D116" t="inlineStr">
        <is>
          <t>From cell to organism : readings from Scientific American / with introductions by Donald Kennedy.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San Francisco : W. H. Freeman,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cau</t>
        </is>
      </c>
      <c r="R116" t="inlineStr">
        <is>
          <t xml:space="preserve">QH </t>
        </is>
      </c>
      <c r="S116" t="n">
        <v>5</v>
      </c>
      <c r="T116" t="n">
        <v>5</v>
      </c>
      <c r="U116" t="inlineStr">
        <is>
          <t>1996-10-24</t>
        </is>
      </c>
      <c r="V116" t="inlineStr">
        <is>
          <t>1996-10-24</t>
        </is>
      </c>
      <c r="W116" t="inlineStr">
        <is>
          <t>1994-12-21</t>
        </is>
      </c>
      <c r="X116" t="inlineStr">
        <is>
          <t>1994-12-21</t>
        </is>
      </c>
      <c r="Y116" t="n">
        <v>846</v>
      </c>
      <c r="Z116" t="n">
        <v>698</v>
      </c>
      <c r="AA116" t="n">
        <v>716</v>
      </c>
      <c r="AB116" t="n">
        <v>4</v>
      </c>
      <c r="AC116" t="n">
        <v>4</v>
      </c>
      <c r="AD116" t="n">
        <v>18</v>
      </c>
      <c r="AE116" t="n">
        <v>20</v>
      </c>
      <c r="AF116" t="n">
        <v>6</v>
      </c>
      <c r="AG116" t="n">
        <v>7</v>
      </c>
      <c r="AH116" t="n">
        <v>3</v>
      </c>
      <c r="AI116" t="n">
        <v>4</v>
      </c>
      <c r="AJ116" t="n">
        <v>9</v>
      </c>
      <c r="AK116" t="n">
        <v>9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HYPERLINK("http://catalog.hathitrust.org/Record/001491011","HathiTrust Record")</f>
        <v/>
      </c>
      <c r="AS116">
        <f>HYPERLINK("https://creighton-primo.hosted.exlibrisgroup.com/primo-explore/search?tab=default_tab&amp;search_scope=EVERYTHING&amp;vid=01CRU&amp;lang=en_US&amp;offset=0&amp;query=any,contains,991002871789702656","Catalog Record")</f>
        <v/>
      </c>
      <c r="AT116">
        <f>HYPERLINK("http://www.worldcat.org/oclc/499918","WorldCat Record")</f>
        <v/>
      </c>
      <c r="AU116" t="inlineStr">
        <is>
          <t>354085447:eng</t>
        </is>
      </c>
      <c r="AV116" t="inlineStr">
        <is>
          <t>499918</t>
        </is>
      </c>
      <c r="AW116" t="inlineStr">
        <is>
          <t>991002871789702656</t>
        </is>
      </c>
      <c r="AX116" t="inlineStr">
        <is>
          <t>991002871789702656</t>
        </is>
      </c>
      <c r="AY116" t="inlineStr">
        <is>
          <t>2271116660002656</t>
        </is>
      </c>
      <c r="AZ116" t="inlineStr">
        <is>
          <t>BOOK</t>
        </is>
      </c>
      <c r="BC116" t="inlineStr">
        <is>
          <t>32285001984284</t>
        </is>
      </c>
      <c r="BD116" t="inlineStr">
        <is>
          <t>893504927</t>
        </is>
      </c>
    </row>
    <row r="117">
      <c r="A117" t="inlineStr">
        <is>
          <t>No</t>
        </is>
      </c>
      <c r="B117" t="inlineStr">
        <is>
          <t>QH302 .J58</t>
        </is>
      </c>
      <c r="C117" t="inlineStr">
        <is>
          <t>0                      QH 0302000J  58</t>
        </is>
      </c>
      <c r="D117" t="inlineStr">
        <is>
          <t>Social and natural biology; selections from contemporary classics. Cecil E. Johnson, editor.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Johnson, Cecil E., compiler.</t>
        </is>
      </c>
      <c r="L117" t="inlineStr">
        <is>
          <t>Princeton, N.J., Van Nostrand [1968]</t>
        </is>
      </c>
      <c r="M117" t="inlineStr">
        <is>
          <t>1968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QH </t>
        </is>
      </c>
      <c r="S117" t="n">
        <v>1</v>
      </c>
      <c r="T117" t="n">
        <v>1</v>
      </c>
      <c r="U117" t="inlineStr">
        <is>
          <t>2003-11-11</t>
        </is>
      </c>
      <c r="V117" t="inlineStr">
        <is>
          <t>2003-11-11</t>
        </is>
      </c>
      <c r="W117" t="inlineStr">
        <is>
          <t>1997-06-30</t>
        </is>
      </c>
      <c r="X117" t="inlineStr">
        <is>
          <t>1997-06-30</t>
        </is>
      </c>
      <c r="Y117" t="n">
        <v>518</v>
      </c>
      <c r="Z117" t="n">
        <v>447</v>
      </c>
      <c r="AA117" t="n">
        <v>473</v>
      </c>
      <c r="AB117" t="n">
        <v>6</v>
      </c>
      <c r="AC117" t="n">
        <v>6</v>
      </c>
      <c r="AD117" t="n">
        <v>17</v>
      </c>
      <c r="AE117" t="n">
        <v>18</v>
      </c>
      <c r="AF117" t="n">
        <v>3</v>
      </c>
      <c r="AG117" t="n">
        <v>4</v>
      </c>
      <c r="AH117" t="n">
        <v>2</v>
      </c>
      <c r="AI117" t="n">
        <v>2</v>
      </c>
      <c r="AJ117" t="n">
        <v>9</v>
      </c>
      <c r="AK117" t="n">
        <v>10</v>
      </c>
      <c r="AL117" t="n">
        <v>5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HYPERLINK("http://catalog.hathitrust.org/Record/001491014","HathiTrust Record")</f>
        <v/>
      </c>
      <c r="AS117">
        <f>HYPERLINK("https://creighton-primo.hosted.exlibrisgroup.com/primo-explore/search?tab=default_tab&amp;search_scope=EVERYTHING&amp;vid=01CRU&amp;lang=en_US&amp;offset=0&amp;query=any,contains,991002763859702656","Catalog Record")</f>
        <v/>
      </c>
      <c r="AT117">
        <f>HYPERLINK("http://www.worldcat.org/oclc/431447","WorldCat Record")</f>
        <v/>
      </c>
      <c r="AU117" t="inlineStr">
        <is>
          <t>1537341:eng</t>
        </is>
      </c>
      <c r="AV117" t="inlineStr">
        <is>
          <t>431447</t>
        </is>
      </c>
      <c r="AW117" t="inlineStr">
        <is>
          <t>991002763859702656</t>
        </is>
      </c>
      <c r="AX117" t="inlineStr">
        <is>
          <t>991002763859702656</t>
        </is>
      </c>
      <c r="AY117" t="inlineStr">
        <is>
          <t>2271331020002656</t>
        </is>
      </c>
      <c r="AZ117" t="inlineStr">
        <is>
          <t>BOOK</t>
        </is>
      </c>
      <c r="BC117" t="inlineStr">
        <is>
          <t>32285002866811</t>
        </is>
      </c>
      <c r="BD117" t="inlineStr">
        <is>
          <t>893233384</t>
        </is>
      </c>
    </row>
    <row r="118">
      <c r="A118" t="inlineStr">
        <is>
          <t>No</t>
        </is>
      </c>
      <c r="B118" t="inlineStr">
        <is>
          <t>QH302 .S622 no.13</t>
        </is>
      </c>
      <c r="C118" t="inlineStr">
        <is>
          <t>0                      QH 0302000S  622                                                     no.13</t>
        </is>
      </c>
      <c r="D118" t="inlineStr">
        <is>
          <t>Utilization of nitrogen and its compounds by plants.</t>
        </is>
      </c>
      <c r="E118" t="inlineStr">
        <is>
          <t>no.13*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Society for Experimental Biology (Great Britain)</t>
        </is>
      </c>
      <c r="L118" t="inlineStr">
        <is>
          <t>Cambridge : University Press, 1959.</t>
        </is>
      </c>
      <c r="M118" t="inlineStr">
        <is>
          <t>1959</t>
        </is>
      </c>
      <c r="O118" t="inlineStr">
        <is>
          <t>eng</t>
        </is>
      </c>
      <c r="P118" t="inlineStr">
        <is>
          <t>enk</t>
        </is>
      </c>
      <c r="Q118" t="inlineStr">
        <is>
          <t>Its Symposia, no.13</t>
        </is>
      </c>
      <c r="R118" t="inlineStr">
        <is>
          <t xml:space="preserve">QH </t>
        </is>
      </c>
      <c r="S118" t="n">
        <v>1</v>
      </c>
      <c r="T118" t="n">
        <v>1</v>
      </c>
      <c r="U118" t="inlineStr">
        <is>
          <t>1998-02-21</t>
        </is>
      </c>
      <c r="V118" t="inlineStr">
        <is>
          <t>1998-02-21</t>
        </is>
      </c>
      <c r="W118" t="inlineStr">
        <is>
          <t>1995-03-01</t>
        </is>
      </c>
      <c r="X118" t="inlineStr">
        <is>
          <t>1995-03-01</t>
        </is>
      </c>
      <c r="Y118" t="n">
        <v>145</v>
      </c>
      <c r="Z118" t="n">
        <v>74</v>
      </c>
      <c r="AA118" t="n">
        <v>262</v>
      </c>
      <c r="AB118" t="n">
        <v>1</v>
      </c>
      <c r="AC118" t="n">
        <v>1</v>
      </c>
      <c r="AD118" t="n">
        <v>2</v>
      </c>
      <c r="AE118" t="n">
        <v>9</v>
      </c>
      <c r="AF118" t="n">
        <v>0</v>
      </c>
      <c r="AG118" t="n">
        <v>2</v>
      </c>
      <c r="AH118" t="n">
        <v>1</v>
      </c>
      <c r="AI118" t="n">
        <v>3</v>
      </c>
      <c r="AJ118" t="n">
        <v>2</v>
      </c>
      <c r="AK118" t="n">
        <v>7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HYPERLINK("http://catalog.hathitrust.org/Record/006151419","HathiTrust Record")</f>
        <v/>
      </c>
      <c r="AS118">
        <f>HYPERLINK("https://creighton-primo.hosted.exlibrisgroup.com/primo-explore/search?tab=default_tab&amp;search_scope=EVERYTHING&amp;vid=01CRU&amp;lang=en_US&amp;offset=0&amp;query=any,contains,991004624609702656","Catalog Record")</f>
        <v/>
      </c>
      <c r="AT118">
        <f>HYPERLINK("http://www.worldcat.org/oclc/4327035","WorldCat Record")</f>
        <v/>
      </c>
      <c r="AU118" t="inlineStr">
        <is>
          <t>14703726:eng</t>
        </is>
      </c>
      <c r="AV118" t="inlineStr">
        <is>
          <t>4327035</t>
        </is>
      </c>
      <c r="AW118" t="inlineStr">
        <is>
          <t>991004624609702656</t>
        </is>
      </c>
      <c r="AX118" t="inlineStr">
        <is>
          <t>991004624609702656</t>
        </is>
      </c>
      <c r="AY118" t="inlineStr">
        <is>
          <t>2263591240002656</t>
        </is>
      </c>
      <c r="AZ118" t="inlineStr">
        <is>
          <t>BOOK</t>
        </is>
      </c>
      <c r="BC118" t="inlineStr">
        <is>
          <t>32285001987311</t>
        </is>
      </c>
      <c r="BD118" t="inlineStr">
        <is>
          <t>893513470</t>
        </is>
      </c>
    </row>
    <row r="119">
      <c r="A119" t="inlineStr">
        <is>
          <t>No</t>
        </is>
      </c>
      <c r="B119" t="inlineStr">
        <is>
          <t>QH302 .S622 no.18</t>
        </is>
      </c>
      <c r="C119" t="inlineStr">
        <is>
          <t>0                      QH 0302000S  622                                                     no.18</t>
        </is>
      </c>
      <c r="D119" t="inlineStr">
        <is>
          <t>Homeostasis and feedback mechanisms.</t>
        </is>
      </c>
      <c r="E119" t="inlineStr">
        <is>
          <t>no.18*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Society for Experimental Biology (Great Britain)</t>
        </is>
      </c>
      <c r="L119" t="inlineStr">
        <is>
          <t>New York : Published for the Company of Biologists on behalf of the Society for Experimental Biology [by] Academic Press, 1964.</t>
        </is>
      </c>
      <c r="M119" t="inlineStr">
        <is>
          <t>1964</t>
        </is>
      </c>
      <c r="O119" t="inlineStr">
        <is>
          <t>eng</t>
        </is>
      </c>
      <c r="P119" t="inlineStr">
        <is>
          <t>nyu</t>
        </is>
      </c>
      <c r="Q119" t="inlineStr">
        <is>
          <t>Society for Experimental Biology (Great Britain) Symposia, no. 18</t>
        </is>
      </c>
      <c r="R119" t="inlineStr">
        <is>
          <t xml:space="preserve">QH </t>
        </is>
      </c>
      <c r="S119" t="n">
        <v>4</v>
      </c>
      <c r="T119" t="n">
        <v>4</v>
      </c>
      <c r="U119" t="inlineStr">
        <is>
          <t>1996-10-01</t>
        </is>
      </c>
      <c r="V119" t="inlineStr">
        <is>
          <t>1996-10-01</t>
        </is>
      </c>
      <c r="W119" t="inlineStr">
        <is>
          <t>1995-03-01</t>
        </is>
      </c>
      <c r="X119" t="inlineStr">
        <is>
          <t>1995-03-01</t>
        </is>
      </c>
      <c r="Y119" t="n">
        <v>93</v>
      </c>
      <c r="Z119" t="n">
        <v>60</v>
      </c>
      <c r="AA119" t="n">
        <v>312</v>
      </c>
      <c r="AB119" t="n">
        <v>1</v>
      </c>
      <c r="AC119" t="n">
        <v>1</v>
      </c>
      <c r="AD119" t="n">
        <v>1</v>
      </c>
      <c r="AE119" t="n">
        <v>12</v>
      </c>
      <c r="AF119" t="n">
        <v>0</v>
      </c>
      <c r="AG119" t="n">
        <v>3</v>
      </c>
      <c r="AH119" t="n">
        <v>1</v>
      </c>
      <c r="AI119" t="n">
        <v>3</v>
      </c>
      <c r="AJ119" t="n">
        <v>1</v>
      </c>
      <c r="AK119" t="n">
        <v>8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HYPERLINK("http://catalog.hathitrust.org/Record/001678207","HathiTrust Record")</f>
        <v/>
      </c>
      <c r="AS119">
        <f>HYPERLINK("https://creighton-primo.hosted.exlibrisgroup.com/primo-explore/search?tab=default_tab&amp;search_scope=EVERYTHING&amp;vid=01CRU&amp;lang=en_US&amp;offset=0&amp;query=any,contains,991002276309702656","Catalog Record")</f>
        <v/>
      </c>
      <c r="AT119">
        <f>HYPERLINK("http://www.worldcat.org/oclc/29540035","WorldCat Record")</f>
        <v/>
      </c>
      <c r="AU119" t="inlineStr">
        <is>
          <t>1741546:eng</t>
        </is>
      </c>
      <c r="AV119" t="inlineStr">
        <is>
          <t>29540035</t>
        </is>
      </c>
      <c r="AW119" t="inlineStr">
        <is>
          <t>991002276309702656</t>
        </is>
      </c>
      <c r="AX119" t="inlineStr">
        <is>
          <t>991002276309702656</t>
        </is>
      </c>
      <c r="AY119" t="inlineStr">
        <is>
          <t>2256969460002656</t>
        </is>
      </c>
      <c r="AZ119" t="inlineStr">
        <is>
          <t>BOOK</t>
        </is>
      </c>
      <c r="BC119" t="inlineStr">
        <is>
          <t>32285001987345</t>
        </is>
      </c>
      <c r="BD119" t="inlineStr">
        <is>
          <t>893627046</t>
        </is>
      </c>
    </row>
    <row r="120">
      <c r="A120" t="inlineStr">
        <is>
          <t>No</t>
        </is>
      </c>
      <c r="B120" t="inlineStr">
        <is>
          <t>QH302 .S622 no.21</t>
        </is>
      </c>
      <c r="C120" t="inlineStr">
        <is>
          <t>0                      QH 0302000S  622                                                     no.21</t>
        </is>
      </c>
      <c r="D120" t="inlineStr">
        <is>
          <t>Aspects of the biology of ageing / [edited by Harold W. Woolhouse].</t>
        </is>
      </c>
      <c r="E120" t="inlineStr">
        <is>
          <t>no.21*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Society for Experimental Biology (Great Britain)</t>
        </is>
      </c>
      <c r="L120" t="inlineStr">
        <is>
          <t>Cambridge, London : published for the Company of Biologists on behalf of the Society for Experimental Biology [by] Cambridge U.P., 1967.</t>
        </is>
      </c>
      <c r="M120" t="inlineStr">
        <is>
          <t>1967</t>
        </is>
      </c>
      <c r="O120" t="inlineStr">
        <is>
          <t>eng</t>
        </is>
      </c>
      <c r="P120" t="inlineStr">
        <is>
          <t>enk</t>
        </is>
      </c>
      <c r="Q120" t="inlineStr">
        <is>
          <t>Its Symposia, no.21</t>
        </is>
      </c>
      <c r="R120" t="inlineStr">
        <is>
          <t xml:space="preserve">QH </t>
        </is>
      </c>
      <c r="S120" t="n">
        <v>1</v>
      </c>
      <c r="T120" t="n">
        <v>1</v>
      </c>
      <c r="U120" t="inlineStr">
        <is>
          <t>2002-06-25</t>
        </is>
      </c>
      <c r="V120" t="inlineStr">
        <is>
          <t>2002-06-25</t>
        </is>
      </c>
      <c r="W120" t="inlineStr">
        <is>
          <t>1995-03-01</t>
        </is>
      </c>
      <c r="X120" t="inlineStr">
        <is>
          <t>1995-03-01</t>
        </is>
      </c>
      <c r="Y120" t="n">
        <v>215</v>
      </c>
      <c r="Z120" t="n">
        <v>166</v>
      </c>
      <c r="AA120" t="n">
        <v>284</v>
      </c>
      <c r="AB120" t="n">
        <v>2</v>
      </c>
      <c r="AC120" t="n">
        <v>2</v>
      </c>
      <c r="AD120" t="n">
        <v>9</v>
      </c>
      <c r="AE120" t="n">
        <v>14</v>
      </c>
      <c r="AF120" t="n">
        <v>3</v>
      </c>
      <c r="AG120" t="n">
        <v>4</v>
      </c>
      <c r="AH120" t="n">
        <v>2</v>
      </c>
      <c r="AI120" t="n">
        <v>4</v>
      </c>
      <c r="AJ120" t="n">
        <v>5</v>
      </c>
      <c r="AK120" t="n">
        <v>8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HYPERLINK("http://catalog.hathitrust.org/Record/101965752","HathiTrust Record")</f>
        <v/>
      </c>
      <c r="AS120">
        <f>HYPERLINK("https://creighton-primo.hosted.exlibrisgroup.com/primo-explore/search?tab=default_tab&amp;search_scope=EVERYTHING&amp;vid=01CRU&amp;lang=en_US&amp;offset=0&amp;query=any,contains,991002976439702656","Catalog Record")</f>
        <v/>
      </c>
      <c r="AT120">
        <f>HYPERLINK("http://www.worldcat.org/oclc/552058","WorldCat Record")</f>
        <v/>
      </c>
      <c r="AU120" t="inlineStr">
        <is>
          <t>1599329:eng</t>
        </is>
      </c>
      <c r="AV120" t="inlineStr">
        <is>
          <t>552058</t>
        </is>
      </c>
      <c r="AW120" t="inlineStr">
        <is>
          <t>991002976439702656</t>
        </is>
      </c>
      <c r="AX120" t="inlineStr">
        <is>
          <t>991002976439702656</t>
        </is>
      </c>
      <c r="AY120" t="inlineStr">
        <is>
          <t>2257312720002656</t>
        </is>
      </c>
      <c r="AZ120" t="inlineStr">
        <is>
          <t>BOOK</t>
        </is>
      </c>
      <c r="BC120" t="inlineStr">
        <is>
          <t>32285001987378</t>
        </is>
      </c>
      <c r="BD120" t="inlineStr">
        <is>
          <t>893793179</t>
        </is>
      </c>
    </row>
    <row r="121">
      <c r="A121" t="inlineStr">
        <is>
          <t>No</t>
        </is>
      </c>
      <c r="B121" t="inlineStr">
        <is>
          <t>QH302 .S622 no.22</t>
        </is>
      </c>
      <c r="C121" t="inlineStr">
        <is>
          <t>0                      QH 0302000S  622                                                     no.22</t>
        </is>
      </c>
      <c r="D121" t="inlineStr">
        <is>
          <t>Aspects of cell motility / [edited by P. L. Miller].</t>
        </is>
      </c>
      <c r="E121" t="inlineStr">
        <is>
          <t>no.22*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Society for Experimental Biology (Great Britain)</t>
        </is>
      </c>
      <c r="L121" t="inlineStr">
        <is>
          <t>London : published for the Company of Biologists on behalf of the Society for Experimental Biology by Cambridge U.P., 1968.</t>
        </is>
      </c>
      <c r="M121" t="inlineStr">
        <is>
          <t>1968</t>
        </is>
      </c>
      <c r="O121" t="inlineStr">
        <is>
          <t>eng</t>
        </is>
      </c>
      <c r="P121" t="inlineStr">
        <is>
          <t>enk</t>
        </is>
      </c>
      <c r="Q121" t="inlineStr">
        <is>
          <t>Symposia, no. 22</t>
        </is>
      </c>
      <c r="R121" t="inlineStr">
        <is>
          <t xml:space="preserve">QH </t>
        </is>
      </c>
      <c r="S121" t="n">
        <v>2</v>
      </c>
      <c r="T121" t="n">
        <v>2</v>
      </c>
      <c r="U121" t="inlineStr">
        <is>
          <t>2008-03-12</t>
        </is>
      </c>
      <c r="V121" t="inlineStr">
        <is>
          <t>2008-03-12</t>
        </is>
      </c>
      <c r="W121" t="inlineStr">
        <is>
          <t>1995-03-01</t>
        </is>
      </c>
      <c r="X121" t="inlineStr">
        <is>
          <t>1995-03-01</t>
        </is>
      </c>
      <c r="Y121" t="n">
        <v>230</v>
      </c>
      <c r="Z121" t="n">
        <v>154</v>
      </c>
      <c r="AA121" t="n">
        <v>272</v>
      </c>
      <c r="AB121" t="n">
        <v>1</v>
      </c>
      <c r="AC121" t="n">
        <v>1</v>
      </c>
      <c r="AD121" t="n">
        <v>7</v>
      </c>
      <c r="AE121" t="n">
        <v>11</v>
      </c>
      <c r="AF121" t="n">
        <v>2</v>
      </c>
      <c r="AG121" t="n">
        <v>4</v>
      </c>
      <c r="AH121" t="n">
        <v>3</v>
      </c>
      <c r="AI121" t="n">
        <v>4</v>
      </c>
      <c r="AJ121" t="n">
        <v>4</v>
      </c>
      <c r="AK121" t="n">
        <v>7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HYPERLINK("https://creighton-primo.hosted.exlibrisgroup.com/primo-explore/search?tab=default_tab&amp;search_scope=EVERYTHING&amp;vid=01CRU&amp;lang=en_US&amp;offset=0&amp;query=any,contains,991000082109702656","Catalog Record")</f>
        <v/>
      </c>
      <c r="AT121">
        <f>HYPERLINK("http://www.worldcat.org/oclc/31855","WorldCat Record")</f>
        <v/>
      </c>
      <c r="AU121" t="inlineStr">
        <is>
          <t>1184083:eng</t>
        </is>
      </c>
      <c r="AV121" t="inlineStr">
        <is>
          <t>31855</t>
        </is>
      </c>
      <c r="AW121" t="inlineStr">
        <is>
          <t>991000082109702656</t>
        </is>
      </c>
      <c r="AX121" t="inlineStr">
        <is>
          <t>991000082109702656</t>
        </is>
      </c>
      <c r="AY121" t="inlineStr">
        <is>
          <t>2261188710002656</t>
        </is>
      </c>
      <c r="AZ121" t="inlineStr">
        <is>
          <t>BOOK</t>
        </is>
      </c>
      <c r="BB121" t="inlineStr">
        <is>
          <t>9780521072076</t>
        </is>
      </c>
      <c r="BC121" t="inlineStr">
        <is>
          <t>32285001987386</t>
        </is>
      </c>
      <c r="BD121" t="inlineStr">
        <is>
          <t>893890387</t>
        </is>
      </c>
    </row>
    <row r="122">
      <c r="A122" t="inlineStr">
        <is>
          <t>No</t>
        </is>
      </c>
      <c r="B122" t="inlineStr">
        <is>
          <t>QH302 .S622 no.26</t>
        </is>
      </c>
      <c r="C122" t="inlineStr">
        <is>
          <t>0                      QH 0302000S  622                                                     no.26</t>
        </is>
      </c>
      <c r="D122" t="inlineStr">
        <is>
          <t>The Effects of pressure on organisms.</t>
        </is>
      </c>
      <c r="E122" t="inlineStr">
        <is>
          <t>no.26*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Published for the Society for Experimental Biology [by] Academic Press, 1972.</t>
        </is>
      </c>
      <c r="M122" t="inlineStr">
        <is>
          <t>1972</t>
        </is>
      </c>
      <c r="O122" t="inlineStr">
        <is>
          <t>eng</t>
        </is>
      </c>
      <c r="P122" t="inlineStr">
        <is>
          <t>nyu</t>
        </is>
      </c>
      <c r="Q122" t="inlineStr">
        <is>
          <t>Symposia of the Society for Experimental Biology ; no. 26</t>
        </is>
      </c>
      <c r="R122" t="inlineStr">
        <is>
          <t xml:space="preserve">QH </t>
        </is>
      </c>
      <c r="S122" t="n">
        <v>2</v>
      </c>
      <c r="T122" t="n">
        <v>2</v>
      </c>
      <c r="U122" t="inlineStr">
        <is>
          <t>1995-09-15</t>
        </is>
      </c>
      <c r="V122" t="inlineStr">
        <is>
          <t>1995-09-15</t>
        </is>
      </c>
      <c r="W122" t="inlineStr">
        <is>
          <t>1995-03-01</t>
        </is>
      </c>
      <c r="X122" t="inlineStr">
        <is>
          <t>1995-03-01</t>
        </is>
      </c>
      <c r="Y122" t="n">
        <v>339</v>
      </c>
      <c r="Z122" t="n">
        <v>296</v>
      </c>
      <c r="AA122" t="n">
        <v>307</v>
      </c>
      <c r="AB122" t="n">
        <v>1</v>
      </c>
      <c r="AC122" t="n">
        <v>1</v>
      </c>
      <c r="AD122" t="n">
        <v>13</v>
      </c>
      <c r="AE122" t="n">
        <v>13</v>
      </c>
      <c r="AF122" t="n">
        <v>4</v>
      </c>
      <c r="AG122" t="n">
        <v>4</v>
      </c>
      <c r="AH122" t="n">
        <v>5</v>
      </c>
      <c r="AI122" t="n">
        <v>5</v>
      </c>
      <c r="AJ122" t="n">
        <v>9</v>
      </c>
      <c r="AK122" t="n">
        <v>9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HYPERLINK("http://catalog.hathitrust.org/Record/001678214","HathiTrust Record")</f>
        <v/>
      </c>
      <c r="AS122">
        <f>HYPERLINK("https://creighton-primo.hosted.exlibrisgroup.com/primo-explore/search?tab=default_tab&amp;search_scope=EVERYTHING&amp;vid=01CRU&amp;lang=en_US&amp;offset=0&amp;query=any,contains,991002925179702656","Catalog Record")</f>
        <v/>
      </c>
      <c r="AT122">
        <f>HYPERLINK("http://www.worldcat.org/oclc/528770","WorldCat Record")</f>
        <v/>
      </c>
      <c r="AU122" t="inlineStr">
        <is>
          <t>19981836:eng</t>
        </is>
      </c>
      <c r="AV122" t="inlineStr">
        <is>
          <t>528770</t>
        </is>
      </c>
      <c r="AW122" t="inlineStr">
        <is>
          <t>991002925179702656</t>
        </is>
      </c>
      <c r="AX122" t="inlineStr">
        <is>
          <t>991002925179702656</t>
        </is>
      </c>
      <c r="AY122" t="inlineStr">
        <is>
          <t>2263608050002656</t>
        </is>
      </c>
      <c r="AZ122" t="inlineStr">
        <is>
          <t>BOOK</t>
        </is>
      </c>
      <c r="BB122" t="inlineStr">
        <is>
          <t>9780126126266</t>
        </is>
      </c>
      <c r="BC122" t="inlineStr">
        <is>
          <t>32285001987428</t>
        </is>
      </c>
      <c r="BD122" t="inlineStr">
        <is>
          <t>893498719</t>
        </is>
      </c>
    </row>
    <row r="123">
      <c r="A123" t="inlineStr">
        <is>
          <t>No</t>
        </is>
      </c>
      <c r="B123" t="inlineStr">
        <is>
          <t>QH302 .S622 no.29</t>
        </is>
      </c>
      <c r="C123" t="inlineStr">
        <is>
          <t>0                      QH 0302000S  622                                                     no.29</t>
        </is>
      </c>
      <c r="D123" t="inlineStr">
        <is>
          <t>Symbiosis.</t>
        </is>
      </c>
      <c r="E123" t="inlineStr">
        <is>
          <t>no.29*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Cambridge ; New York : Cambridge University Press, 1975.</t>
        </is>
      </c>
      <c r="M123" t="inlineStr">
        <is>
          <t>1975</t>
        </is>
      </c>
      <c r="O123" t="inlineStr">
        <is>
          <t>eng</t>
        </is>
      </c>
      <c r="P123" t="inlineStr">
        <is>
          <t>enk</t>
        </is>
      </c>
      <c r="Q123" t="inlineStr">
        <is>
          <t>Symposia - Society for Experimental Biology ; no. 29</t>
        </is>
      </c>
      <c r="R123" t="inlineStr">
        <is>
          <t xml:space="preserve">QH </t>
        </is>
      </c>
      <c r="S123" t="n">
        <v>6</v>
      </c>
      <c r="T123" t="n">
        <v>6</v>
      </c>
      <c r="U123" t="inlineStr">
        <is>
          <t>1997-02-04</t>
        </is>
      </c>
      <c r="V123" t="inlineStr">
        <is>
          <t>1997-02-04</t>
        </is>
      </c>
      <c r="W123" t="inlineStr">
        <is>
          <t>1995-03-01</t>
        </is>
      </c>
      <c r="X123" t="inlineStr">
        <is>
          <t>1995-03-01</t>
        </is>
      </c>
      <c r="Y123" t="n">
        <v>406</v>
      </c>
      <c r="Z123" t="n">
        <v>317</v>
      </c>
      <c r="AA123" t="n">
        <v>324</v>
      </c>
      <c r="AB123" t="n">
        <v>2</v>
      </c>
      <c r="AC123" t="n">
        <v>2</v>
      </c>
      <c r="AD123" t="n">
        <v>15</v>
      </c>
      <c r="AE123" t="n">
        <v>15</v>
      </c>
      <c r="AF123" t="n">
        <v>6</v>
      </c>
      <c r="AG123" t="n">
        <v>6</v>
      </c>
      <c r="AH123" t="n">
        <v>4</v>
      </c>
      <c r="AI123" t="n">
        <v>4</v>
      </c>
      <c r="AJ123" t="n">
        <v>9</v>
      </c>
      <c r="AK123" t="n">
        <v>9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HYPERLINK("https://creighton-primo.hosted.exlibrisgroup.com/primo-explore/search?tab=default_tab&amp;search_scope=EVERYTHING&amp;vid=01CRU&amp;lang=en_US&amp;offset=0&amp;query=any,contains,991004347589702656","Catalog Record")</f>
        <v/>
      </c>
      <c r="AT123">
        <f>HYPERLINK("http://www.worldcat.org/oclc/3104169","WorldCat Record")</f>
        <v/>
      </c>
      <c r="AU123" t="inlineStr">
        <is>
          <t>119876398:eng</t>
        </is>
      </c>
      <c r="AV123" t="inlineStr">
        <is>
          <t>3104169</t>
        </is>
      </c>
      <c r="AW123" t="inlineStr">
        <is>
          <t>991004347589702656</t>
        </is>
      </c>
      <c r="AX123" t="inlineStr">
        <is>
          <t>991004347589702656</t>
        </is>
      </c>
      <c r="AY123" t="inlineStr">
        <is>
          <t>2271116420002656</t>
        </is>
      </c>
      <c r="AZ123" t="inlineStr">
        <is>
          <t>BOOK</t>
        </is>
      </c>
      <c r="BB123" t="inlineStr">
        <is>
          <t>9780521208192</t>
        </is>
      </c>
      <c r="BC123" t="inlineStr">
        <is>
          <t>32285001986719</t>
        </is>
      </c>
      <c r="BD123" t="inlineStr">
        <is>
          <t>893718799</t>
        </is>
      </c>
    </row>
    <row r="124">
      <c r="A124" t="inlineStr">
        <is>
          <t>No</t>
        </is>
      </c>
      <c r="B124" t="inlineStr">
        <is>
          <t>QH302 .S622 no.39</t>
        </is>
      </c>
      <c r="C124" t="inlineStr">
        <is>
          <t>0                      QH 0302000S  622                                                     no.39</t>
        </is>
      </c>
      <c r="D124" t="inlineStr">
        <is>
          <t>Physiological adaptations of marine animals / edited by M.S. Laverack.</t>
        </is>
      </c>
      <c r="E124" t="inlineStr">
        <is>
          <t>no.39*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Cambridge [Cambridgeshire] : Published for the Society for Experimental Biology by the Company of Biologists Limited, Dept. of Zoology, University of Cambridge,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enk</t>
        </is>
      </c>
      <c r="Q124" t="inlineStr">
        <is>
          <t>Symposia of the Society for Experimental Biology, 0081-1386 ; no. 39</t>
        </is>
      </c>
      <c r="R124" t="inlineStr">
        <is>
          <t xml:space="preserve">QH </t>
        </is>
      </c>
      <c r="S124" t="n">
        <v>2</v>
      </c>
      <c r="T124" t="n">
        <v>2</v>
      </c>
      <c r="U124" t="inlineStr">
        <is>
          <t>1998-02-02</t>
        </is>
      </c>
      <c r="V124" t="inlineStr">
        <is>
          <t>1998-02-02</t>
        </is>
      </c>
      <c r="W124" t="inlineStr">
        <is>
          <t>1995-03-01</t>
        </is>
      </c>
      <c r="X124" t="inlineStr">
        <is>
          <t>1995-03-01</t>
        </is>
      </c>
      <c r="Y124" t="n">
        <v>312</v>
      </c>
      <c r="Z124" t="n">
        <v>203</v>
      </c>
      <c r="AA124" t="n">
        <v>205</v>
      </c>
      <c r="AB124" t="n">
        <v>1</v>
      </c>
      <c r="AC124" t="n">
        <v>1</v>
      </c>
      <c r="AD124" t="n">
        <v>10</v>
      </c>
      <c r="AE124" t="n">
        <v>10</v>
      </c>
      <c r="AF124" t="n">
        <v>3</v>
      </c>
      <c r="AG124" t="n">
        <v>3</v>
      </c>
      <c r="AH124" t="n">
        <v>4</v>
      </c>
      <c r="AI124" t="n">
        <v>4</v>
      </c>
      <c r="AJ124" t="n">
        <v>5</v>
      </c>
      <c r="AK124" t="n">
        <v>5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HYPERLINK("http://catalog.hathitrust.org/Record/000492687","HathiTrust Record")</f>
        <v/>
      </c>
      <c r="AS124">
        <f>HYPERLINK("https://creighton-primo.hosted.exlibrisgroup.com/primo-explore/search?tab=default_tab&amp;search_scope=EVERYTHING&amp;vid=01CRU&amp;lang=en_US&amp;offset=0&amp;query=any,contains,991000792559702656","Catalog Record")</f>
        <v/>
      </c>
      <c r="AT124">
        <f>HYPERLINK("http://www.worldcat.org/oclc/16831869","WorldCat Record")</f>
        <v/>
      </c>
      <c r="AU124" t="inlineStr">
        <is>
          <t>510126150:eng</t>
        </is>
      </c>
      <c r="AV124" t="inlineStr">
        <is>
          <t>16831869</t>
        </is>
      </c>
      <c r="AW124" t="inlineStr">
        <is>
          <t>991000792559702656</t>
        </is>
      </c>
      <c r="AX124" t="inlineStr">
        <is>
          <t>991000792559702656</t>
        </is>
      </c>
      <c r="AY124" t="inlineStr">
        <is>
          <t>2270667820002656</t>
        </is>
      </c>
      <c r="AZ124" t="inlineStr">
        <is>
          <t>BOOK</t>
        </is>
      </c>
      <c r="BB124" t="inlineStr">
        <is>
          <t>9780948601002</t>
        </is>
      </c>
      <c r="BC124" t="inlineStr">
        <is>
          <t>32285001987469</t>
        </is>
      </c>
      <c r="BD124" t="inlineStr">
        <is>
          <t>893891026</t>
        </is>
      </c>
    </row>
    <row r="125">
      <c r="A125" t="inlineStr">
        <is>
          <t>No</t>
        </is>
      </c>
      <c r="B125" t="inlineStr">
        <is>
          <t>QH302.5 .M4 1983</t>
        </is>
      </c>
      <c r="C125" t="inlineStr">
        <is>
          <t>0                      QH 0302500M  4           1983</t>
        </is>
      </c>
      <c r="D125" t="inlineStr">
        <is>
          <t>Aristotle to zoos : a philosophical dictionary of biology / P.B. Medawar &amp; J.S. Medawar.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Medawar, P. B. (Peter Brian), 1915-1987.</t>
        </is>
      </c>
      <c r="L125" t="inlineStr">
        <is>
          <t>Cambridge, Mass. : Harvard University Press, 1983.</t>
        </is>
      </c>
      <c r="M125" t="inlineStr">
        <is>
          <t>1983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QH </t>
        </is>
      </c>
      <c r="S125" t="n">
        <v>2</v>
      </c>
      <c r="T125" t="n">
        <v>2</v>
      </c>
      <c r="U125" t="inlineStr">
        <is>
          <t>1995-08-29</t>
        </is>
      </c>
      <c r="V125" t="inlineStr">
        <is>
          <t>1995-08-29</t>
        </is>
      </c>
      <c r="W125" t="inlineStr">
        <is>
          <t>1993-03-17</t>
        </is>
      </c>
      <c r="X125" t="inlineStr">
        <is>
          <t>1993-03-17</t>
        </is>
      </c>
      <c r="Y125" t="n">
        <v>841</v>
      </c>
      <c r="Z125" t="n">
        <v>736</v>
      </c>
      <c r="AA125" t="n">
        <v>767</v>
      </c>
      <c r="AB125" t="n">
        <v>4</v>
      </c>
      <c r="AC125" t="n">
        <v>4</v>
      </c>
      <c r="AD125" t="n">
        <v>19</v>
      </c>
      <c r="AE125" t="n">
        <v>23</v>
      </c>
      <c r="AF125" t="n">
        <v>6</v>
      </c>
      <c r="AG125" t="n">
        <v>7</v>
      </c>
      <c r="AH125" t="n">
        <v>5</v>
      </c>
      <c r="AI125" t="n">
        <v>8</v>
      </c>
      <c r="AJ125" t="n">
        <v>10</v>
      </c>
      <c r="AK125" t="n">
        <v>10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HYPERLINK("http://catalog.hathitrust.org/Record/000316703","HathiTrust Record")</f>
        <v/>
      </c>
      <c r="AS125">
        <f>HYPERLINK("https://creighton-primo.hosted.exlibrisgroup.com/primo-explore/search?tab=default_tab&amp;search_scope=EVERYTHING&amp;vid=01CRU&amp;lang=en_US&amp;offset=0&amp;query=any,contains,991000201559702656","Catalog Record")</f>
        <v/>
      </c>
      <c r="AT125">
        <f>HYPERLINK("http://www.worldcat.org/oclc/9465162","WorldCat Record")</f>
        <v/>
      </c>
      <c r="AU125" t="inlineStr">
        <is>
          <t>796116961:eng</t>
        </is>
      </c>
      <c r="AV125" t="inlineStr">
        <is>
          <t>9465162</t>
        </is>
      </c>
      <c r="AW125" t="inlineStr">
        <is>
          <t>991000201559702656</t>
        </is>
      </c>
      <c r="AX125" t="inlineStr">
        <is>
          <t>991000201559702656</t>
        </is>
      </c>
      <c r="AY125" t="inlineStr">
        <is>
          <t>2264685340002656</t>
        </is>
      </c>
      <c r="AZ125" t="inlineStr">
        <is>
          <t>BOOK</t>
        </is>
      </c>
      <c r="BB125" t="inlineStr">
        <is>
          <t>9780674045354</t>
        </is>
      </c>
      <c r="BC125" t="inlineStr">
        <is>
          <t>32285001552354</t>
        </is>
      </c>
      <c r="BD125" t="inlineStr">
        <is>
          <t>893243075</t>
        </is>
      </c>
    </row>
    <row r="126">
      <c r="A126" t="inlineStr">
        <is>
          <t>No</t>
        </is>
      </c>
      <c r="B126" t="inlineStr">
        <is>
          <t>QH303.5 .B39 2003</t>
        </is>
      </c>
      <c r="C126" t="inlineStr">
        <is>
          <t>0                      QH 0303500B  39          2003</t>
        </is>
      </c>
      <c r="D126" t="inlineStr">
        <is>
          <t>Biology resources in the electronic age / Judith A. Bazler.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Bazler, Judith.</t>
        </is>
      </c>
      <c r="L126" t="inlineStr">
        <is>
          <t>Westport, Conn. : Greenwood Press, 2003.</t>
        </is>
      </c>
      <c r="M126" t="inlineStr">
        <is>
          <t>2003</t>
        </is>
      </c>
      <c r="O126" t="inlineStr">
        <is>
          <t>eng</t>
        </is>
      </c>
      <c r="P126" t="inlineStr">
        <is>
          <t>ctu</t>
        </is>
      </c>
      <c r="Q126" t="inlineStr">
        <is>
          <t>Science resources in the electronic age</t>
        </is>
      </c>
      <c r="R126" t="inlineStr">
        <is>
          <t xml:space="preserve">QH </t>
        </is>
      </c>
      <c r="S126" t="n">
        <v>4</v>
      </c>
      <c r="T126" t="n">
        <v>4</v>
      </c>
      <c r="U126" t="inlineStr">
        <is>
          <t>2005-02-07</t>
        </is>
      </c>
      <c r="V126" t="inlineStr">
        <is>
          <t>2005-02-07</t>
        </is>
      </c>
      <c r="W126" t="inlineStr">
        <is>
          <t>2005-02-07</t>
        </is>
      </c>
      <c r="X126" t="inlineStr">
        <is>
          <t>2005-02-07</t>
        </is>
      </c>
      <c r="Y126" t="n">
        <v>234</v>
      </c>
      <c r="Z126" t="n">
        <v>188</v>
      </c>
      <c r="AA126" t="n">
        <v>571</v>
      </c>
      <c r="AB126" t="n">
        <v>3</v>
      </c>
      <c r="AC126" t="n">
        <v>6</v>
      </c>
      <c r="AD126" t="n">
        <v>5</v>
      </c>
      <c r="AE126" t="n">
        <v>23</v>
      </c>
      <c r="AF126" t="n">
        <v>0</v>
      </c>
      <c r="AG126" t="n">
        <v>7</v>
      </c>
      <c r="AH126" t="n">
        <v>1</v>
      </c>
      <c r="AI126" t="n">
        <v>6</v>
      </c>
      <c r="AJ126" t="n">
        <v>3</v>
      </c>
      <c r="AK126" t="n">
        <v>7</v>
      </c>
      <c r="AL126" t="n">
        <v>2</v>
      </c>
      <c r="AM126" t="n">
        <v>5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HYPERLINK("https://creighton-primo.hosted.exlibrisgroup.com/primo-explore/search?tab=default_tab&amp;search_scope=EVERYTHING&amp;vid=01CRU&amp;lang=en_US&amp;offset=0&amp;query=any,contains,991004453669702656","Catalog Record")</f>
        <v/>
      </c>
      <c r="AT126">
        <f>HYPERLINK("http://www.worldcat.org/oclc/51258443","WorldCat Record")</f>
        <v/>
      </c>
      <c r="AU126" t="inlineStr">
        <is>
          <t>3769730129:eng</t>
        </is>
      </c>
      <c r="AV126" t="inlineStr">
        <is>
          <t>51258443</t>
        </is>
      </c>
      <c r="AW126" t="inlineStr">
        <is>
          <t>991004453669702656</t>
        </is>
      </c>
      <c r="AX126" t="inlineStr">
        <is>
          <t>991004453669702656</t>
        </is>
      </c>
      <c r="AY126" t="inlineStr">
        <is>
          <t>2268354650002656</t>
        </is>
      </c>
      <c r="AZ126" t="inlineStr">
        <is>
          <t>BOOK</t>
        </is>
      </c>
      <c r="BB126" t="inlineStr">
        <is>
          <t>9781573563802</t>
        </is>
      </c>
      <c r="BC126" t="inlineStr">
        <is>
          <t>32285005024715</t>
        </is>
      </c>
      <c r="BD126" t="inlineStr">
        <is>
          <t>893794862</t>
        </is>
      </c>
    </row>
    <row r="127">
      <c r="A127" t="inlineStr">
        <is>
          <t>No</t>
        </is>
      </c>
      <c r="B127" t="inlineStr">
        <is>
          <t>QH303.5 .D87 2002</t>
        </is>
      </c>
      <c r="C127" t="inlineStr">
        <is>
          <t>0                      QH 0303500D  87          2002</t>
        </is>
      </c>
      <c r="D127" t="inlineStr">
        <is>
          <t>Biosciences on the Internet : a student's guide / Georges Dussart.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Dussart, Georges.</t>
        </is>
      </c>
      <c r="L127" t="inlineStr">
        <is>
          <t>Chichester : John Wiley, c2002.</t>
        </is>
      </c>
      <c r="M127" t="inlineStr">
        <is>
          <t>2002</t>
        </is>
      </c>
      <c r="O127" t="inlineStr">
        <is>
          <t>eng</t>
        </is>
      </c>
      <c r="P127" t="inlineStr">
        <is>
          <t>enk</t>
        </is>
      </c>
      <c r="R127" t="inlineStr">
        <is>
          <t xml:space="preserve">QH </t>
        </is>
      </c>
      <c r="S127" t="n">
        <v>1</v>
      </c>
      <c r="T127" t="n">
        <v>1</v>
      </c>
      <c r="U127" t="inlineStr">
        <is>
          <t>2003-03-26</t>
        </is>
      </c>
      <c r="V127" t="inlineStr">
        <is>
          <t>2003-03-26</t>
        </is>
      </c>
      <c r="W127" t="inlineStr">
        <is>
          <t>2003-03-26</t>
        </is>
      </c>
      <c r="X127" t="inlineStr">
        <is>
          <t>2003-03-26</t>
        </is>
      </c>
      <c r="Y127" t="n">
        <v>205</v>
      </c>
      <c r="Z127" t="n">
        <v>116</v>
      </c>
      <c r="AA127" t="n">
        <v>681</v>
      </c>
      <c r="AB127" t="n">
        <v>2</v>
      </c>
      <c r="AC127" t="n">
        <v>27</v>
      </c>
      <c r="AD127" t="n">
        <v>4</v>
      </c>
      <c r="AE127" t="n">
        <v>22</v>
      </c>
      <c r="AF127" t="n">
        <v>2</v>
      </c>
      <c r="AG127" t="n">
        <v>6</v>
      </c>
      <c r="AH127" t="n">
        <v>1</v>
      </c>
      <c r="AI127" t="n">
        <v>4</v>
      </c>
      <c r="AJ127" t="n">
        <v>3</v>
      </c>
      <c r="AK127" t="n">
        <v>5</v>
      </c>
      <c r="AL127" t="n">
        <v>1</v>
      </c>
      <c r="AM127" t="n">
        <v>12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HYPERLINK("http://catalog.hathitrust.org/Record/004332383","HathiTrust Record")</f>
        <v/>
      </c>
      <c r="AS127">
        <f>HYPERLINK("https://creighton-primo.hosted.exlibrisgroup.com/primo-explore/search?tab=default_tab&amp;search_scope=EVERYTHING&amp;vid=01CRU&amp;lang=en_US&amp;offset=0&amp;query=any,contains,991004007259702656","Catalog Record")</f>
        <v/>
      </c>
      <c r="AT127">
        <f>HYPERLINK("http://www.worldcat.org/oclc/47983955","WorldCat Record")</f>
        <v/>
      </c>
      <c r="AU127" t="inlineStr">
        <is>
          <t>116906630:eng</t>
        </is>
      </c>
      <c r="AV127" t="inlineStr">
        <is>
          <t>47983955</t>
        </is>
      </c>
      <c r="AW127" t="inlineStr">
        <is>
          <t>991004007259702656</t>
        </is>
      </c>
      <c r="AX127" t="inlineStr">
        <is>
          <t>991004007259702656</t>
        </is>
      </c>
      <c r="AY127" t="inlineStr">
        <is>
          <t>2270158630002656</t>
        </is>
      </c>
      <c r="AZ127" t="inlineStr">
        <is>
          <t>BOOK</t>
        </is>
      </c>
      <c r="BB127" t="inlineStr">
        <is>
          <t>9780471498421</t>
        </is>
      </c>
      <c r="BC127" t="inlineStr">
        <is>
          <t>32285004686829</t>
        </is>
      </c>
      <c r="BD127" t="inlineStr">
        <is>
          <t>893605526</t>
        </is>
      </c>
    </row>
    <row r="128">
      <c r="A128" t="inlineStr">
        <is>
          <t>No</t>
        </is>
      </c>
      <c r="B128" t="inlineStr">
        <is>
          <t>QH304 .K59 2005</t>
        </is>
      </c>
      <c r="C128" t="inlineStr">
        <is>
          <t>0                      QH 0304000K  59          2005</t>
        </is>
      </c>
      <c r="D128" t="inlineStr">
        <is>
          <t>A student handbook for writing in biology / Karin Knisely.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Knisely, Karin.</t>
        </is>
      </c>
      <c r="L128" t="inlineStr">
        <is>
          <t>Sunderland, Mass. : Sinauer Associates ; Gordonsville, VA : W.H. Freeman, c2005.</t>
        </is>
      </c>
      <c r="M128" t="inlineStr">
        <is>
          <t>2005</t>
        </is>
      </c>
      <c r="N128" t="inlineStr">
        <is>
          <t>2nd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QH </t>
        </is>
      </c>
      <c r="S128" t="n">
        <v>5</v>
      </c>
      <c r="T128" t="n">
        <v>5</v>
      </c>
      <c r="U128" t="inlineStr">
        <is>
          <t>2010-12-21</t>
        </is>
      </c>
      <c r="V128" t="inlineStr">
        <is>
          <t>2010-12-21</t>
        </is>
      </c>
      <c r="W128" t="inlineStr">
        <is>
          <t>2005-03-21</t>
        </is>
      </c>
      <c r="X128" t="inlineStr">
        <is>
          <t>2005-03-21</t>
        </is>
      </c>
      <c r="Y128" t="n">
        <v>373</v>
      </c>
      <c r="Z128" t="n">
        <v>285</v>
      </c>
      <c r="AA128" t="n">
        <v>862</v>
      </c>
      <c r="AB128" t="n">
        <v>3</v>
      </c>
      <c r="AC128" t="n">
        <v>5</v>
      </c>
      <c r="AD128" t="n">
        <v>10</v>
      </c>
      <c r="AE128" t="n">
        <v>35</v>
      </c>
      <c r="AF128" t="n">
        <v>2</v>
      </c>
      <c r="AG128" t="n">
        <v>18</v>
      </c>
      <c r="AH128" t="n">
        <v>3</v>
      </c>
      <c r="AI128" t="n">
        <v>7</v>
      </c>
      <c r="AJ128" t="n">
        <v>7</v>
      </c>
      <c r="AK128" t="n">
        <v>15</v>
      </c>
      <c r="AL128" t="n">
        <v>2</v>
      </c>
      <c r="AM128" t="n">
        <v>4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HYPERLINK("https://creighton-primo.hosted.exlibrisgroup.com/primo-explore/search?tab=default_tab&amp;search_scope=EVERYTHING&amp;vid=01CRU&amp;lang=en_US&amp;offset=0&amp;query=any,contains,991004477469702656","Catalog Record")</f>
        <v/>
      </c>
      <c r="AT128">
        <f>HYPERLINK("http://www.worldcat.org/oclc/56904191","WorldCat Record")</f>
        <v/>
      </c>
      <c r="AU128" t="inlineStr">
        <is>
          <t>1083470:eng</t>
        </is>
      </c>
      <c r="AV128" t="inlineStr">
        <is>
          <t>56904191</t>
        </is>
      </c>
      <c r="AW128" t="inlineStr">
        <is>
          <t>991004477469702656</t>
        </is>
      </c>
      <c r="AX128" t="inlineStr">
        <is>
          <t>991004477469702656</t>
        </is>
      </c>
      <c r="AY128" t="inlineStr">
        <is>
          <t>2270416040002656</t>
        </is>
      </c>
      <c r="AZ128" t="inlineStr">
        <is>
          <t>BOOK</t>
        </is>
      </c>
      <c r="BB128" t="inlineStr">
        <is>
          <t>9780716766469</t>
        </is>
      </c>
      <c r="BC128" t="inlineStr">
        <is>
          <t>32285005044085</t>
        </is>
      </c>
      <c r="BD128" t="inlineStr">
        <is>
          <t>893229408</t>
        </is>
      </c>
    </row>
    <row r="129">
      <c r="A129" t="inlineStr">
        <is>
          <t>No</t>
        </is>
      </c>
      <c r="B129" t="inlineStr">
        <is>
          <t>QH304 .P43 1987</t>
        </is>
      </c>
      <c r="C129" t="inlineStr">
        <is>
          <t>0                      QH 0304000P  43          1987</t>
        </is>
      </c>
      <c r="D129" t="inlineStr">
        <is>
          <t>A short guide to writing about biology / Jan A. Pechenik.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Pechenik, Jan A.</t>
        </is>
      </c>
      <c r="L129" t="inlineStr">
        <is>
          <t>Boston : Little, Brown, c1987.</t>
        </is>
      </c>
      <c r="M129" t="inlineStr">
        <is>
          <t>1987</t>
        </is>
      </c>
      <c r="O129" t="inlineStr">
        <is>
          <t>eng</t>
        </is>
      </c>
      <c r="P129" t="inlineStr">
        <is>
          <t>mau</t>
        </is>
      </c>
      <c r="Q129" t="inlineStr">
        <is>
          <t>The Short guide series</t>
        </is>
      </c>
      <c r="R129" t="inlineStr">
        <is>
          <t xml:space="preserve">QH </t>
        </is>
      </c>
      <c r="S129" t="n">
        <v>8</v>
      </c>
      <c r="T129" t="n">
        <v>8</v>
      </c>
      <c r="U129" t="inlineStr">
        <is>
          <t>2010-12-21</t>
        </is>
      </c>
      <c r="V129" t="inlineStr">
        <is>
          <t>2010-12-21</t>
        </is>
      </c>
      <c r="W129" t="inlineStr">
        <is>
          <t>1993-03-17</t>
        </is>
      </c>
      <c r="X129" t="inlineStr">
        <is>
          <t>1993-03-17</t>
        </is>
      </c>
      <c r="Y129" t="n">
        <v>206</v>
      </c>
      <c r="Z129" t="n">
        <v>186</v>
      </c>
      <c r="AA129" t="n">
        <v>1041</v>
      </c>
      <c r="AB129" t="n">
        <v>2</v>
      </c>
      <c r="AC129" t="n">
        <v>7</v>
      </c>
      <c r="AD129" t="n">
        <v>5</v>
      </c>
      <c r="AE129" t="n">
        <v>43</v>
      </c>
      <c r="AF129" t="n">
        <v>0</v>
      </c>
      <c r="AG129" t="n">
        <v>17</v>
      </c>
      <c r="AH129" t="n">
        <v>2</v>
      </c>
      <c r="AI129" t="n">
        <v>9</v>
      </c>
      <c r="AJ129" t="n">
        <v>3</v>
      </c>
      <c r="AK129" t="n">
        <v>21</v>
      </c>
      <c r="AL129" t="n">
        <v>1</v>
      </c>
      <c r="AM129" t="n">
        <v>6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HYPERLINK("http://catalog.hathitrust.org/Record/001086597","HathiTrust Record")</f>
        <v/>
      </c>
      <c r="AS129">
        <f>HYPERLINK("https://creighton-primo.hosted.exlibrisgroup.com/primo-explore/search?tab=default_tab&amp;search_scope=EVERYTHING&amp;vid=01CRU&amp;lang=en_US&amp;offset=0&amp;query=any,contains,991000849389702656","Catalog Record")</f>
        <v/>
      </c>
      <c r="AT129">
        <f>HYPERLINK("http://www.worldcat.org/oclc/13581463","WorldCat Record")</f>
        <v/>
      </c>
      <c r="AU129" t="inlineStr">
        <is>
          <t>678965:eng</t>
        </is>
      </c>
      <c r="AV129" t="inlineStr">
        <is>
          <t>13581463</t>
        </is>
      </c>
      <c r="AW129" t="inlineStr">
        <is>
          <t>991000849389702656</t>
        </is>
      </c>
      <c r="AX129" t="inlineStr">
        <is>
          <t>991000849389702656</t>
        </is>
      </c>
      <c r="AY129" t="inlineStr">
        <is>
          <t>2257385690002656</t>
        </is>
      </c>
      <c r="AZ129" t="inlineStr">
        <is>
          <t>BOOK</t>
        </is>
      </c>
      <c r="BB129" t="inlineStr">
        <is>
          <t>9780316696425</t>
        </is>
      </c>
      <c r="BC129" t="inlineStr">
        <is>
          <t>32285001552388</t>
        </is>
      </c>
      <c r="BD129" t="inlineStr">
        <is>
          <t>893891076</t>
        </is>
      </c>
    </row>
    <row r="130">
      <c r="A130" t="inlineStr">
        <is>
          <t>No</t>
        </is>
      </c>
      <c r="B130" t="inlineStr">
        <is>
          <t>QH305 .A44</t>
        </is>
      </c>
      <c r="C130" t="inlineStr">
        <is>
          <t>0                      QH 0305000A  44</t>
        </is>
      </c>
      <c r="D130" t="inlineStr">
        <is>
          <t>Life science in the twentieth century / Garland E. Allen.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Allen, Garland E.</t>
        </is>
      </c>
      <c r="L130" t="inlineStr">
        <is>
          <t>New York : Wiley, [1975]</t>
        </is>
      </c>
      <c r="M130" t="inlineStr">
        <is>
          <t>1975</t>
        </is>
      </c>
      <c r="O130" t="inlineStr">
        <is>
          <t>eng</t>
        </is>
      </c>
      <c r="P130" t="inlineStr">
        <is>
          <t>nyu</t>
        </is>
      </c>
      <c r="Q130" t="inlineStr">
        <is>
          <t>History of science</t>
        </is>
      </c>
      <c r="R130" t="inlineStr">
        <is>
          <t xml:space="preserve">QH </t>
        </is>
      </c>
      <c r="S130" t="n">
        <v>4</v>
      </c>
      <c r="T130" t="n">
        <v>4</v>
      </c>
      <c r="U130" t="inlineStr">
        <is>
          <t>1995-10-01</t>
        </is>
      </c>
      <c r="V130" t="inlineStr">
        <is>
          <t>1995-10-01</t>
        </is>
      </c>
      <c r="W130" t="inlineStr">
        <is>
          <t>1994-10-28</t>
        </is>
      </c>
      <c r="X130" t="inlineStr">
        <is>
          <t>1994-10-28</t>
        </is>
      </c>
      <c r="Y130" t="n">
        <v>446</v>
      </c>
      <c r="Z130" t="n">
        <v>351</v>
      </c>
      <c r="AA130" t="n">
        <v>488</v>
      </c>
      <c r="AB130" t="n">
        <v>3</v>
      </c>
      <c r="AC130" t="n">
        <v>4</v>
      </c>
      <c r="AD130" t="n">
        <v>10</v>
      </c>
      <c r="AE130" t="n">
        <v>20</v>
      </c>
      <c r="AF130" t="n">
        <v>2</v>
      </c>
      <c r="AG130" t="n">
        <v>4</v>
      </c>
      <c r="AH130" t="n">
        <v>3</v>
      </c>
      <c r="AI130" t="n">
        <v>4</v>
      </c>
      <c r="AJ130" t="n">
        <v>4</v>
      </c>
      <c r="AK130" t="n">
        <v>12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HYPERLINK("https://creighton-primo.hosted.exlibrisgroup.com/primo-explore/search?tab=default_tab&amp;search_scope=EVERYTHING&amp;vid=01CRU&amp;lang=en_US&amp;offset=0&amp;query=any,contains,991003554089702656","Catalog Record")</f>
        <v/>
      </c>
      <c r="AT130">
        <f>HYPERLINK("http://www.worldcat.org/oclc/1121223","WorldCat Record")</f>
        <v/>
      </c>
      <c r="AU130" t="inlineStr">
        <is>
          <t>298871:eng</t>
        </is>
      </c>
      <c r="AV130" t="inlineStr">
        <is>
          <t>1121223</t>
        </is>
      </c>
      <c r="AW130" t="inlineStr">
        <is>
          <t>991003554089702656</t>
        </is>
      </c>
      <c r="AX130" t="inlineStr">
        <is>
          <t>991003554089702656</t>
        </is>
      </c>
      <c r="AY130" t="inlineStr">
        <is>
          <t>2268393120002656</t>
        </is>
      </c>
      <c r="AZ130" t="inlineStr">
        <is>
          <t>BOOK</t>
        </is>
      </c>
      <c r="BB130" t="inlineStr">
        <is>
          <t>9780471023364</t>
        </is>
      </c>
      <c r="BC130" t="inlineStr">
        <is>
          <t>32285001963569</t>
        </is>
      </c>
      <c r="BD130" t="inlineStr">
        <is>
          <t>893874881</t>
        </is>
      </c>
    </row>
    <row r="131">
      <c r="A131" t="inlineStr">
        <is>
          <t>No</t>
        </is>
      </c>
      <c r="B131" t="inlineStr">
        <is>
          <t>QH305 .B38</t>
        </is>
      </c>
      <c r="C131" t="inlineStr">
        <is>
          <t>0                      QH 0305000B  38</t>
        </is>
      </c>
      <c r="D131" t="inlineStr">
        <is>
          <t>Biology, its historical development / by Howard B. Baumel.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Baumel, Howard B.</t>
        </is>
      </c>
      <c r="L131" t="inlineStr">
        <is>
          <t>New York : Philosophical Library, c1978.</t>
        </is>
      </c>
      <c r="M131" t="inlineStr">
        <is>
          <t>1978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QH </t>
        </is>
      </c>
      <c r="S131" t="n">
        <v>3</v>
      </c>
      <c r="T131" t="n">
        <v>3</v>
      </c>
      <c r="U131" t="inlineStr">
        <is>
          <t>1995-11-21</t>
        </is>
      </c>
      <c r="V131" t="inlineStr">
        <is>
          <t>1995-11-21</t>
        </is>
      </c>
      <c r="W131" t="inlineStr">
        <is>
          <t>1993-03-17</t>
        </is>
      </c>
      <c r="X131" t="inlineStr">
        <is>
          <t>1993-03-17</t>
        </is>
      </c>
      <c r="Y131" t="n">
        <v>172</v>
      </c>
      <c r="Z131" t="n">
        <v>145</v>
      </c>
      <c r="AA131" t="n">
        <v>145</v>
      </c>
      <c r="AB131" t="n">
        <v>1</v>
      </c>
      <c r="AC131" t="n">
        <v>1</v>
      </c>
      <c r="AD131" t="n">
        <v>4</v>
      </c>
      <c r="AE131" t="n">
        <v>4</v>
      </c>
      <c r="AF131" t="n">
        <v>1</v>
      </c>
      <c r="AG131" t="n">
        <v>1</v>
      </c>
      <c r="AH131" t="n">
        <v>0</v>
      </c>
      <c r="AI131" t="n">
        <v>0</v>
      </c>
      <c r="AJ131" t="n">
        <v>3</v>
      </c>
      <c r="AK131" t="n">
        <v>3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HYPERLINK("https://creighton-primo.hosted.exlibrisgroup.com/primo-explore/search?tab=default_tab&amp;search_scope=EVERYTHING&amp;vid=01CRU&amp;lang=en_US&amp;offset=0&amp;query=any,contains,991004664029702656","Catalog Record")</f>
        <v/>
      </c>
      <c r="AT131">
        <f>HYPERLINK("http://www.worldcat.org/oclc/4499744","WorldCat Record")</f>
        <v/>
      </c>
      <c r="AU131" t="inlineStr">
        <is>
          <t>14787343:eng</t>
        </is>
      </c>
      <c r="AV131" t="inlineStr">
        <is>
          <t>4499744</t>
        </is>
      </c>
      <c r="AW131" t="inlineStr">
        <is>
          <t>991004664029702656</t>
        </is>
      </c>
      <c r="AX131" t="inlineStr">
        <is>
          <t>991004664029702656</t>
        </is>
      </c>
      <c r="AY131" t="inlineStr">
        <is>
          <t>2265863650002656</t>
        </is>
      </c>
      <c r="AZ131" t="inlineStr">
        <is>
          <t>BOOK</t>
        </is>
      </c>
      <c r="BB131" t="inlineStr">
        <is>
          <t>9780802222176</t>
        </is>
      </c>
      <c r="BC131" t="inlineStr">
        <is>
          <t>32285001552396</t>
        </is>
      </c>
      <c r="BD131" t="inlineStr">
        <is>
          <t>893807337</t>
        </is>
      </c>
    </row>
    <row r="132">
      <c r="A132" t="inlineStr">
        <is>
          <t>No</t>
        </is>
      </c>
      <c r="B132" t="inlineStr">
        <is>
          <t>QH305 .G3 1965</t>
        </is>
      </c>
      <c r="C132" t="inlineStr">
        <is>
          <t>0                      QH 0305000G  3           1965</t>
        </is>
      </c>
      <c r="D132" t="inlineStr">
        <is>
          <t>History of biology / [by] Eldon J. Gardner.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K132" t="inlineStr">
        <is>
          <t>Gardner, Eldon J. (Eldon John), 1909-1989.</t>
        </is>
      </c>
      <c r="L132" t="inlineStr">
        <is>
          <t>Minneapolis : Burgess Pub. Co., [1965]</t>
        </is>
      </c>
      <c r="M132" t="inlineStr">
        <is>
          <t>1965</t>
        </is>
      </c>
      <c r="N132" t="inlineStr">
        <is>
          <t>2d ed.</t>
        </is>
      </c>
      <c r="O132" t="inlineStr">
        <is>
          <t>eng</t>
        </is>
      </c>
      <c r="P132" t="inlineStr">
        <is>
          <t>mnu</t>
        </is>
      </c>
      <c r="R132" t="inlineStr">
        <is>
          <t xml:space="preserve">QH </t>
        </is>
      </c>
      <c r="S132" t="n">
        <v>6</v>
      </c>
      <c r="T132" t="n">
        <v>6</v>
      </c>
      <c r="U132" t="inlineStr">
        <is>
          <t>1996-09-20</t>
        </is>
      </c>
      <c r="V132" t="inlineStr">
        <is>
          <t>1996-09-20</t>
        </is>
      </c>
      <c r="W132" t="inlineStr">
        <is>
          <t>1994-10-28</t>
        </is>
      </c>
      <c r="X132" t="inlineStr">
        <is>
          <t>1994-10-28</t>
        </is>
      </c>
      <c r="Y132" t="n">
        <v>514</v>
      </c>
      <c r="Z132" t="n">
        <v>467</v>
      </c>
      <c r="AA132" t="n">
        <v>843</v>
      </c>
      <c r="AB132" t="n">
        <v>6</v>
      </c>
      <c r="AC132" t="n">
        <v>8</v>
      </c>
      <c r="AD132" t="n">
        <v>19</v>
      </c>
      <c r="AE132" t="n">
        <v>27</v>
      </c>
      <c r="AF132" t="n">
        <v>5</v>
      </c>
      <c r="AG132" t="n">
        <v>9</v>
      </c>
      <c r="AH132" t="n">
        <v>2</v>
      </c>
      <c r="AI132" t="n">
        <v>2</v>
      </c>
      <c r="AJ132" t="n">
        <v>10</v>
      </c>
      <c r="AK132" t="n">
        <v>15</v>
      </c>
      <c r="AL132" t="n">
        <v>5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HYPERLINK("http://catalog.hathitrust.org/Record/005718505","HathiTrust Record")</f>
        <v/>
      </c>
      <c r="AS132">
        <f>HYPERLINK("https://creighton-primo.hosted.exlibrisgroup.com/primo-explore/search?tab=default_tab&amp;search_scope=EVERYTHING&amp;vid=01CRU&amp;lang=en_US&amp;offset=0&amp;query=any,contains,991003820489702656","Catalog Record")</f>
        <v/>
      </c>
      <c r="AT132">
        <f>HYPERLINK("http://www.worldcat.org/oclc/1557850","WorldCat Record")</f>
        <v/>
      </c>
      <c r="AU132" t="inlineStr">
        <is>
          <t>3943319613:eng</t>
        </is>
      </c>
      <c r="AV132" t="inlineStr">
        <is>
          <t>1557850</t>
        </is>
      </c>
      <c r="AW132" t="inlineStr">
        <is>
          <t>991003820489702656</t>
        </is>
      </c>
      <c r="AX132" t="inlineStr">
        <is>
          <t>991003820489702656</t>
        </is>
      </c>
      <c r="AY132" t="inlineStr">
        <is>
          <t>2268588940002656</t>
        </is>
      </c>
      <c r="AZ132" t="inlineStr">
        <is>
          <t>BOOK</t>
        </is>
      </c>
      <c r="BC132" t="inlineStr">
        <is>
          <t>32285001963544</t>
        </is>
      </c>
      <c r="BD132" t="inlineStr">
        <is>
          <t>893343058</t>
        </is>
      </c>
    </row>
    <row r="133">
      <c r="A133" t="inlineStr">
        <is>
          <t>No</t>
        </is>
      </c>
      <c r="B133" t="inlineStr">
        <is>
          <t>QH305 .G3 1972</t>
        </is>
      </c>
      <c r="C133" t="inlineStr">
        <is>
          <t>0                      QH 0305000G  3           1972</t>
        </is>
      </c>
      <c r="D133" t="inlineStr">
        <is>
          <t>History of biology / [by] Eldon J. Gardner.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Gardner, Eldon J. (Eldon John), 1909-1989.</t>
        </is>
      </c>
      <c r="L133" t="inlineStr">
        <is>
          <t>Minneapolis : Burgess Pub. Co., [1972]</t>
        </is>
      </c>
      <c r="M133" t="inlineStr">
        <is>
          <t>1972</t>
        </is>
      </c>
      <c r="N133" t="inlineStr">
        <is>
          <t>3d ed.</t>
        </is>
      </c>
      <c r="O133" t="inlineStr">
        <is>
          <t>eng</t>
        </is>
      </c>
      <c r="P133" t="inlineStr">
        <is>
          <t>mnu</t>
        </is>
      </c>
      <c r="R133" t="inlineStr">
        <is>
          <t xml:space="preserve">QH </t>
        </is>
      </c>
      <c r="S133" t="n">
        <v>4</v>
      </c>
      <c r="T133" t="n">
        <v>4</v>
      </c>
      <c r="U133" t="inlineStr">
        <is>
          <t>1996-09-03</t>
        </is>
      </c>
      <c r="V133" t="inlineStr">
        <is>
          <t>1996-09-03</t>
        </is>
      </c>
      <c r="W133" t="inlineStr">
        <is>
          <t>1994-12-14</t>
        </is>
      </c>
      <c r="X133" t="inlineStr">
        <is>
          <t>1994-12-14</t>
        </is>
      </c>
      <c r="Y133" t="n">
        <v>550</v>
      </c>
      <c r="Z133" t="n">
        <v>472</v>
      </c>
      <c r="AA133" t="n">
        <v>843</v>
      </c>
      <c r="AB133" t="n">
        <v>3</v>
      </c>
      <c r="AC133" t="n">
        <v>8</v>
      </c>
      <c r="AD133" t="n">
        <v>11</v>
      </c>
      <c r="AE133" t="n">
        <v>27</v>
      </c>
      <c r="AF133" t="n">
        <v>5</v>
      </c>
      <c r="AG133" t="n">
        <v>9</v>
      </c>
      <c r="AH133" t="n">
        <v>1</v>
      </c>
      <c r="AI133" t="n">
        <v>2</v>
      </c>
      <c r="AJ133" t="n">
        <v>7</v>
      </c>
      <c r="AK133" t="n">
        <v>15</v>
      </c>
      <c r="AL133" t="n">
        <v>2</v>
      </c>
      <c r="AM133" t="n">
        <v>7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HYPERLINK("http://catalog.hathitrust.org/Record/007973070","HathiTrust Record")</f>
        <v/>
      </c>
      <c r="AS133">
        <f>HYPERLINK("https://creighton-primo.hosted.exlibrisgroup.com/primo-explore/search?tab=default_tab&amp;search_scope=EVERYTHING&amp;vid=01CRU&amp;lang=en_US&amp;offset=0&amp;query=any,contains,991002760489702656","Catalog Record")</f>
        <v/>
      </c>
      <c r="AT133">
        <f>HYPERLINK("http://www.worldcat.org/oclc/428466","WorldCat Record")</f>
        <v/>
      </c>
      <c r="AU133" t="inlineStr">
        <is>
          <t>3943319613:eng</t>
        </is>
      </c>
      <c r="AV133" t="inlineStr">
        <is>
          <t>428466</t>
        </is>
      </c>
      <c r="AW133" t="inlineStr">
        <is>
          <t>991002760489702656</t>
        </is>
      </c>
      <c r="AX133" t="inlineStr">
        <is>
          <t>991002760489702656</t>
        </is>
      </c>
      <c r="AY133" t="inlineStr">
        <is>
          <t>2265148910002656</t>
        </is>
      </c>
      <c r="AZ133" t="inlineStr">
        <is>
          <t>BOOK</t>
        </is>
      </c>
      <c r="BB133" t="inlineStr">
        <is>
          <t>9780808707028</t>
        </is>
      </c>
      <c r="BC133" t="inlineStr">
        <is>
          <t>32285001982163</t>
        </is>
      </c>
      <c r="BD133" t="inlineStr">
        <is>
          <t>893335677</t>
        </is>
      </c>
    </row>
    <row r="134">
      <c r="A134" t="inlineStr">
        <is>
          <t>No</t>
        </is>
      </c>
      <c r="B134" t="inlineStr">
        <is>
          <t>QH305 .L7 1935</t>
        </is>
      </c>
      <c r="C134" t="inlineStr">
        <is>
          <t>0                      QH 0305000L  7           1935</t>
        </is>
      </c>
      <c r="D134" t="inlineStr">
        <is>
          <t>Biology and its makers.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Locy, William A. (William Albert), 1857-1924.</t>
        </is>
      </c>
      <c r="L134" t="inlineStr">
        <is>
          <t>New York : Holt, Rinehart and Winston, c1935.</t>
        </is>
      </c>
      <c r="M134" t="inlineStr">
        <is>
          <t>1935</t>
        </is>
      </c>
      <c r="N134" t="inlineStr">
        <is>
          <t>3d ed., rev.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QH </t>
        </is>
      </c>
      <c r="S134" t="n">
        <v>3</v>
      </c>
      <c r="T134" t="n">
        <v>3</v>
      </c>
      <c r="U134" t="inlineStr">
        <is>
          <t>1995-09-20</t>
        </is>
      </c>
      <c r="V134" t="inlineStr">
        <is>
          <t>1995-09-20</t>
        </is>
      </c>
      <c r="W134" t="inlineStr">
        <is>
          <t>1994-11-16</t>
        </is>
      </c>
      <c r="X134" t="inlineStr">
        <is>
          <t>1994-11-16</t>
        </is>
      </c>
      <c r="Y134" t="n">
        <v>96</v>
      </c>
      <c r="Z134" t="n">
        <v>96</v>
      </c>
      <c r="AA134" t="n">
        <v>646</v>
      </c>
      <c r="AB134" t="n">
        <v>1</v>
      </c>
      <c r="AC134" t="n">
        <v>6</v>
      </c>
      <c r="AD134" t="n">
        <v>3</v>
      </c>
      <c r="AE134" t="n">
        <v>29</v>
      </c>
      <c r="AF134" t="n">
        <v>1</v>
      </c>
      <c r="AG134" t="n">
        <v>10</v>
      </c>
      <c r="AH134" t="n">
        <v>0</v>
      </c>
      <c r="AI134" t="n">
        <v>5</v>
      </c>
      <c r="AJ134" t="n">
        <v>2</v>
      </c>
      <c r="AK134" t="n">
        <v>12</v>
      </c>
      <c r="AL134" t="n">
        <v>0</v>
      </c>
      <c r="AM134" t="n">
        <v>4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HYPERLINK("https://creighton-primo.hosted.exlibrisgroup.com/primo-explore/search?tab=default_tab&amp;search_scope=EVERYTHING&amp;vid=01CRU&amp;lang=en_US&amp;offset=0&amp;query=any,contains,991002972929702656","Catalog Record")</f>
        <v/>
      </c>
      <c r="AT134">
        <f>HYPERLINK("http://www.worldcat.org/oclc/550471","WorldCat Record")</f>
        <v/>
      </c>
      <c r="AU134" t="inlineStr">
        <is>
          <t>1594985:eng</t>
        </is>
      </c>
      <c r="AV134" t="inlineStr">
        <is>
          <t>550471</t>
        </is>
      </c>
      <c r="AW134" t="inlineStr">
        <is>
          <t>991002972929702656</t>
        </is>
      </c>
      <c r="AX134" t="inlineStr">
        <is>
          <t>991002972929702656</t>
        </is>
      </c>
      <c r="AY134" t="inlineStr">
        <is>
          <t>2255099100002656</t>
        </is>
      </c>
      <c r="AZ134" t="inlineStr">
        <is>
          <t>BOOK</t>
        </is>
      </c>
      <c r="BC134" t="inlineStr">
        <is>
          <t>32285001966968</t>
        </is>
      </c>
      <c r="BD134" t="inlineStr">
        <is>
          <t>893786819</t>
        </is>
      </c>
    </row>
    <row r="135">
      <c r="A135" t="inlineStr">
        <is>
          <t>No</t>
        </is>
      </c>
      <c r="B135" t="inlineStr">
        <is>
          <t>QH305 .M22</t>
        </is>
      </c>
      <c r="C135" t="inlineStr">
        <is>
          <t>0                      QH 0305000M  22</t>
        </is>
      </c>
      <c r="D135" t="inlineStr">
        <is>
          <t>A history of the life sciences / Lois N. Magner.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Yes</t>
        </is>
      </c>
      <c r="J135" t="inlineStr">
        <is>
          <t>0</t>
        </is>
      </c>
      <c r="K135" t="inlineStr">
        <is>
          <t>Magner, Lois N., 1943-</t>
        </is>
      </c>
      <c r="L135" t="inlineStr">
        <is>
          <t>New York : M. Dekker, c1979.</t>
        </is>
      </c>
      <c r="M135" t="inlineStr">
        <is>
          <t>1979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QH </t>
        </is>
      </c>
      <c r="S135" t="n">
        <v>9</v>
      </c>
      <c r="T135" t="n">
        <v>9</v>
      </c>
      <c r="U135" t="inlineStr">
        <is>
          <t>1996-09-20</t>
        </is>
      </c>
      <c r="V135" t="inlineStr">
        <is>
          <t>1996-09-20</t>
        </is>
      </c>
      <c r="W135" t="inlineStr">
        <is>
          <t>1993-03-17</t>
        </is>
      </c>
      <c r="X135" t="inlineStr">
        <is>
          <t>1993-03-17</t>
        </is>
      </c>
      <c r="Y135" t="n">
        <v>546</v>
      </c>
      <c r="Z135" t="n">
        <v>432</v>
      </c>
      <c r="AA135" t="n">
        <v>925</v>
      </c>
      <c r="AB135" t="n">
        <v>4</v>
      </c>
      <c r="AC135" t="n">
        <v>8</v>
      </c>
      <c r="AD135" t="n">
        <v>16</v>
      </c>
      <c r="AE135" t="n">
        <v>39</v>
      </c>
      <c r="AF135" t="n">
        <v>5</v>
      </c>
      <c r="AG135" t="n">
        <v>17</v>
      </c>
      <c r="AH135" t="n">
        <v>3</v>
      </c>
      <c r="AI135" t="n">
        <v>8</v>
      </c>
      <c r="AJ135" t="n">
        <v>8</v>
      </c>
      <c r="AK135" t="n">
        <v>15</v>
      </c>
      <c r="AL135" t="n">
        <v>3</v>
      </c>
      <c r="AM135" t="n">
        <v>7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HYPERLINK("http://catalog.hathitrust.org/Record/000020534","HathiTrust Record")</f>
        <v/>
      </c>
      <c r="AS135">
        <f>HYPERLINK("https://creighton-primo.hosted.exlibrisgroup.com/primo-explore/search?tab=default_tab&amp;search_scope=EVERYTHING&amp;vid=01CRU&amp;lang=en_US&amp;offset=0&amp;query=any,contains,991004758459702656","Catalog Record")</f>
        <v/>
      </c>
      <c r="AT135">
        <f>HYPERLINK("http://www.worldcat.org/oclc/4983272","WorldCat Record")</f>
        <v/>
      </c>
      <c r="AU135" t="inlineStr">
        <is>
          <t>4923275228:eng</t>
        </is>
      </c>
      <c r="AV135" t="inlineStr">
        <is>
          <t>4983272</t>
        </is>
      </c>
      <c r="AW135" t="inlineStr">
        <is>
          <t>991004758459702656</t>
        </is>
      </c>
      <c r="AX135" t="inlineStr">
        <is>
          <t>991004758459702656</t>
        </is>
      </c>
      <c r="AY135" t="inlineStr">
        <is>
          <t>2265987250002656</t>
        </is>
      </c>
      <c r="AZ135" t="inlineStr">
        <is>
          <t>BOOK</t>
        </is>
      </c>
      <c r="BB135" t="inlineStr">
        <is>
          <t>9780824768249</t>
        </is>
      </c>
      <c r="BC135" t="inlineStr">
        <is>
          <t>32285001552420</t>
        </is>
      </c>
      <c r="BD135" t="inlineStr">
        <is>
          <t>893901719</t>
        </is>
      </c>
    </row>
    <row r="136">
      <c r="A136" t="inlineStr">
        <is>
          <t>No</t>
        </is>
      </c>
      <c r="B136" t="inlineStr">
        <is>
          <t>QH305 .M22 1994</t>
        </is>
      </c>
      <c r="C136" t="inlineStr">
        <is>
          <t>0                      QH 0305000M  22          1994</t>
        </is>
      </c>
      <c r="D136" t="inlineStr">
        <is>
          <t>A history of the life sciences / Lois N. Magner.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Yes</t>
        </is>
      </c>
      <c r="J136" t="inlineStr">
        <is>
          <t>0</t>
        </is>
      </c>
      <c r="K136" t="inlineStr">
        <is>
          <t>Magner, Lois N., 1943-</t>
        </is>
      </c>
      <c r="L136" t="inlineStr">
        <is>
          <t>New York : M. Dekker, c1994.</t>
        </is>
      </c>
      <c r="M136" t="inlineStr">
        <is>
          <t>1994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QH </t>
        </is>
      </c>
      <c r="S136" t="n">
        <v>3</v>
      </c>
      <c r="T136" t="n">
        <v>3</v>
      </c>
      <c r="U136" t="inlineStr">
        <is>
          <t>1998-10-09</t>
        </is>
      </c>
      <c r="V136" t="inlineStr">
        <is>
          <t>1998-10-09</t>
        </is>
      </c>
      <c r="W136" t="inlineStr">
        <is>
          <t>1995-11-20</t>
        </is>
      </c>
      <c r="X136" t="inlineStr">
        <is>
          <t>1995-11-20</t>
        </is>
      </c>
      <c r="Y136" t="n">
        <v>527</v>
      </c>
      <c r="Z136" t="n">
        <v>440</v>
      </c>
      <c r="AA136" t="n">
        <v>925</v>
      </c>
      <c r="AB136" t="n">
        <v>6</v>
      </c>
      <c r="AC136" t="n">
        <v>8</v>
      </c>
      <c r="AD136" t="n">
        <v>24</v>
      </c>
      <c r="AE136" t="n">
        <v>39</v>
      </c>
      <c r="AF136" t="n">
        <v>9</v>
      </c>
      <c r="AG136" t="n">
        <v>17</v>
      </c>
      <c r="AH136" t="n">
        <v>6</v>
      </c>
      <c r="AI136" t="n">
        <v>8</v>
      </c>
      <c r="AJ136" t="n">
        <v>9</v>
      </c>
      <c r="AK136" t="n">
        <v>15</v>
      </c>
      <c r="AL136" t="n">
        <v>5</v>
      </c>
      <c r="AM136" t="n">
        <v>7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HYPERLINK("http://catalog.hathitrust.org/Record/102219578","HathiTrust Record")</f>
        <v/>
      </c>
      <c r="AS136">
        <f>HYPERLINK("https://creighton-primo.hosted.exlibrisgroup.com/primo-explore/search?tab=default_tab&amp;search_scope=EVERYTHING&amp;vid=01CRU&amp;lang=en_US&amp;offset=0&amp;query=any,contains,991002249099702656","Catalog Record")</f>
        <v/>
      </c>
      <c r="AT136">
        <f>HYPERLINK("http://www.worldcat.org/oclc/29027547","WorldCat Record")</f>
        <v/>
      </c>
      <c r="AU136" t="inlineStr">
        <is>
          <t>4923275228:eng</t>
        </is>
      </c>
      <c r="AV136" t="inlineStr">
        <is>
          <t>29027547</t>
        </is>
      </c>
      <c r="AW136" t="inlineStr">
        <is>
          <t>991002249099702656</t>
        </is>
      </c>
      <c r="AX136" t="inlineStr">
        <is>
          <t>991002249099702656</t>
        </is>
      </c>
      <c r="AY136" t="inlineStr">
        <is>
          <t>2259206940002656</t>
        </is>
      </c>
      <c r="AZ136" t="inlineStr">
        <is>
          <t>BOOK</t>
        </is>
      </c>
      <c r="BB136" t="inlineStr">
        <is>
          <t>9780824789428</t>
        </is>
      </c>
      <c r="BC136" t="inlineStr">
        <is>
          <t>32285002104577</t>
        </is>
      </c>
      <c r="BD136" t="inlineStr">
        <is>
          <t>893238827</t>
        </is>
      </c>
    </row>
    <row r="137">
      <c r="A137" t="inlineStr">
        <is>
          <t>No</t>
        </is>
      </c>
      <c r="B137" t="inlineStr">
        <is>
          <t>QH305 .N6 1935</t>
        </is>
      </c>
      <c r="C137" t="inlineStr">
        <is>
          <t>0                      QH 0305000N  6           1935</t>
        </is>
      </c>
      <c r="D137" t="inlineStr">
        <is>
          <t>The history of biology : a survey.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Nordenskiöld, Erik, 1872-1933.</t>
        </is>
      </c>
      <c r="L137" t="inlineStr">
        <is>
          <t>New York : Tudor publishing co., 1935.</t>
        </is>
      </c>
      <c r="M137" t="inlineStr">
        <is>
          <t>1935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QH </t>
        </is>
      </c>
      <c r="S137" t="n">
        <v>6</v>
      </c>
      <c r="T137" t="n">
        <v>6</v>
      </c>
      <c r="U137" t="inlineStr">
        <is>
          <t>1996-10-02</t>
        </is>
      </c>
      <c r="V137" t="inlineStr">
        <is>
          <t>1996-10-02</t>
        </is>
      </c>
      <c r="W137" t="inlineStr">
        <is>
          <t>1994-11-16</t>
        </is>
      </c>
      <c r="X137" t="inlineStr">
        <is>
          <t>1994-11-16</t>
        </is>
      </c>
      <c r="Y137" t="n">
        <v>299</v>
      </c>
      <c r="Z137" t="n">
        <v>264</v>
      </c>
      <c r="AA137" t="n">
        <v>933</v>
      </c>
      <c r="AB137" t="n">
        <v>6</v>
      </c>
      <c r="AC137" t="n">
        <v>11</v>
      </c>
      <c r="AD137" t="n">
        <v>14</v>
      </c>
      <c r="AE137" t="n">
        <v>44</v>
      </c>
      <c r="AF137" t="n">
        <v>3</v>
      </c>
      <c r="AG137" t="n">
        <v>18</v>
      </c>
      <c r="AH137" t="n">
        <v>2</v>
      </c>
      <c r="AI137" t="n">
        <v>7</v>
      </c>
      <c r="AJ137" t="n">
        <v>7</v>
      </c>
      <c r="AK137" t="n">
        <v>21</v>
      </c>
      <c r="AL137" t="n">
        <v>5</v>
      </c>
      <c r="AM137" t="n">
        <v>8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HYPERLINK("https://creighton-primo.hosted.exlibrisgroup.com/primo-explore/search?tab=default_tab&amp;search_scope=EVERYTHING&amp;vid=01CRU&amp;lang=en_US&amp;offset=0&amp;query=any,contains,991002858239702656","Catalog Record")</f>
        <v/>
      </c>
      <c r="AT137">
        <f>HYPERLINK("http://www.worldcat.org/oclc/491561","WorldCat Record")</f>
        <v/>
      </c>
      <c r="AU137" t="inlineStr">
        <is>
          <t>147694:eng</t>
        </is>
      </c>
      <c r="AV137" t="inlineStr">
        <is>
          <t>491561</t>
        </is>
      </c>
      <c r="AW137" t="inlineStr">
        <is>
          <t>991002858239702656</t>
        </is>
      </c>
      <c r="AX137" t="inlineStr">
        <is>
          <t>991002858239702656</t>
        </is>
      </c>
      <c r="AY137" t="inlineStr">
        <is>
          <t>2259616330002656</t>
        </is>
      </c>
      <c r="AZ137" t="inlineStr">
        <is>
          <t>BOOK</t>
        </is>
      </c>
      <c r="BC137" t="inlineStr">
        <is>
          <t>32285001966950</t>
        </is>
      </c>
      <c r="BD137" t="inlineStr">
        <is>
          <t>893317349</t>
        </is>
      </c>
    </row>
    <row r="138">
      <c r="A138" t="inlineStr">
        <is>
          <t>No</t>
        </is>
      </c>
      <c r="B138" t="inlineStr">
        <is>
          <t>QH305 .S48 1993</t>
        </is>
      </c>
      <c r="C138" t="inlineStr">
        <is>
          <t>0                      QH 0305000S  48          1993</t>
        </is>
      </c>
      <c r="D138" t="inlineStr">
        <is>
          <t>The epic history of biology / Anthony Serafini.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Serafini, Anthony.</t>
        </is>
      </c>
      <c r="L138" t="inlineStr">
        <is>
          <t>New York : Plenum, c1993.</t>
        </is>
      </c>
      <c r="M138" t="inlineStr">
        <is>
          <t>1993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QH </t>
        </is>
      </c>
      <c r="S138" t="n">
        <v>28</v>
      </c>
      <c r="T138" t="n">
        <v>28</v>
      </c>
      <c r="U138" t="inlineStr">
        <is>
          <t>2003-04-29</t>
        </is>
      </c>
      <c r="V138" t="inlineStr">
        <is>
          <t>2003-04-29</t>
        </is>
      </c>
      <c r="W138" t="inlineStr">
        <is>
          <t>1994-05-26</t>
        </is>
      </c>
      <c r="X138" t="inlineStr">
        <is>
          <t>1994-05-26</t>
        </is>
      </c>
      <c r="Y138" t="n">
        <v>602</v>
      </c>
      <c r="Z138" t="n">
        <v>516</v>
      </c>
      <c r="AA138" t="n">
        <v>650</v>
      </c>
      <c r="AB138" t="n">
        <v>5</v>
      </c>
      <c r="AC138" t="n">
        <v>5</v>
      </c>
      <c r="AD138" t="n">
        <v>17</v>
      </c>
      <c r="AE138" t="n">
        <v>23</v>
      </c>
      <c r="AF138" t="n">
        <v>3</v>
      </c>
      <c r="AG138" t="n">
        <v>7</v>
      </c>
      <c r="AH138" t="n">
        <v>5</v>
      </c>
      <c r="AI138" t="n">
        <v>6</v>
      </c>
      <c r="AJ138" t="n">
        <v>9</v>
      </c>
      <c r="AK138" t="n">
        <v>12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HYPERLINK("http://catalog.hathitrust.org/Record/002716616","HathiTrust Record")</f>
        <v/>
      </c>
      <c r="AS138">
        <f>HYPERLINK("https://creighton-primo.hosted.exlibrisgroup.com/primo-explore/search?tab=default_tab&amp;search_scope=EVERYTHING&amp;vid=01CRU&amp;lang=en_US&amp;offset=0&amp;query=any,contains,991002211089702656","Catalog Record")</f>
        <v/>
      </c>
      <c r="AT138">
        <f>HYPERLINK("http://www.worldcat.org/oclc/28423857","WorldCat Record")</f>
        <v/>
      </c>
      <c r="AU138" t="inlineStr">
        <is>
          <t>6581738:eng</t>
        </is>
      </c>
      <c r="AV138" t="inlineStr">
        <is>
          <t>28423857</t>
        </is>
      </c>
      <c r="AW138" t="inlineStr">
        <is>
          <t>991002211089702656</t>
        </is>
      </c>
      <c r="AX138" t="inlineStr">
        <is>
          <t>991002211089702656</t>
        </is>
      </c>
      <c r="AY138" t="inlineStr">
        <is>
          <t>2267588920002656</t>
        </is>
      </c>
      <c r="AZ138" t="inlineStr">
        <is>
          <t>BOOK</t>
        </is>
      </c>
      <c r="BB138" t="inlineStr">
        <is>
          <t>9780306445118</t>
        </is>
      </c>
      <c r="BC138" t="inlineStr">
        <is>
          <t>32285001898740</t>
        </is>
      </c>
      <c r="BD138" t="inlineStr">
        <is>
          <t>893785857</t>
        </is>
      </c>
    </row>
    <row r="139">
      <c r="A139" t="inlineStr">
        <is>
          <t>No</t>
        </is>
      </c>
      <c r="B139" t="inlineStr">
        <is>
          <t>QH305 .S74 v...</t>
        </is>
      </c>
      <c r="C139" t="inlineStr">
        <is>
          <t>0                      QH 0305000S  74                                                      v...</t>
        </is>
      </c>
      <c r="D139" t="inlineStr">
        <is>
          <t>Studies in history of biology / William Coleman, Camille Limoges, editors.</t>
        </is>
      </c>
      <c r="E139" t="inlineStr">
        <is>
          <t>V.3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Baltimore : John Hopkins University Press, 1976, c1977-</t>
        </is>
      </c>
      <c r="M139" t="inlineStr">
        <is>
          <t>1976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QH </t>
        </is>
      </c>
      <c r="S139" t="n">
        <v>3</v>
      </c>
      <c r="T139" t="n">
        <v>11</v>
      </c>
      <c r="U139" t="inlineStr">
        <is>
          <t>1995-10-18</t>
        </is>
      </c>
      <c r="V139" t="inlineStr">
        <is>
          <t>1995-10-18</t>
        </is>
      </c>
      <c r="W139" t="inlineStr">
        <is>
          <t>1994-10-03</t>
        </is>
      </c>
      <c r="X139" t="inlineStr">
        <is>
          <t>1994-10-03</t>
        </is>
      </c>
      <c r="Y139" t="n">
        <v>354</v>
      </c>
      <c r="Z139" t="n">
        <v>339</v>
      </c>
      <c r="AA139" t="n">
        <v>359</v>
      </c>
      <c r="AB139" t="n">
        <v>5</v>
      </c>
      <c r="AC139" t="n">
        <v>5</v>
      </c>
      <c r="AD139" t="n">
        <v>16</v>
      </c>
      <c r="AE139" t="n">
        <v>17</v>
      </c>
      <c r="AF139" t="n">
        <v>7</v>
      </c>
      <c r="AG139" t="n">
        <v>7</v>
      </c>
      <c r="AH139" t="n">
        <v>5</v>
      </c>
      <c r="AI139" t="n">
        <v>5</v>
      </c>
      <c r="AJ139" t="n">
        <v>4</v>
      </c>
      <c r="AK139" t="n">
        <v>5</v>
      </c>
      <c r="AL139" t="n">
        <v>4</v>
      </c>
      <c r="AM139" t="n">
        <v>4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HYPERLINK("http://catalog.hathitrust.org/Record/010517377","HathiTrust Record")</f>
        <v/>
      </c>
      <c r="AS139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39">
        <f>HYPERLINK("http://www.worldcat.org/oclc/2957828","WorldCat Record")</f>
        <v/>
      </c>
      <c r="AU139" t="inlineStr">
        <is>
          <t>10678290058:eng</t>
        </is>
      </c>
      <c r="AV139" t="inlineStr">
        <is>
          <t>2957828</t>
        </is>
      </c>
      <c r="AW139" t="inlineStr">
        <is>
          <t>991004293869702656</t>
        </is>
      </c>
      <c r="AX139" t="inlineStr">
        <is>
          <t>991004293869702656</t>
        </is>
      </c>
      <c r="AY139" t="inlineStr">
        <is>
          <t>2267956350002656</t>
        </is>
      </c>
      <c r="AZ139" t="inlineStr">
        <is>
          <t>BOOK</t>
        </is>
      </c>
      <c r="BB139" t="inlineStr">
        <is>
          <t>9780801818622</t>
        </is>
      </c>
      <c r="BC139" t="inlineStr">
        <is>
          <t>32285001953446</t>
        </is>
      </c>
      <c r="BD139" t="inlineStr">
        <is>
          <t>893513057</t>
        </is>
      </c>
    </row>
    <row r="140">
      <c r="A140" t="inlineStr">
        <is>
          <t>No</t>
        </is>
      </c>
      <c r="B140" t="inlineStr">
        <is>
          <t>QH305 .S74 v...</t>
        </is>
      </c>
      <c r="C140" t="inlineStr">
        <is>
          <t>0                      QH 0305000S  74                                                      v...</t>
        </is>
      </c>
      <c r="D140" t="inlineStr">
        <is>
          <t>Studies in history of biology / William Coleman, Camille Limoges, editors.</t>
        </is>
      </c>
      <c r="E140" t="inlineStr">
        <is>
          <t>V.4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Baltimore : John Hopkins University Press, 1976, c1977-</t>
        </is>
      </c>
      <c r="M140" t="inlineStr">
        <is>
          <t>1976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QH </t>
        </is>
      </c>
      <c r="S140" t="n">
        <v>3</v>
      </c>
      <c r="T140" t="n">
        <v>11</v>
      </c>
      <c r="U140" t="inlineStr">
        <is>
          <t>1995-09-25</t>
        </is>
      </c>
      <c r="V140" t="inlineStr">
        <is>
          <t>1995-10-18</t>
        </is>
      </c>
      <c r="W140" t="inlineStr">
        <is>
          <t>1994-10-03</t>
        </is>
      </c>
      <c r="X140" t="inlineStr">
        <is>
          <t>1994-10-03</t>
        </is>
      </c>
      <c r="Y140" t="n">
        <v>354</v>
      </c>
      <c r="Z140" t="n">
        <v>339</v>
      </c>
      <c r="AA140" t="n">
        <v>359</v>
      </c>
      <c r="AB140" t="n">
        <v>5</v>
      </c>
      <c r="AC140" t="n">
        <v>5</v>
      </c>
      <c r="AD140" t="n">
        <v>16</v>
      </c>
      <c r="AE140" t="n">
        <v>17</v>
      </c>
      <c r="AF140" t="n">
        <v>7</v>
      </c>
      <c r="AG140" t="n">
        <v>7</v>
      </c>
      <c r="AH140" t="n">
        <v>5</v>
      </c>
      <c r="AI140" t="n">
        <v>5</v>
      </c>
      <c r="AJ140" t="n">
        <v>4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HYPERLINK("http://catalog.hathitrust.org/Record/010517377","HathiTrust Record")</f>
        <v/>
      </c>
      <c r="AS140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0">
        <f>HYPERLINK("http://www.worldcat.org/oclc/2957828","WorldCat Record")</f>
        <v/>
      </c>
      <c r="AU140" t="inlineStr">
        <is>
          <t>10678290058:eng</t>
        </is>
      </c>
      <c r="AV140" t="inlineStr">
        <is>
          <t>2957828</t>
        </is>
      </c>
      <c r="AW140" t="inlineStr">
        <is>
          <t>991004293869702656</t>
        </is>
      </c>
      <c r="AX140" t="inlineStr">
        <is>
          <t>991004293869702656</t>
        </is>
      </c>
      <c r="AY140" t="inlineStr">
        <is>
          <t>2267956350002656</t>
        </is>
      </c>
      <c r="AZ140" t="inlineStr">
        <is>
          <t>BOOK</t>
        </is>
      </c>
      <c r="BB140" t="inlineStr">
        <is>
          <t>9780801818622</t>
        </is>
      </c>
      <c r="BC140" t="inlineStr">
        <is>
          <t>32285001953453</t>
        </is>
      </c>
      <c r="BD140" t="inlineStr">
        <is>
          <t>893532228</t>
        </is>
      </c>
    </row>
    <row r="141">
      <c r="A141" t="inlineStr">
        <is>
          <t>No</t>
        </is>
      </c>
      <c r="B141" t="inlineStr">
        <is>
          <t>QH305 .S74 v...</t>
        </is>
      </c>
      <c r="C141" t="inlineStr">
        <is>
          <t>0                      QH 0305000S  74                                                      v...</t>
        </is>
      </c>
      <c r="D141" t="inlineStr">
        <is>
          <t>Studies in history of biology / William Coleman, Camille Limoges, editors.</t>
        </is>
      </c>
      <c r="E141" t="inlineStr">
        <is>
          <t>V.1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John Hopkins University Press, 1976, c1977-</t>
        </is>
      </c>
      <c r="M141" t="inlineStr">
        <is>
          <t>1976</t>
        </is>
      </c>
      <c r="O141" t="inlineStr">
        <is>
          <t>eng</t>
        </is>
      </c>
      <c r="P141" t="inlineStr">
        <is>
          <t>mdu</t>
        </is>
      </c>
      <c r="R141" t="inlineStr">
        <is>
          <t xml:space="preserve">QH </t>
        </is>
      </c>
      <c r="S141" t="n">
        <v>2</v>
      </c>
      <c r="T141" t="n">
        <v>11</v>
      </c>
      <c r="V141" t="inlineStr">
        <is>
          <t>1995-10-18</t>
        </is>
      </c>
      <c r="W141" t="inlineStr">
        <is>
          <t>1994-10-03</t>
        </is>
      </c>
      <c r="X141" t="inlineStr">
        <is>
          <t>1994-10-03</t>
        </is>
      </c>
      <c r="Y141" t="n">
        <v>354</v>
      </c>
      <c r="Z141" t="n">
        <v>339</v>
      </c>
      <c r="AA141" t="n">
        <v>359</v>
      </c>
      <c r="AB141" t="n">
        <v>5</v>
      </c>
      <c r="AC141" t="n">
        <v>5</v>
      </c>
      <c r="AD141" t="n">
        <v>16</v>
      </c>
      <c r="AE141" t="n">
        <v>17</v>
      </c>
      <c r="AF141" t="n">
        <v>7</v>
      </c>
      <c r="AG141" t="n">
        <v>7</v>
      </c>
      <c r="AH141" t="n">
        <v>5</v>
      </c>
      <c r="AI141" t="n">
        <v>5</v>
      </c>
      <c r="AJ141" t="n">
        <v>4</v>
      </c>
      <c r="AK141" t="n">
        <v>5</v>
      </c>
      <c r="AL141" t="n">
        <v>4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HYPERLINK("http://catalog.hathitrust.org/Record/010517377","HathiTrust Record")</f>
        <v/>
      </c>
      <c r="AS141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1">
        <f>HYPERLINK("http://www.worldcat.org/oclc/2957828","WorldCat Record")</f>
        <v/>
      </c>
      <c r="AU141" t="inlineStr">
        <is>
          <t>10678290058:eng</t>
        </is>
      </c>
      <c r="AV141" t="inlineStr">
        <is>
          <t>2957828</t>
        </is>
      </c>
      <c r="AW141" t="inlineStr">
        <is>
          <t>991004293869702656</t>
        </is>
      </c>
      <c r="AX141" t="inlineStr">
        <is>
          <t>991004293869702656</t>
        </is>
      </c>
      <c r="AY141" t="inlineStr">
        <is>
          <t>2267956350002656</t>
        </is>
      </c>
      <c r="AZ141" t="inlineStr">
        <is>
          <t>BOOK</t>
        </is>
      </c>
      <c r="BB141" t="inlineStr">
        <is>
          <t>9780801818622</t>
        </is>
      </c>
      <c r="BC141" t="inlineStr">
        <is>
          <t>32285001953073</t>
        </is>
      </c>
      <c r="BD141" t="inlineStr">
        <is>
          <t>893532229</t>
        </is>
      </c>
    </row>
    <row r="142">
      <c r="A142" t="inlineStr">
        <is>
          <t>No</t>
        </is>
      </c>
      <c r="B142" t="inlineStr">
        <is>
          <t>QH305 .S74 v...</t>
        </is>
      </c>
      <c r="C142" t="inlineStr">
        <is>
          <t>0                      QH 0305000S  74                                                      v...</t>
        </is>
      </c>
      <c r="D142" t="inlineStr">
        <is>
          <t>Studies in history of biology / William Coleman, Camille Limoges, editors.</t>
        </is>
      </c>
      <c r="E142" t="inlineStr">
        <is>
          <t>V.2</t>
        </is>
      </c>
      <c r="F142" t="inlineStr">
        <is>
          <t>Yes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Baltimore : John Hopkins University Press, 1976, c1977-</t>
        </is>
      </c>
      <c r="M142" t="inlineStr">
        <is>
          <t>1976</t>
        </is>
      </c>
      <c r="O142" t="inlineStr">
        <is>
          <t>eng</t>
        </is>
      </c>
      <c r="P142" t="inlineStr">
        <is>
          <t>mdu</t>
        </is>
      </c>
      <c r="R142" t="inlineStr">
        <is>
          <t xml:space="preserve">QH </t>
        </is>
      </c>
      <c r="S142" t="n">
        <v>3</v>
      </c>
      <c r="T142" t="n">
        <v>11</v>
      </c>
      <c r="U142" t="inlineStr">
        <is>
          <t>1995-10-18</t>
        </is>
      </c>
      <c r="V142" t="inlineStr">
        <is>
          <t>1995-10-18</t>
        </is>
      </c>
      <c r="W142" t="inlineStr">
        <is>
          <t>1994-10-03</t>
        </is>
      </c>
      <c r="X142" t="inlineStr">
        <is>
          <t>1994-10-03</t>
        </is>
      </c>
      <c r="Y142" t="n">
        <v>354</v>
      </c>
      <c r="Z142" t="n">
        <v>339</v>
      </c>
      <c r="AA142" t="n">
        <v>359</v>
      </c>
      <c r="AB142" t="n">
        <v>5</v>
      </c>
      <c r="AC142" t="n">
        <v>5</v>
      </c>
      <c r="AD142" t="n">
        <v>16</v>
      </c>
      <c r="AE142" t="n">
        <v>17</v>
      </c>
      <c r="AF142" t="n">
        <v>7</v>
      </c>
      <c r="AG142" t="n">
        <v>7</v>
      </c>
      <c r="AH142" t="n">
        <v>5</v>
      </c>
      <c r="AI142" t="n">
        <v>5</v>
      </c>
      <c r="AJ142" t="n">
        <v>4</v>
      </c>
      <c r="AK142" t="n">
        <v>5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HYPERLINK("http://catalog.hathitrust.org/Record/010517377","HathiTrust Record")</f>
        <v/>
      </c>
      <c r="AS142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2">
        <f>HYPERLINK("http://www.worldcat.org/oclc/2957828","WorldCat Record")</f>
        <v/>
      </c>
      <c r="AU142" t="inlineStr">
        <is>
          <t>10678290058:eng</t>
        </is>
      </c>
      <c r="AV142" t="inlineStr">
        <is>
          <t>2957828</t>
        </is>
      </c>
      <c r="AW142" t="inlineStr">
        <is>
          <t>991004293869702656</t>
        </is>
      </c>
      <c r="AX142" t="inlineStr">
        <is>
          <t>991004293869702656</t>
        </is>
      </c>
      <c r="AY142" t="inlineStr">
        <is>
          <t>2267956350002656</t>
        </is>
      </c>
      <c r="AZ142" t="inlineStr">
        <is>
          <t>BOOK</t>
        </is>
      </c>
      <c r="BB142" t="inlineStr">
        <is>
          <t>9780801818622</t>
        </is>
      </c>
      <c r="BC142" t="inlineStr">
        <is>
          <t>32285001953438</t>
        </is>
      </c>
      <c r="BD142" t="inlineStr">
        <is>
          <t>893532227</t>
        </is>
      </c>
    </row>
    <row r="143">
      <c r="A143" t="inlineStr">
        <is>
          <t>No</t>
        </is>
      </c>
      <c r="B143" t="inlineStr">
        <is>
          <t>QH305.2.U6 M35 1991</t>
        </is>
      </c>
      <c r="C143" t="inlineStr">
        <is>
          <t>0                      QH 0305200U  6                  M  35          1991</t>
        </is>
      </c>
      <c r="D143" t="inlineStr">
        <is>
          <t>Transforming traditions in American biology, 1880-1915 / Jane Maienschein.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Maienschein, Jane.</t>
        </is>
      </c>
      <c r="L143" t="inlineStr">
        <is>
          <t>Baltimore : Johns Hopkins University Press, c1991.</t>
        </is>
      </c>
      <c r="M143" t="inlineStr">
        <is>
          <t>1991</t>
        </is>
      </c>
      <c r="O143" t="inlineStr">
        <is>
          <t>eng</t>
        </is>
      </c>
      <c r="P143" t="inlineStr">
        <is>
          <t>mdu</t>
        </is>
      </c>
      <c r="R143" t="inlineStr">
        <is>
          <t xml:space="preserve">QH </t>
        </is>
      </c>
      <c r="S143" t="n">
        <v>6</v>
      </c>
      <c r="T143" t="n">
        <v>6</v>
      </c>
      <c r="U143" t="inlineStr">
        <is>
          <t>1996-09-20</t>
        </is>
      </c>
      <c r="V143" t="inlineStr">
        <is>
          <t>1996-09-20</t>
        </is>
      </c>
      <c r="W143" t="inlineStr">
        <is>
          <t>1992-03-06</t>
        </is>
      </c>
      <c r="X143" t="inlineStr">
        <is>
          <t>1992-03-06</t>
        </is>
      </c>
      <c r="Y143" t="n">
        <v>307</v>
      </c>
      <c r="Z143" t="n">
        <v>264</v>
      </c>
      <c r="AA143" t="n">
        <v>271</v>
      </c>
      <c r="AB143" t="n">
        <v>3</v>
      </c>
      <c r="AC143" t="n">
        <v>3</v>
      </c>
      <c r="AD143" t="n">
        <v>11</v>
      </c>
      <c r="AE143" t="n">
        <v>11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HYPERLINK("http://catalog.hathitrust.org/Record/002485568","HathiTrust Record")</f>
        <v/>
      </c>
      <c r="AS143">
        <f>HYPERLINK("https://creighton-primo.hosted.exlibrisgroup.com/primo-explore/search?tab=default_tab&amp;search_scope=EVERYTHING&amp;vid=01CRU&amp;lang=en_US&amp;offset=0&amp;query=any,contains,991001812409702656","Catalog Record")</f>
        <v/>
      </c>
      <c r="AT143">
        <f>HYPERLINK("http://www.worldcat.org/oclc/22765043","WorldCat Record")</f>
        <v/>
      </c>
      <c r="AU143" t="inlineStr">
        <is>
          <t>24192329:eng</t>
        </is>
      </c>
      <c r="AV143" t="inlineStr">
        <is>
          <t>22765043</t>
        </is>
      </c>
      <c r="AW143" t="inlineStr">
        <is>
          <t>991001812409702656</t>
        </is>
      </c>
      <c r="AX143" t="inlineStr">
        <is>
          <t>991001812409702656</t>
        </is>
      </c>
      <c r="AY143" t="inlineStr">
        <is>
          <t>2260300780002656</t>
        </is>
      </c>
      <c r="AZ143" t="inlineStr">
        <is>
          <t>BOOK</t>
        </is>
      </c>
      <c r="BB143" t="inlineStr">
        <is>
          <t>9780801841262</t>
        </is>
      </c>
      <c r="BC143" t="inlineStr">
        <is>
          <t>32285000938836</t>
        </is>
      </c>
      <c r="BD143" t="inlineStr">
        <is>
          <t>893690940</t>
        </is>
      </c>
    </row>
    <row r="144">
      <c r="A144" t="inlineStr">
        <is>
          <t>No</t>
        </is>
      </c>
      <c r="B144" t="inlineStr">
        <is>
          <t>QH305.2.U6 P38 2000</t>
        </is>
      </c>
      <c r="C144" t="inlineStr">
        <is>
          <t>0                      QH 0305200U  6                  P  38          2000</t>
        </is>
      </c>
      <c r="D144" t="inlineStr">
        <is>
          <t>Biologists and the promise of American life : from Meriwether Lewis to Alfred Kinsey / Philip J. Pauly.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Pauly, Philip J.</t>
        </is>
      </c>
      <c r="L144" t="inlineStr">
        <is>
          <t>Princeton, N.J. : Princeton University Press, C2000.</t>
        </is>
      </c>
      <c r="M144" t="inlineStr">
        <is>
          <t>2000</t>
        </is>
      </c>
      <c r="O144" t="inlineStr">
        <is>
          <t>eng</t>
        </is>
      </c>
      <c r="P144" t="inlineStr">
        <is>
          <t>nju</t>
        </is>
      </c>
      <c r="R144" t="inlineStr">
        <is>
          <t xml:space="preserve">QH </t>
        </is>
      </c>
      <c r="S144" t="n">
        <v>2</v>
      </c>
      <c r="T144" t="n">
        <v>2</v>
      </c>
      <c r="U144" t="inlineStr">
        <is>
          <t>2002-07-15</t>
        </is>
      </c>
      <c r="V144" t="inlineStr">
        <is>
          <t>2002-07-15</t>
        </is>
      </c>
      <c r="W144" t="inlineStr">
        <is>
          <t>2002-07-10</t>
        </is>
      </c>
      <c r="X144" t="inlineStr">
        <is>
          <t>2002-07-10</t>
        </is>
      </c>
      <c r="Y144" t="n">
        <v>692</v>
      </c>
      <c r="Z144" t="n">
        <v>624</v>
      </c>
      <c r="AA144" t="n">
        <v>780</v>
      </c>
      <c r="AB144" t="n">
        <v>6</v>
      </c>
      <c r="AC144" t="n">
        <v>6</v>
      </c>
      <c r="AD144" t="n">
        <v>29</v>
      </c>
      <c r="AE144" t="n">
        <v>38</v>
      </c>
      <c r="AF144" t="n">
        <v>14</v>
      </c>
      <c r="AG144" t="n">
        <v>19</v>
      </c>
      <c r="AH144" t="n">
        <v>4</v>
      </c>
      <c r="AI144" t="n">
        <v>8</v>
      </c>
      <c r="AJ144" t="n">
        <v>11</v>
      </c>
      <c r="AK144" t="n">
        <v>16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HYPERLINK("https://creighton-primo.hosted.exlibrisgroup.com/primo-explore/search?tab=default_tab&amp;search_scope=EVERYTHING&amp;vid=01CRU&amp;lang=en_US&amp;offset=0&amp;query=any,contains,991003823729702656","Catalog Record")</f>
        <v/>
      </c>
      <c r="AT144">
        <f>HYPERLINK("http://www.worldcat.org/oclc/43287546","WorldCat Record")</f>
        <v/>
      </c>
      <c r="AU144" t="inlineStr">
        <is>
          <t>892226:eng</t>
        </is>
      </c>
      <c r="AV144" t="inlineStr">
        <is>
          <t>43287546</t>
        </is>
      </c>
      <c r="AW144" t="inlineStr">
        <is>
          <t>991003823729702656</t>
        </is>
      </c>
      <c r="AX144" t="inlineStr">
        <is>
          <t>991003823729702656</t>
        </is>
      </c>
      <c r="AY144" t="inlineStr">
        <is>
          <t>2268653300002656</t>
        </is>
      </c>
      <c r="AZ144" t="inlineStr">
        <is>
          <t>BOOK</t>
        </is>
      </c>
      <c r="BB144" t="inlineStr">
        <is>
          <t>9780691049779</t>
        </is>
      </c>
      <c r="BC144" t="inlineStr">
        <is>
          <t>32285004497284</t>
        </is>
      </c>
      <c r="BD144" t="inlineStr">
        <is>
          <t>893810198</t>
        </is>
      </c>
    </row>
    <row r="145">
      <c r="A145" t="inlineStr">
        <is>
          <t>No</t>
        </is>
      </c>
      <c r="B145" t="inlineStr">
        <is>
          <t>QH306 .R6</t>
        </is>
      </c>
      <c r="C145" t="inlineStr">
        <is>
          <t>0                      QH 0306000R  6</t>
        </is>
      </c>
      <c r="D145" t="inlineStr">
        <is>
          <t>The unity of the organism ; or, The organismal conception of life / by William Emerson Ritter.</t>
        </is>
      </c>
      <c r="E145" t="inlineStr">
        <is>
          <t>V.2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Ritter, William Emerson, 1856-1944.</t>
        </is>
      </c>
      <c r="L145" t="inlineStr">
        <is>
          <t>Boston : R.G. Badger, [c1919]</t>
        </is>
      </c>
      <c r="M145" t="inlineStr">
        <is>
          <t>1919</t>
        </is>
      </c>
      <c r="O145" t="inlineStr">
        <is>
          <t>eng</t>
        </is>
      </c>
      <c r="P145" t="inlineStr">
        <is>
          <t>mau</t>
        </is>
      </c>
      <c r="Q145" t="inlineStr">
        <is>
          <t>Studies in science</t>
        </is>
      </c>
      <c r="R145" t="inlineStr">
        <is>
          <t xml:space="preserve">QH </t>
        </is>
      </c>
      <c r="S145" t="n">
        <v>6</v>
      </c>
      <c r="T145" t="n">
        <v>10</v>
      </c>
      <c r="U145" t="inlineStr">
        <is>
          <t>1996-09-26</t>
        </is>
      </c>
      <c r="V145" t="inlineStr">
        <is>
          <t>1996-09-26</t>
        </is>
      </c>
      <c r="W145" t="inlineStr">
        <is>
          <t>1994-10-03</t>
        </is>
      </c>
      <c r="X145" t="inlineStr">
        <is>
          <t>1994-10-03</t>
        </is>
      </c>
      <c r="Y145" t="n">
        <v>128</v>
      </c>
      <c r="Z145" t="n">
        <v>114</v>
      </c>
      <c r="AA145" t="n">
        <v>137</v>
      </c>
      <c r="AB145" t="n">
        <v>2</v>
      </c>
      <c r="AC145" t="n">
        <v>2</v>
      </c>
      <c r="AD145" t="n">
        <v>5</v>
      </c>
      <c r="AE145" t="n">
        <v>6</v>
      </c>
      <c r="AF145" t="n">
        <v>0</v>
      </c>
      <c r="AG145" t="n">
        <v>0</v>
      </c>
      <c r="AH145" t="n">
        <v>2</v>
      </c>
      <c r="AI145" t="n">
        <v>3</v>
      </c>
      <c r="AJ145" t="n">
        <v>4</v>
      </c>
      <c r="AK145" t="n">
        <v>4</v>
      </c>
      <c r="AL145" t="n">
        <v>1</v>
      </c>
      <c r="AM145" t="n">
        <v>1</v>
      </c>
      <c r="AN145" t="n">
        <v>0</v>
      </c>
      <c r="AO145" t="n">
        <v>0</v>
      </c>
      <c r="AP145" t="inlineStr">
        <is>
          <t>Yes</t>
        </is>
      </c>
      <c r="AQ145" t="inlineStr">
        <is>
          <t>No</t>
        </is>
      </c>
      <c r="AR145">
        <f>HYPERLINK("http://catalog.hathitrust.org/Record/001491080","HathiTrust Record")</f>
        <v/>
      </c>
      <c r="AS145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5">
        <f>HYPERLINK("http://www.worldcat.org/oclc/2519680","WorldCat Record")</f>
        <v/>
      </c>
      <c r="AU145" t="inlineStr">
        <is>
          <t>5333149:eng</t>
        </is>
      </c>
      <c r="AV145" t="inlineStr">
        <is>
          <t>2519680</t>
        </is>
      </c>
      <c r="AW145" t="inlineStr">
        <is>
          <t>991004148689702656</t>
        </is>
      </c>
      <c r="AX145" t="inlineStr">
        <is>
          <t>991004148689702656</t>
        </is>
      </c>
      <c r="AY145" t="inlineStr">
        <is>
          <t>2256449540002656</t>
        </is>
      </c>
      <c r="AZ145" t="inlineStr">
        <is>
          <t>BOOK</t>
        </is>
      </c>
      <c r="BC145" t="inlineStr">
        <is>
          <t>32285001953065</t>
        </is>
      </c>
      <c r="BD145" t="inlineStr">
        <is>
          <t>893235106</t>
        </is>
      </c>
    </row>
    <row r="146">
      <c r="A146" t="inlineStr">
        <is>
          <t>No</t>
        </is>
      </c>
      <c r="B146" t="inlineStr">
        <is>
          <t>QH306 .R6</t>
        </is>
      </c>
      <c r="C146" t="inlineStr">
        <is>
          <t>0                      QH 0306000R  6</t>
        </is>
      </c>
      <c r="D146" t="inlineStr">
        <is>
          <t>The unity of the organism ; or, The organismal conception of life / by William Emerson Ritter.</t>
        </is>
      </c>
      <c r="E146" t="inlineStr">
        <is>
          <t>V.1</t>
        </is>
      </c>
      <c r="F146" t="inlineStr">
        <is>
          <t>Yes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Ritter, William Emerson, 1856-1944.</t>
        </is>
      </c>
      <c r="L146" t="inlineStr">
        <is>
          <t>Boston : R.G. Badger, [c1919]</t>
        </is>
      </c>
      <c r="M146" t="inlineStr">
        <is>
          <t>1919</t>
        </is>
      </c>
      <c r="O146" t="inlineStr">
        <is>
          <t>eng</t>
        </is>
      </c>
      <c r="P146" t="inlineStr">
        <is>
          <t>mau</t>
        </is>
      </c>
      <c r="Q146" t="inlineStr">
        <is>
          <t>Studies in science</t>
        </is>
      </c>
      <c r="R146" t="inlineStr">
        <is>
          <t xml:space="preserve">QH </t>
        </is>
      </c>
      <c r="S146" t="n">
        <v>4</v>
      </c>
      <c r="T146" t="n">
        <v>10</v>
      </c>
      <c r="U146" t="inlineStr">
        <is>
          <t>1996-09-26</t>
        </is>
      </c>
      <c r="V146" t="inlineStr">
        <is>
          <t>1996-09-26</t>
        </is>
      </c>
      <c r="W146" t="inlineStr">
        <is>
          <t>1994-10-03</t>
        </is>
      </c>
      <c r="X146" t="inlineStr">
        <is>
          <t>1994-10-03</t>
        </is>
      </c>
      <c r="Y146" t="n">
        <v>128</v>
      </c>
      <c r="Z146" t="n">
        <v>114</v>
      </c>
      <c r="AA146" t="n">
        <v>137</v>
      </c>
      <c r="AB146" t="n">
        <v>2</v>
      </c>
      <c r="AC146" t="n">
        <v>2</v>
      </c>
      <c r="AD146" t="n">
        <v>5</v>
      </c>
      <c r="AE146" t="n">
        <v>6</v>
      </c>
      <c r="AF146" t="n">
        <v>0</v>
      </c>
      <c r="AG146" t="n">
        <v>0</v>
      </c>
      <c r="AH146" t="n">
        <v>2</v>
      </c>
      <c r="AI146" t="n">
        <v>3</v>
      </c>
      <c r="AJ146" t="n">
        <v>4</v>
      </c>
      <c r="AK146" t="n">
        <v>4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Yes</t>
        </is>
      </c>
      <c r="AQ146" t="inlineStr">
        <is>
          <t>No</t>
        </is>
      </c>
      <c r="AR146">
        <f>HYPERLINK("http://catalog.hathitrust.org/Record/001491080","HathiTrust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6">
        <f>HYPERLINK("http://www.worldcat.org/oclc/2519680","WorldCat Record")</f>
        <v/>
      </c>
      <c r="AU146" t="inlineStr">
        <is>
          <t>5333149:eng</t>
        </is>
      </c>
      <c r="AV146" t="inlineStr">
        <is>
          <t>2519680</t>
        </is>
      </c>
      <c r="AW146" t="inlineStr">
        <is>
          <t>991004148689702656</t>
        </is>
      </c>
      <c r="AX146" t="inlineStr">
        <is>
          <t>991004148689702656</t>
        </is>
      </c>
      <c r="AY146" t="inlineStr">
        <is>
          <t>2256449540002656</t>
        </is>
      </c>
      <c r="AZ146" t="inlineStr">
        <is>
          <t>BOOK</t>
        </is>
      </c>
      <c r="BC146" t="inlineStr">
        <is>
          <t>32285001953057</t>
        </is>
      </c>
      <c r="BD146" t="inlineStr">
        <is>
          <t>893247214</t>
        </is>
      </c>
    </row>
    <row r="147">
      <c r="A147" t="inlineStr">
        <is>
          <t>No</t>
        </is>
      </c>
      <c r="B147" t="inlineStr">
        <is>
          <t>QH307 .E6</t>
        </is>
      </c>
      <c r="C147" t="inlineStr">
        <is>
          <t>0                      QH 0307000E  6</t>
        </is>
      </c>
      <c r="D147" t="inlineStr">
        <is>
          <t>The organization of life : a revaluation of evidence relative to the primary factors in the activity and evolution of living organisms, including a factorial analysis of human behavior and experience / by Seba Eldridge ; with an introduction by H.S. Jennings.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Eldridge, Seba, 1885-</t>
        </is>
      </c>
      <c r="L147" t="inlineStr">
        <is>
          <t>New York : Thomas Y. Crowell company, 1925.</t>
        </is>
      </c>
      <c r="M147" t="inlineStr">
        <is>
          <t>1925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QH </t>
        </is>
      </c>
      <c r="S147" t="n">
        <v>6</v>
      </c>
      <c r="T147" t="n">
        <v>6</v>
      </c>
      <c r="U147" t="inlineStr">
        <is>
          <t>1996-09-22</t>
        </is>
      </c>
      <c r="V147" t="inlineStr">
        <is>
          <t>1996-09-22</t>
        </is>
      </c>
      <c r="W147" t="inlineStr">
        <is>
          <t>1994-10-05</t>
        </is>
      </c>
      <c r="X147" t="inlineStr">
        <is>
          <t>1994-10-05</t>
        </is>
      </c>
      <c r="Y147" t="n">
        <v>99</v>
      </c>
      <c r="Z147" t="n">
        <v>91</v>
      </c>
      <c r="AA147" t="n">
        <v>116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HYPERLINK("http://catalog.hathitrust.org/Record/009518609","HathiTrust Record")</f>
        <v/>
      </c>
      <c r="AS147">
        <f>HYPERLINK("https://creighton-primo.hosted.exlibrisgroup.com/primo-explore/search?tab=default_tab&amp;search_scope=EVERYTHING&amp;vid=01CRU&amp;lang=en_US&amp;offset=0&amp;query=any,contains,991003761159702656","Catalog Record")</f>
        <v/>
      </c>
      <c r="AT147">
        <f>HYPERLINK("http://www.worldcat.org/oclc/1449010","WorldCat Record")</f>
        <v/>
      </c>
      <c r="AU147" t="inlineStr">
        <is>
          <t>2370973:eng</t>
        </is>
      </c>
      <c r="AV147" t="inlineStr">
        <is>
          <t>1449010</t>
        </is>
      </c>
      <c r="AW147" t="inlineStr">
        <is>
          <t>991003761159702656</t>
        </is>
      </c>
      <c r="AX147" t="inlineStr">
        <is>
          <t>991003761159702656</t>
        </is>
      </c>
      <c r="AY147" t="inlineStr">
        <is>
          <t>2272730150002656</t>
        </is>
      </c>
      <c r="AZ147" t="inlineStr">
        <is>
          <t>BOOK</t>
        </is>
      </c>
      <c r="BC147" t="inlineStr">
        <is>
          <t>32285001953750</t>
        </is>
      </c>
      <c r="BD147" t="inlineStr">
        <is>
          <t>893806178</t>
        </is>
      </c>
    </row>
    <row r="148">
      <c r="A148" t="inlineStr">
        <is>
          <t>No</t>
        </is>
      </c>
      <c r="B148" t="inlineStr">
        <is>
          <t>QH307 .J63</t>
        </is>
      </c>
      <c r="C148" t="inlineStr">
        <is>
          <t>0                      QH 0307000J  63</t>
        </is>
      </c>
      <c r="D148" t="inlineStr">
        <is>
          <t>The essentials of biology / by James Johnstone.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Johnstone, James.</t>
        </is>
      </c>
      <c r="L148" t="inlineStr">
        <is>
          <t>New York : Longmans, Green &amp; Co. ; London : E. Arnold &amp; Co., 1932.</t>
        </is>
      </c>
      <c r="M148" t="inlineStr">
        <is>
          <t>1932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QH </t>
        </is>
      </c>
      <c r="S148" t="n">
        <v>3</v>
      </c>
      <c r="T148" t="n">
        <v>3</v>
      </c>
      <c r="U148" t="inlineStr">
        <is>
          <t>1996-11-23</t>
        </is>
      </c>
      <c r="V148" t="inlineStr">
        <is>
          <t>1996-11-23</t>
        </is>
      </c>
      <c r="W148" t="inlineStr">
        <is>
          <t>1994-11-10</t>
        </is>
      </c>
      <c r="X148" t="inlineStr">
        <is>
          <t>1994-11-10</t>
        </is>
      </c>
      <c r="Y148" t="n">
        <v>26</v>
      </c>
      <c r="Z148" t="n">
        <v>16</v>
      </c>
      <c r="AA148" t="n">
        <v>43</v>
      </c>
      <c r="AB148" t="n">
        <v>1</v>
      </c>
      <c r="AC148" t="n">
        <v>1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HYPERLINK("http://catalog.hathitrust.org/Record/007356577","HathiTrust Record")</f>
        <v/>
      </c>
      <c r="AS148">
        <f>HYPERLINK("https://creighton-primo.hosted.exlibrisgroup.com/primo-explore/search?tab=default_tab&amp;search_scope=EVERYTHING&amp;vid=01CRU&amp;lang=en_US&amp;offset=0&amp;query=any,contains,991000944179702656","Catalog Record")</f>
        <v/>
      </c>
      <c r="AT148">
        <f>HYPERLINK("http://www.worldcat.org/oclc/14516830","WorldCat Record")</f>
        <v/>
      </c>
      <c r="AU148" t="inlineStr">
        <is>
          <t>8448331:eng</t>
        </is>
      </c>
      <c r="AV148" t="inlineStr">
        <is>
          <t>14516830</t>
        </is>
      </c>
      <c r="AW148" t="inlineStr">
        <is>
          <t>991000944179702656</t>
        </is>
      </c>
      <c r="AX148" t="inlineStr">
        <is>
          <t>991000944179702656</t>
        </is>
      </c>
      <c r="AY148" t="inlineStr">
        <is>
          <t>2255847560002656</t>
        </is>
      </c>
      <c r="AZ148" t="inlineStr">
        <is>
          <t>BOOK</t>
        </is>
      </c>
      <c r="BC148" t="inlineStr">
        <is>
          <t>32285001964997</t>
        </is>
      </c>
      <c r="BD148" t="inlineStr">
        <is>
          <t>893237744</t>
        </is>
      </c>
    </row>
    <row r="149">
      <c r="A149" t="inlineStr">
        <is>
          <t>No</t>
        </is>
      </c>
      <c r="B149" t="inlineStr">
        <is>
          <t>QH307 .V6 1965</t>
        </is>
      </c>
      <c r="C149" t="inlineStr">
        <is>
          <t>0                      QH 0307000V  6           1965</t>
        </is>
      </c>
      <c r="D149" t="inlineStr">
        <is>
          <t>Man and the living world.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Frisch, Karl von, 1886-1982.</t>
        </is>
      </c>
      <c r="L149" t="inlineStr">
        <is>
          <t>New York : Time Incorporated,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 xml:space="preserve">xx </t>
        </is>
      </c>
      <c r="Q149" t="inlineStr">
        <is>
          <t>Time reading program special edition</t>
        </is>
      </c>
      <c r="R149" t="inlineStr">
        <is>
          <t xml:space="preserve">QH </t>
        </is>
      </c>
      <c r="S149" t="n">
        <v>2</v>
      </c>
      <c r="T149" t="n">
        <v>2</v>
      </c>
      <c r="U149" t="inlineStr">
        <is>
          <t>2000-11-26</t>
        </is>
      </c>
      <c r="V149" t="inlineStr">
        <is>
          <t>2000-11-26</t>
        </is>
      </c>
      <c r="W149" t="inlineStr">
        <is>
          <t>1994-12-14</t>
        </is>
      </c>
      <c r="X149" t="inlineStr">
        <is>
          <t>1994-12-14</t>
        </is>
      </c>
      <c r="Y149" t="n">
        <v>157</v>
      </c>
      <c r="Z149" t="n">
        <v>151</v>
      </c>
      <c r="AA149" t="n">
        <v>726</v>
      </c>
      <c r="AB149" t="n">
        <v>1</v>
      </c>
      <c r="AC149" t="n">
        <v>3</v>
      </c>
      <c r="AD149" t="n">
        <v>3</v>
      </c>
      <c r="AE149" t="n">
        <v>21</v>
      </c>
      <c r="AF149" t="n">
        <v>1</v>
      </c>
      <c r="AG149" t="n">
        <v>8</v>
      </c>
      <c r="AH149" t="n">
        <v>0</v>
      </c>
      <c r="AI149" t="n">
        <v>5</v>
      </c>
      <c r="AJ149" t="n">
        <v>2</v>
      </c>
      <c r="AK149" t="n">
        <v>16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HYPERLINK("https://creighton-primo.hosted.exlibrisgroup.com/primo-explore/search?tab=default_tab&amp;search_scope=EVERYTHING&amp;vid=01CRU&amp;lang=en_US&amp;offset=0&amp;query=any,contains,991002973249702656","Catalog Record")</f>
        <v/>
      </c>
      <c r="AT149">
        <f>HYPERLINK("http://www.worldcat.org/oclc/550563","WorldCat Record")</f>
        <v/>
      </c>
      <c r="AU149" t="inlineStr">
        <is>
          <t>9846593682:eng</t>
        </is>
      </c>
      <c r="AV149" t="inlineStr">
        <is>
          <t>550563</t>
        </is>
      </c>
      <c r="AW149" t="inlineStr">
        <is>
          <t>991002973249702656</t>
        </is>
      </c>
      <c r="AX149" t="inlineStr">
        <is>
          <t>991002973249702656</t>
        </is>
      </c>
      <c r="AY149" t="inlineStr">
        <is>
          <t>2254888260002656</t>
        </is>
      </c>
      <c r="AZ149" t="inlineStr">
        <is>
          <t>BOOK</t>
        </is>
      </c>
      <c r="BC149" t="inlineStr">
        <is>
          <t>32285001978211</t>
        </is>
      </c>
      <c r="BD149" t="inlineStr">
        <is>
          <t>893698527</t>
        </is>
      </c>
    </row>
    <row r="150">
      <c r="A150" t="inlineStr">
        <is>
          <t>No</t>
        </is>
      </c>
      <c r="B150" t="inlineStr">
        <is>
          <t>QH307.2 .A4 1982</t>
        </is>
      </c>
      <c r="C150" t="inlineStr">
        <is>
          <t>0                      QH 0307200A  4           1982</t>
        </is>
      </c>
      <c r="D150" t="inlineStr">
        <is>
          <t>The nature and origin of the biological world / E.J. Ambrose.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Ambrose, Edmund Jack.</t>
        </is>
      </c>
      <c r="L150" t="inlineStr">
        <is>
          <t>Chichester [West Sussex] : E. Horwood ; New York : Halsted Press, 1982.</t>
        </is>
      </c>
      <c r="M150" t="inlineStr">
        <is>
          <t>1982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QH </t>
        </is>
      </c>
      <c r="S150" t="n">
        <v>9</v>
      </c>
      <c r="T150" t="n">
        <v>9</v>
      </c>
      <c r="U150" t="inlineStr">
        <is>
          <t>2003-11-11</t>
        </is>
      </c>
      <c r="V150" t="inlineStr">
        <is>
          <t>2003-11-11</t>
        </is>
      </c>
      <c r="W150" t="inlineStr">
        <is>
          <t>1993-03-17</t>
        </is>
      </c>
      <c r="X150" t="inlineStr">
        <is>
          <t>1993-03-17</t>
        </is>
      </c>
      <c r="Y150" t="n">
        <v>284</v>
      </c>
      <c r="Z150" t="n">
        <v>204</v>
      </c>
      <c r="AA150" t="n">
        <v>213</v>
      </c>
      <c r="AB150" t="n">
        <v>3</v>
      </c>
      <c r="AC150" t="n">
        <v>3</v>
      </c>
      <c r="AD150" t="n">
        <v>7</v>
      </c>
      <c r="AE150" t="n">
        <v>7</v>
      </c>
      <c r="AF150" t="n">
        <v>2</v>
      </c>
      <c r="AG150" t="n">
        <v>2</v>
      </c>
      <c r="AH150" t="n">
        <v>1</v>
      </c>
      <c r="AI150" t="n">
        <v>1</v>
      </c>
      <c r="AJ150" t="n">
        <v>4</v>
      </c>
      <c r="AK150" t="n">
        <v>4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HYPERLINK("http://catalog.hathitrust.org/Record/009678915","HathiTrust Record")</f>
        <v/>
      </c>
      <c r="AS150">
        <f>HYPERLINK("https://creighton-primo.hosted.exlibrisgroup.com/primo-explore/search?tab=default_tab&amp;search_scope=EVERYTHING&amp;vid=01CRU&amp;lang=en_US&amp;offset=0&amp;query=any,contains,991005232679702656","Catalog Record")</f>
        <v/>
      </c>
      <c r="AT150">
        <f>HYPERLINK("http://www.worldcat.org/oclc/8345661","WorldCat Record")</f>
        <v/>
      </c>
      <c r="AU150" t="inlineStr">
        <is>
          <t>4687156:eng</t>
        </is>
      </c>
      <c r="AV150" t="inlineStr">
        <is>
          <t>8345661</t>
        </is>
      </c>
      <c r="AW150" t="inlineStr">
        <is>
          <t>991005232679702656</t>
        </is>
      </c>
      <c r="AX150" t="inlineStr">
        <is>
          <t>991005232679702656</t>
        </is>
      </c>
      <c r="AY150" t="inlineStr">
        <is>
          <t>2263266470002656</t>
        </is>
      </c>
      <c r="AZ150" t="inlineStr">
        <is>
          <t>BOOK</t>
        </is>
      </c>
      <c r="BB150" t="inlineStr">
        <is>
          <t>9780470275139</t>
        </is>
      </c>
      <c r="BC150" t="inlineStr">
        <is>
          <t>32285001552487</t>
        </is>
      </c>
      <c r="BD150" t="inlineStr">
        <is>
          <t>893443630</t>
        </is>
      </c>
    </row>
    <row r="151">
      <c r="A151" t="inlineStr">
        <is>
          <t>No</t>
        </is>
      </c>
      <c r="B151" t="inlineStr">
        <is>
          <t>QH307.2 .G84 1996</t>
        </is>
      </c>
      <c r="C151" t="inlineStr">
        <is>
          <t>0                      QH 0307200G  84          1996</t>
        </is>
      </c>
      <c r="D151" t="inlineStr">
        <is>
          <t>Biology smart / by Deborah Guest.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Guest, Deborah.</t>
        </is>
      </c>
      <c r="L151" t="inlineStr">
        <is>
          <t>New York : Random House, 1996.</t>
        </is>
      </c>
      <c r="M151" t="inlineStr">
        <is>
          <t>1996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QH </t>
        </is>
      </c>
      <c r="S151" t="n">
        <v>34</v>
      </c>
      <c r="T151" t="n">
        <v>34</v>
      </c>
      <c r="U151" t="inlineStr">
        <is>
          <t>2004-02-19</t>
        </is>
      </c>
      <c r="V151" t="inlineStr">
        <is>
          <t>2004-02-19</t>
        </is>
      </c>
      <c r="W151" t="inlineStr">
        <is>
          <t>1996-09-23</t>
        </is>
      </c>
      <c r="X151" t="inlineStr">
        <is>
          <t>1996-09-23</t>
        </is>
      </c>
      <c r="Y151" t="n">
        <v>123</v>
      </c>
      <c r="Z151" t="n">
        <v>115</v>
      </c>
      <c r="AA151" t="n">
        <v>120</v>
      </c>
      <c r="AB151" t="n">
        <v>1</v>
      </c>
      <c r="AC151" t="n">
        <v>1</v>
      </c>
      <c r="AD151" t="n">
        <v>1</v>
      </c>
      <c r="AE151" t="n">
        <v>1</v>
      </c>
      <c r="AF151" t="n">
        <v>0</v>
      </c>
      <c r="AG151" t="n">
        <v>0</v>
      </c>
      <c r="AH151" t="n">
        <v>1</v>
      </c>
      <c r="AI151" t="n">
        <v>1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HYPERLINK("https://creighton-primo.hosted.exlibrisgroup.com/primo-explore/search?tab=default_tab&amp;search_scope=EVERYTHING&amp;vid=01CRU&amp;lang=en_US&amp;offset=0&amp;query=any,contains,991002706659702656","Catalog Record")</f>
        <v/>
      </c>
      <c r="AT151">
        <f>HYPERLINK("http://www.worldcat.org/oclc/35334568","WorldCat Record")</f>
        <v/>
      </c>
      <c r="AU151" t="inlineStr">
        <is>
          <t>5251180858:eng</t>
        </is>
      </c>
      <c r="AV151" t="inlineStr">
        <is>
          <t>35334568</t>
        </is>
      </c>
      <c r="AW151" t="inlineStr">
        <is>
          <t>991002706659702656</t>
        </is>
      </c>
      <c r="AX151" t="inlineStr">
        <is>
          <t>991002706659702656</t>
        </is>
      </c>
      <c r="AY151" t="inlineStr">
        <is>
          <t>2258329170002656</t>
        </is>
      </c>
      <c r="AZ151" t="inlineStr">
        <is>
          <t>BOOK</t>
        </is>
      </c>
      <c r="BB151" t="inlineStr">
        <is>
          <t>9780679769088</t>
        </is>
      </c>
      <c r="BC151" t="inlineStr">
        <is>
          <t>32285002318086</t>
        </is>
      </c>
      <c r="BD151" t="inlineStr">
        <is>
          <t>893239392</t>
        </is>
      </c>
    </row>
    <row r="152">
      <c r="A152" t="inlineStr">
        <is>
          <t>No</t>
        </is>
      </c>
      <c r="B152" t="inlineStr">
        <is>
          <t>QH307.2 .M38 1986</t>
        </is>
      </c>
      <c r="C152" t="inlineStr">
        <is>
          <t>0                      QH 0307200M  38          1986</t>
        </is>
      </c>
      <c r="D152" t="inlineStr">
        <is>
          <t>The problems of biology / John Maynard Smith.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Maynard Smith, John, 1920-2004.</t>
        </is>
      </c>
      <c r="L152" t="inlineStr">
        <is>
          <t>Oxford ; New York : Oxford University Press, 1986.</t>
        </is>
      </c>
      <c r="M152" t="inlineStr">
        <is>
          <t>1986</t>
        </is>
      </c>
      <c r="O152" t="inlineStr">
        <is>
          <t>eng</t>
        </is>
      </c>
      <c r="P152" t="inlineStr">
        <is>
          <t>enk</t>
        </is>
      </c>
      <c r="Q152" t="inlineStr">
        <is>
          <t>An OPUS book</t>
        </is>
      </c>
      <c r="R152" t="inlineStr">
        <is>
          <t xml:space="preserve">QH </t>
        </is>
      </c>
      <c r="S152" t="n">
        <v>11</v>
      </c>
      <c r="T152" t="n">
        <v>11</v>
      </c>
      <c r="U152" t="inlineStr">
        <is>
          <t>1996-09-22</t>
        </is>
      </c>
      <c r="V152" t="inlineStr">
        <is>
          <t>1996-09-22</t>
        </is>
      </c>
      <c r="W152" t="inlineStr">
        <is>
          <t>1993-03-17</t>
        </is>
      </c>
      <c r="X152" t="inlineStr">
        <is>
          <t>1993-03-17</t>
        </is>
      </c>
      <c r="Y152" t="n">
        <v>563</v>
      </c>
      <c r="Z152" t="n">
        <v>446</v>
      </c>
      <c r="AA152" t="n">
        <v>472</v>
      </c>
      <c r="AB152" t="n">
        <v>5</v>
      </c>
      <c r="AC152" t="n">
        <v>5</v>
      </c>
      <c r="AD152" t="n">
        <v>15</v>
      </c>
      <c r="AE152" t="n">
        <v>15</v>
      </c>
      <c r="AF152" t="n">
        <v>8</v>
      </c>
      <c r="AG152" t="n">
        <v>8</v>
      </c>
      <c r="AH152" t="n">
        <v>3</v>
      </c>
      <c r="AI152" t="n">
        <v>3</v>
      </c>
      <c r="AJ152" t="n">
        <v>7</v>
      </c>
      <c r="AK152" t="n">
        <v>7</v>
      </c>
      <c r="AL152" t="n">
        <v>3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HYPERLINK("http://catalog.hathitrust.org/Record/000557927","HathiTrust Record")</f>
        <v/>
      </c>
      <c r="AS152">
        <f>HYPERLINK("https://creighton-primo.hosted.exlibrisgroup.com/primo-explore/search?tab=default_tab&amp;search_scope=EVERYTHING&amp;vid=01CRU&amp;lang=en_US&amp;offset=0&amp;query=any,contains,991000655479702656","Catalog Record")</f>
        <v/>
      </c>
      <c r="AT152">
        <f>HYPERLINK("http://www.worldcat.org/oclc/12214723","WorldCat Record")</f>
        <v/>
      </c>
      <c r="AU152" t="inlineStr">
        <is>
          <t>119873045:eng</t>
        </is>
      </c>
      <c r="AV152" t="inlineStr">
        <is>
          <t>12214723</t>
        </is>
      </c>
      <c r="AW152" t="inlineStr">
        <is>
          <t>991000655479702656</t>
        </is>
      </c>
      <c r="AX152" t="inlineStr">
        <is>
          <t>991000655479702656</t>
        </is>
      </c>
      <c r="AY152" t="inlineStr">
        <is>
          <t>2266829270002656</t>
        </is>
      </c>
      <c r="AZ152" t="inlineStr">
        <is>
          <t>BOOK</t>
        </is>
      </c>
      <c r="BB152" t="inlineStr">
        <is>
          <t>9780192192134</t>
        </is>
      </c>
      <c r="BC152" t="inlineStr">
        <is>
          <t>32285001552503</t>
        </is>
      </c>
      <c r="BD152" t="inlineStr">
        <is>
          <t>893696023</t>
        </is>
      </c>
    </row>
    <row r="153">
      <c r="A153" t="inlineStr">
        <is>
          <t>No</t>
        </is>
      </c>
      <c r="B153" t="inlineStr">
        <is>
          <t>QH307.2 .M39 1997</t>
        </is>
      </c>
      <c r="C153" t="inlineStr">
        <is>
          <t>0                      QH 0307200M  39          1997</t>
        </is>
      </c>
      <c r="D153" t="inlineStr">
        <is>
          <t>This is biology : the science of the living world / Ernst Mayr.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Mayr, Ernst, 1904-2005.</t>
        </is>
      </c>
      <c r="L153" t="inlineStr">
        <is>
          <t>Cambridge, Mass. : Belknap Press of Harvard University Press, 1997.</t>
        </is>
      </c>
      <c r="M153" t="inlineStr">
        <is>
          <t>1997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QH </t>
        </is>
      </c>
      <c r="S153" t="n">
        <v>16</v>
      </c>
      <c r="T153" t="n">
        <v>16</v>
      </c>
      <c r="U153" t="inlineStr">
        <is>
          <t>2006-03-31</t>
        </is>
      </c>
      <c r="V153" t="inlineStr">
        <is>
          <t>2006-03-31</t>
        </is>
      </c>
      <c r="W153" t="inlineStr">
        <is>
          <t>1997-04-15</t>
        </is>
      </c>
      <c r="X153" t="inlineStr">
        <is>
          <t>1997-04-15</t>
        </is>
      </c>
      <c r="Y153" t="n">
        <v>1179</v>
      </c>
      <c r="Z153" t="n">
        <v>1025</v>
      </c>
      <c r="AA153" t="n">
        <v>1285</v>
      </c>
      <c r="AB153" t="n">
        <v>12</v>
      </c>
      <c r="AC153" t="n">
        <v>14</v>
      </c>
      <c r="AD153" t="n">
        <v>38</v>
      </c>
      <c r="AE153" t="n">
        <v>47</v>
      </c>
      <c r="AF153" t="n">
        <v>13</v>
      </c>
      <c r="AG153" t="n">
        <v>19</v>
      </c>
      <c r="AH153" t="n">
        <v>8</v>
      </c>
      <c r="AI153" t="n">
        <v>8</v>
      </c>
      <c r="AJ153" t="n">
        <v>17</v>
      </c>
      <c r="AK153" t="n">
        <v>20</v>
      </c>
      <c r="AL153" t="n">
        <v>8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HYPERLINK("http://catalog.hathitrust.org/Record/003135717","HathiTrust Record")</f>
        <v/>
      </c>
      <c r="AS153">
        <f>HYPERLINK("https://creighton-primo.hosted.exlibrisgroup.com/primo-explore/search?tab=default_tab&amp;search_scope=EVERYTHING&amp;vid=01CRU&amp;lang=en_US&amp;offset=0&amp;query=any,contains,991002702899702656","Catalog Record")</f>
        <v/>
      </c>
      <c r="AT153">
        <f>HYPERLINK("http://www.worldcat.org/oclc/35285498","WorldCat Record")</f>
        <v/>
      </c>
      <c r="AU153" t="inlineStr">
        <is>
          <t>464065006:eng</t>
        </is>
      </c>
      <c r="AV153" t="inlineStr">
        <is>
          <t>35285498</t>
        </is>
      </c>
      <c r="AW153" t="inlineStr">
        <is>
          <t>991002702899702656</t>
        </is>
      </c>
      <c r="AX153" t="inlineStr">
        <is>
          <t>991002702899702656</t>
        </is>
      </c>
      <c r="AY153" t="inlineStr">
        <is>
          <t>2259287410002656</t>
        </is>
      </c>
      <c r="AZ153" t="inlineStr">
        <is>
          <t>BOOK</t>
        </is>
      </c>
      <c r="BB153" t="inlineStr">
        <is>
          <t>9780674884687</t>
        </is>
      </c>
      <c r="BC153" t="inlineStr">
        <is>
          <t>32285002496783</t>
        </is>
      </c>
      <c r="BD153" t="inlineStr">
        <is>
          <t>893323261</t>
        </is>
      </c>
    </row>
    <row r="154">
      <c r="A154" t="inlineStr">
        <is>
          <t>No</t>
        </is>
      </c>
      <c r="B154" t="inlineStr">
        <is>
          <t>QH307.2 .T44 1989</t>
        </is>
      </c>
      <c r="C154" t="inlineStr">
        <is>
          <t>0                      QH 0307200T  44          1989</t>
        </is>
      </c>
      <c r="D154" t="inlineStr">
        <is>
          <t>Theoretical biology : epigenetic and evolutionary order from complex systems / Brian Goodwin and Peter Saunders, editors.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Edinburgh : Edinburgh University Press, c1989.</t>
        </is>
      </c>
      <c r="M154" t="inlineStr">
        <is>
          <t>1989</t>
        </is>
      </c>
      <c r="O154" t="inlineStr">
        <is>
          <t>eng</t>
        </is>
      </c>
      <c r="P154" t="inlineStr">
        <is>
          <t>stk</t>
        </is>
      </c>
      <c r="R154" t="inlineStr">
        <is>
          <t xml:space="preserve">QH </t>
        </is>
      </c>
      <c r="S154" t="n">
        <v>4</v>
      </c>
      <c r="T154" t="n">
        <v>4</v>
      </c>
      <c r="U154" t="inlineStr">
        <is>
          <t>1995-09-25</t>
        </is>
      </c>
      <c r="V154" t="inlineStr">
        <is>
          <t>1995-09-25</t>
        </is>
      </c>
      <c r="W154" t="inlineStr">
        <is>
          <t>1990-07-18</t>
        </is>
      </c>
      <c r="X154" t="inlineStr">
        <is>
          <t>1990-07-18</t>
        </is>
      </c>
      <c r="Y154" t="n">
        <v>171</v>
      </c>
      <c r="Z154" t="n">
        <v>123</v>
      </c>
      <c r="AA154" t="n">
        <v>178</v>
      </c>
      <c r="AB154" t="n">
        <v>3</v>
      </c>
      <c r="AC154" t="n">
        <v>3</v>
      </c>
      <c r="AD154" t="n">
        <v>5</v>
      </c>
      <c r="AE154" t="n">
        <v>8</v>
      </c>
      <c r="AF154" t="n">
        <v>0</v>
      </c>
      <c r="AG154" t="n">
        <v>1</v>
      </c>
      <c r="AH154" t="n">
        <v>1</v>
      </c>
      <c r="AI154" t="n">
        <v>2</v>
      </c>
      <c r="AJ154" t="n">
        <v>2</v>
      </c>
      <c r="AK154" t="n">
        <v>5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HYPERLINK("https://creighton-primo.hosted.exlibrisgroup.com/primo-explore/search?tab=default_tab&amp;search_scope=EVERYTHING&amp;vid=01CRU&amp;lang=en_US&amp;offset=0&amp;query=any,contains,991001726599702656","Catalog Record")</f>
        <v/>
      </c>
      <c r="AT154">
        <f>HYPERLINK("http://www.worldcat.org/oclc/21877379","WorldCat Record")</f>
        <v/>
      </c>
      <c r="AU154" t="inlineStr">
        <is>
          <t>836901618:eng</t>
        </is>
      </c>
      <c r="AV154" t="inlineStr">
        <is>
          <t>21877379</t>
        </is>
      </c>
      <c r="AW154" t="inlineStr">
        <is>
          <t>991001726599702656</t>
        </is>
      </c>
      <c r="AX154" t="inlineStr">
        <is>
          <t>991001726599702656</t>
        </is>
      </c>
      <c r="AY154" t="inlineStr">
        <is>
          <t>2257296980002656</t>
        </is>
      </c>
      <c r="AZ154" t="inlineStr">
        <is>
          <t>BOOK</t>
        </is>
      </c>
      <c r="BB154" t="inlineStr">
        <is>
          <t>9780852246009</t>
        </is>
      </c>
      <c r="BC154" t="inlineStr">
        <is>
          <t>32285000209147</t>
        </is>
      </c>
      <c r="BD154" t="inlineStr">
        <is>
          <t>893261924</t>
        </is>
      </c>
    </row>
    <row r="155">
      <c r="A155" t="inlineStr">
        <is>
          <t>No</t>
        </is>
      </c>
      <c r="B155" t="inlineStr">
        <is>
          <t>QH308 .F743</t>
        </is>
      </c>
      <c r="C155" t="inlineStr">
        <is>
          <t>0                      QH 0308000F  743</t>
        </is>
      </c>
      <c r="D155" t="inlineStr">
        <is>
          <t>Biology / Karl von Frisch ; translated by Jane M. Oppenheimer.--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Frisch, Karl von, 1886-1982.</t>
        </is>
      </c>
      <c r="L155" t="inlineStr">
        <is>
          <t>New York : Harper &amp; Row [1965, c1964]</t>
        </is>
      </c>
      <c r="M155" t="inlineStr">
        <is>
          <t>1965</t>
        </is>
      </c>
      <c r="O155" t="inlineStr">
        <is>
          <t>eng</t>
        </is>
      </c>
      <c r="P155" t="inlineStr">
        <is>
          <t>___</t>
        </is>
      </c>
      <c r="R155" t="inlineStr">
        <is>
          <t xml:space="preserve">QH </t>
        </is>
      </c>
      <c r="S155" t="n">
        <v>13</v>
      </c>
      <c r="T155" t="n">
        <v>13</v>
      </c>
      <c r="U155" t="inlineStr">
        <is>
          <t>1996-10-02</t>
        </is>
      </c>
      <c r="V155" t="inlineStr">
        <is>
          <t>1996-10-02</t>
        </is>
      </c>
      <c r="W155" t="inlineStr">
        <is>
          <t>1993-03-17</t>
        </is>
      </c>
      <c r="X155" t="inlineStr">
        <is>
          <t>1993-03-17</t>
        </is>
      </c>
      <c r="Y155" t="n">
        <v>209</v>
      </c>
      <c r="Z155" t="n">
        <v>189</v>
      </c>
      <c r="AA155" t="n">
        <v>207</v>
      </c>
      <c r="AB155" t="n">
        <v>2</v>
      </c>
      <c r="AC155" t="n">
        <v>2</v>
      </c>
      <c r="AD155" t="n">
        <v>6</v>
      </c>
      <c r="AE155" t="n">
        <v>6</v>
      </c>
      <c r="AF155" t="n">
        <v>2</v>
      </c>
      <c r="AG155" t="n">
        <v>2</v>
      </c>
      <c r="AH155" t="n">
        <v>2</v>
      </c>
      <c r="AI155" t="n">
        <v>2</v>
      </c>
      <c r="AJ155" t="n">
        <v>3</v>
      </c>
      <c r="AK155" t="n">
        <v>3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HYPERLINK("https://creighton-primo.hosted.exlibrisgroup.com/primo-explore/search?tab=default_tab&amp;search_scope=EVERYTHING&amp;vid=01CRU&amp;lang=en_US&amp;offset=0&amp;query=any,contains,991003461819702656","Catalog Record")</f>
        <v/>
      </c>
      <c r="AT155">
        <f>HYPERLINK("http://www.worldcat.org/oclc/1003620","WorldCat Record")</f>
        <v/>
      </c>
      <c r="AU155" t="inlineStr">
        <is>
          <t>116489310:eng</t>
        </is>
      </c>
      <c r="AV155" t="inlineStr">
        <is>
          <t>1003620</t>
        </is>
      </c>
      <c r="AW155" t="inlineStr">
        <is>
          <t>991003461819702656</t>
        </is>
      </c>
      <c r="AX155" t="inlineStr">
        <is>
          <t>991003461819702656</t>
        </is>
      </c>
      <c r="AY155" t="inlineStr">
        <is>
          <t>2255784830002656</t>
        </is>
      </c>
      <c r="AZ155" t="inlineStr">
        <is>
          <t>BOOK</t>
        </is>
      </c>
      <c r="BC155" t="inlineStr">
        <is>
          <t>32285001552511</t>
        </is>
      </c>
      <c r="BD155" t="inlineStr">
        <is>
          <t>893511963</t>
        </is>
      </c>
    </row>
    <row r="156">
      <c r="A156" t="inlineStr">
        <is>
          <t>No</t>
        </is>
      </c>
      <c r="B156" t="inlineStr">
        <is>
          <t>QH308 .H24</t>
        </is>
      </c>
      <c r="C156" t="inlineStr">
        <is>
          <t>0                      QH 0308000H  24</t>
        </is>
      </c>
      <c r="D156" t="inlineStr">
        <is>
          <t>Fundamentals of biology / edited by M.J. Harbaugh [and] A.L. Goodrich. Contributors: P.L. Gainey [and others]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Harbaugh, Murville Jennings, editor.</t>
        </is>
      </c>
      <c r="L156" t="inlineStr">
        <is>
          <t>New York : Blakiston, [1953]</t>
        </is>
      </c>
      <c r="M156" t="inlineStr">
        <is>
          <t>1953</t>
        </is>
      </c>
      <c r="O156" t="inlineStr">
        <is>
          <t>eng</t>
        </is>
      </c>
      <c r="P156" t="inlineStr">
        <is>
          <t xml:space="preserve">xx </t>
        </is>
      </c>
      <c r="R156" t="inlineStr">
        <is>
          <t xml:space="preserve">QH </t>
        </is>
      </c>
      <c r="S156" t="n">
        <v>3</v>
      </c>
      <c r="T156" t="n">
        <v>3</v>
      </c>
      <c r="U156" t="inlineStr">
        <is>
          <t>1995-09-14</t>
        </is>
      </c>
      <c r="V156" t="inlineStr">
        <is>
          <t>1995-09-14</t>
        </is>
      </c>
      <c r="W156" t="inlineStr">
        <is>
          <t>1994-10-12</t>
        </is>
      </c>
      <c r="X156" t="inlineStr">
        <is>
          <t>1994-10-12</t>
        </is>
      </c>
      <c r="Y156" t="n">
        <v>72</v>
      </c>
      <c r="Z156" t="n">
        <v>68</v>
      </c>
      <c r="AA156" t="n">
        <v>80</v>
      </c>
      <c r="AB156" t="n">
        <v>2</v>
      </c>
      <c r="AC156" t="n">
        <v>2</v>
      </c>
      <c r="AD156" t="n">
        <v>2</v>
      </c>
      <c r="AE156" t="n">
        <v>2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1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HYPERLINK("http://catalog.hathitrust.org/Record/009949783","HathiTrust Record")</f>
        <v/>
      </c>
      <c r="AS156">
        <f>HYPERLINK("https://creighton-primo.hosted.exlibrisgroup.com/primo-explore/search?tab=default_tab&amp;search_scope=EVERYTHING&amp;vid=01CRU&amp;lang=en_US&amp;offset=0&amp;query=any,contains,991003791379702656","Catalog Record")</f>
        <v/>
      </c>
      <c r="AT156">
        <f>HYPERLINK("http://www.worldcat.org/oclc/1510055","WorldCat Record")</f>
        <v/>
      </c>
      <c r="AU156" t="inlineStr">
        <is>
          <t>423090983:eng</t>
        </is>
      </c>
      <c r="AV156" t="inlineStr">
        <is>
          <t>1510055</t>
        </is>
      </c>
      <c r="AW156" t="inlineStr">
        <is>
          <t>991003791379702656</t>
        </is>
      </c>
      <c r="AX156" t="inlineStr">
        <is>
          <t>991003791379702656</t>
        </is>
      </c>
      <c r="AY156" t="inlineStr">
        <is>
          <t>2268570520002656</t>
        </is>
      </c>
      <c r="AZ156" t="inlineStr">
        <is>
          <t>BOOK</t>
        </is>
      </c>
      <c r="BC156" t="inlineStr">
        <is>
          <t>32285001960466</t>
        </is>
      </c>
      <c r="BD156" t="inlineStr">
        <is>
          <t>893617775</t>
        </is>
      </c>
    </row>
    <row r="157">
      <c r="A157" t="inlineStr">
        <is>
          <t>No</t>
        </is>
      </c>
      <c r="B157" t="inlineStr">
        <is>
          <t>QH308 .H3 1932</t>
        </is>
      </c>
      <c r="C157" t="inlineStr">
        <is>
          <t>0                      QH 0308000H  3           1932</t>
        </is>
      </c>
      <c r="D157" t="inlineStr">
        <is>
          <t>Fundamentals of biology / by Arthur W. Haupt.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Haupt, Arthur W. (Arthur Wing), 1894-1987.</t>
        </is>
      </c>
      <c r="L157" t="inlineStr">
        <is>
          <t>New York and London : McGraw-Hill book company, inc., 1932.</t>
        </is>
      </c>
      <c r="M157" t="inlineStr">
        <is>
          <t>1932</t>
        </is>
      </c>
      <c r="N157" t="inlineStr">
        <is>
          <t>2d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QH </t>
        </is>
      </c>
      <c r="S157" t="n">
        <v>2</v>
      </c>
      <c r="T157" t="n">
        <v>2</v>
      </c>
      <c r="U157" t="inlineStr">
        <is>
          <t>1996-09-24</t>
        </is>
      </c>
      <c r="V157" t="inlineStr">
        <is>
          <t>1996-09-24</t>
        </is>
      </c>
      <c r="W157" t="inlineStr">
        <is>
          <t>1994-10-12</t>
        </is>
      </c>
      <c r="X157" t="inlineStr">
        <is>
          <t>1994-10-12</t>
        </is>
      </c>
      <c r="Y157" t="n">
        <v>51</v>
      </c>
      <c r="Z157" t="n">
        <v>39</v>
      </c>
      <c r="AA157" t="n">
        <v>119</v>
      </c>
      <c r="AB157" t="n">
        <v>1</v>
      </c>
      <c r="AC157" t="n">
        <v>2</v>
      </c>
      <c r="AD157" t="n">
        <v>0</v>
      </c>
      <c r="AE157" t="n">
        <v>5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3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HYPERLINK("http://catalog.hathitrust.org/Record/009065673","HathiTrust Record")</f>
        <v/>
      </c>
      <c r="AS157">
        <f>HYPERLINK("https://creighton-primo.hosted.exlibrisgroup.com/primo-explore/search?tab=default_tab&amp;search_scope=EVERYTHING&amp;vid=01CRU&amp;lang=en_US&amp;offset=0&amp;query=any,contains,991004054499702656","Catalog Record")</f>
        <v/>
      </c>
      <c r="AT157">
        <f>HYPERLINK("http://www.worldcat.org/oclc/2222772","WorldCat Record")</f>
        <v/>
      </c>
      <c r="AU157" t="inlineStr">
        <is>
          <t>2435759:eng</t>
        </is>
      </c>
      <c r="AV157" t="inlineStr">
        <is>
          <t>2222772</t>
        </is>
      </c>
      <c r="AW157" t="inlineStr">
        <is>
          <t>991004054499702656</t>
        </is>
      </c>
      <c r="AX157" t="inlineStr">
        <is>
          <t>991004054499702656</t>
        </is>
      </c>
      <c r="AY157" t="inlineStr">
        <is>
          <t>2257742350002656</t>
        </is>
      </c>
      <c r="AZ157" t="inlineStr">
        <is>
          <t>BOOK</t>
        </is>
      </c>
      <c r="BC157" t="inlineStr">
        <is>
          <t>32285001960458</t>
        </is>
      </c>
      <c r="BD157" t="inlineStr">
        <is>
          <t>893618169</t>
        </is>
      </c>
    </row>
    <row r="158">
      <c r="A158" t="inlineStr">
        <is>
          <t>No</t>
        </is>
      </c>
      <c r="B158" t="inlineStr">
        <is>
          <t>QH308 .L819 1925</t>
        </is>
      </c>
      <c r="C158" t="inlineStr">
        <is>
          <t>0                      QH 0308000L  819         1925</t>
        </is>
      </c>
      <c r="D158" t="inlineStr">
        <is>
          <t>The story of biology / by the late William A. Locy. --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Locy, William A. (William Albert), 1857-1924.</t>
        </is>
      </c>
      <c r="L158" t="inlineStr">
        <is>
          <t>Garden City, N. Y., Garden City publishing company, inc. [1925]</t>
        </is>
      </c>
      <c r="M158" t="inlineStr">
        <is>
          <t>1925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QH </t>
        </is>
      </c>
      <c r="S158" t="n">
        <v>6</v>
      </c>
      <c r="T158" t="n">
        <v>6</v>
      </c>
      <c r="U158" t="inlineStr">
        <is>
          <t>1995-09-30</t>
        </is>
      </c>
      <c r="V158" t="inlineStr">
        <is>
          <t>1995-09-30</t>
        </is>
      </c>
      <c r="W158" t="inlineStr">
        <is>
          <t>1993-03-17</t>
        </is>
      </c>
      <c r="X158" t="inlineStr">
        <is>
          <t>1993-03-17</t>
        </is>
      </c>
      <c r="Y158" t="n">
        <v>204</v>
      </c>
      <c r="Z158" t="n">
        <v>177</v>
      </c>
      <c r="AA158" t="n">
        <v>229</v>
      </c>
      <c r="AB158" t="n">
        <v>2</v>
      </c>
      <c r="AC158" t="n">
        <v>3</v>
      </c>
      <c r="AD158" t="n">
        <v>7</v>
      </c>
      <c r="AE158" t="n">
        <v>13</v>
      </c>
      <c r="AF158" t="n">
        <v>2</v>
      </c>
      <c r="AG158" t="n">
        <v>3</v>
      </c>
      <c r="AH158" t="n">
        <v>2</v>
      </c>
      <c r="AI158" t="n">
        <v>3</v>
      </c>
      <c r="AJ158" t="n">
        <v>4</v>
      </c>
      <c r="AK158" t="n">
        <v>8</v>
      </c>
      <c r="AL158" t="n">
        <v>1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HYPERLINK("http://catalog.hathitrust.org/Record/001996911","HathiTrust Record")</f>
        <v/>
      </c>
      <c r="AS158">
        <f>HYPERLINK("https://creighton-primo.hosted.exlibrisgroup.com/primo-explore/search?tab=default_tab&amp;search_scope=EVERYTHING&amp;vid=01CRU&amp;lang=en_US&amp;offset=0&amp;query=any,contains,991002971699702656","Catalog Record")</f>
        <v/>
      </c>
      <c r="AT158">
        <f>HYPERLINK("http://www.worldcat.org/oclc/549559","WorldCat Record")</f>
        <v/>
      </c>
      <c r="AU158" t="inlineStr">
        <is>
          <t>1586612:eng</t>
        </is>
      </c>
      <c r="AV158" t="inlineStr">
        <is>
          <t>549559</t>
        </is>
      </c>
      <c r="AW158" t="inlineStr">
        <is>
          <t>991002971699702656</t>
        </is>
      </c>
      <c r="AX158" t="inlineStr">
        <is>
          <t>991002971699702656</t>
        </is>
      </c>
      <c r="AY158" t="inlineStr">
        <is>
          <t>2265735000002656</t>
        </is>
      </c>
      <c r="AZ158" t="inlineStr">
        <is>
          <t>BOOK</t>
        </is>
      </c>
      <c r="BC158" t="inlineStr">
        <is>
          <t>32285001552529</t>
        </is>
      </c>
      <c r="BD158" t="inlineStr">
        <is>
          <t>893498786</t>
        </is>
      </c>
    </row>
    <row r="159">
      <c r="A159" t="inlineStr">
        <is>
          <t>No</t>
        </is>
      </c>
      <c r="B159" t="inlineStr">
        <is>
          <t>QH308 .M32 1957</t>
        </is>
      </c>
      <c r="C159" t="inlineStr">
        <is>
          <t>0                      QH 0308000M  32          1957</t>
        </is>
      </c>
      <c r="D159" t="inlineStr">
        <is>
          <t>Principles of modern 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Marsland, Douglas, 1899-</t>
        </is>
      </c>
      <c r="L159" t="inlineStr">
        <is>
          <t>New York : Holt, [1957]</t>
        </is>
      </c>
      <c r="M159" t="inlineStr">
        <is>
          <t>1957</t>
        </is>
      </c>
      <c r="N159" t="inlineStr">
        <is>
          <t>3d ed.</t>
        </is>
      </c>
      <c r="O159" t="inlineStr">
        <is>
          <t>eng</t>
        </is>
      </c>
      <c r="P159" t="inlineStr">
        <is>
          <t>nyu</t>
        </is>
      </c>
      <c r="R159" t="inlineStr">
        <is>
          <t xml:space="preserve">QH </t>
        </is>
      </c>
      <c r="S159" t="n">
        <v>2</v>
      </c>
      <c r="T159" t="n">
        <v>2</v>
      </c>
      <c r="U159" t="inlineStr">
        <is>
          <t>1996-09-30</t>
        </is>
      </c>
      <c r="V159" t="inlineStr">
        <is>
          <t>1996-09-30</t>
        </is>
      </c>
      <c r="W159" t="inlineStr">
        <is>
          <t>1994-10-12</t>
        </is>
      </c>
      <c r="X159" t="inlineStr">
        <is>
          <t>1994-10-12</t>
        </is>
      </c>
      <c r="Y159" t="n">
        <v>102</v>
      </c>
      <c r="Z159" t="n">
        <v>84</v>
      </c>
      <c r="AA159" t="n">
        <v>230</v>
      </c>
      <c r="AB159" t="n">
        <v>2</v>
      </c>
      <c r="AC159" t="n">
        <v>2</v>
      </c>
      <c r="AD159" t="n">
        <v>4</v>
      </c>
      <c r="AE159" t="n">
        <v>9</v>
      </c>
      <c r="AF159" t="n">
        <v>2</v>
      </c>
      <c r="AG159" t="n">
        <v>4</v>
      </c>
      <c r="AH159" t="n">
        <v>0</v>
      </c>
      <c r="AI159" t="n">
        <v>2</v>
      </c>
      <c r="AJ159" t="n">
        <v>2</v>
      </c>
      <c r="AK159" t="n">
        <v>4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HYPERLINK("http://catalog.hathitrust.org/Record/001997900","HathiTrust Record")</f>
        <v/>
      </c>
      <c r="AS159">
        <f>HYPERLINK("https://creighton-primo.hosted.exlibrisgroup.com/primo-explore/search?tab=default_tab&amp;search_scope=EVERYTHING&amp;vid=01CRU&amp;lang=en_US&amp;offset=0&amp;query=any,contains,991003461789702656","Catalog Record")</f>
        <v/>
      </c>
      <c r="AT159">
        <f>HYPERLINK("http://www.worldcat.org/oclc/1003598","WorldCat Record")</f>
        <v/>
      </c>
      <c r="AU159" t="inlineStr">
        <is>
          <t>1587289:eng</t>
        </is>
      </c>
      <c r="AV159" t="inlineStr">
        <is>
          <t>1003598</t>
        </is>
      </c>
      <c r="AW159" t="inlineStr">
        <is>
          <t>991003461789702656</t>
        </is>
      </c>
      <c r="AX159" t="inlineStr">
        <is>
          <t>991003461789702656</t>
        </is>
      </c>
      <c r="AY159" t="inlineStr">
        <is>
          <t>2255931570002656</t>
        </is>
      </c>
      <c r="AZ159" t="inlineStr">
        <is>
          <t>BOOK</t>
        </is>
      </c>
      <c r="BC159" t="inlineStr">
        <is>
          <t>32285001960441</t>
        </is>
      </c>
      <c r="BD159" t="inlineStr">
        <is>
          <t>893252382</t>
        </is>
      </c>
    </row>
    <row r="160">
      <c r="A160" t="inlineStr">
        <is>
          <t>No</t>
        </is>
      </c>
      <c r="B160" t="inlineStr">
        <is>
          <t>QH308.2 .B58 1980</t>
        </is>
      </c>
      <c r="C160" t="inlineStr">
        <is>
          <t>0                      QH 0308200B  58          1980</t>
        </is>
      </c>
      <c r="D160" t="inlineStr">
        <is>
          <t>Biology today / David L. Kirk.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Kirk, David L., 1934-</t>
        </is>
      </c>
      <c r="L160" t="inlineStr">
        <is>
          <t>New York : Random House, c1980.</t>
        </is>
      </c>
      <c r="M160" t="inlineStr">
        <is>
          <t>1980</t>
        </is>
      </c>
      <c r="N160" t="inlineStr">
        <is>
          <t>3d ed.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QH </t>
        </is>
      </c>
      <c r="S160" t="n">
        <v>8</v>
      </c>
      <c r="T160" t="n">
        <v>8</v>
      </c>
      <c r="U160" t="inlineStr">
        <is>
          <t>1995-09-18</t>
        </is>
      </c>
      <c r="V160" t="inlineStr">
        <is>
          <t>1995-09-18</t>
        </is>
      </c>
      <c r="W160" t="inlineStr">
        <is>
          <t>1990-02-15</t>
        </is>
      </c>
      <c r="X160" t="inlineStr">
        <is>
          <t>1990-02-15</t>
        </is>
      </c>
      <c r="Y160" t="n">
        <v>100</v>
      </c>
      <c r="Z160" t="n">
        <v>73</v>
      </c>
      <c r="AA160" t="n">
        <v>363</v>
      </c>
      <c r="AB160" t="n">
        <v>1</v>
      </c>
      <c r="AC160" t="n">
        <v>4</v>
      </c>
      <c r="AD160" t="n">
        <v>0</v>
      </c>
      <c r="AE160" t="n">
        <v>10</v>
      </c>
      <c r="AF160" t="n">
        <v>0</v>
      </c>
      <c r="AG160" t="n">
        <v>1</v>
      </c>
      <c r="AH160" t="n">
        <v>0</v>
      </c>
      <c r="AI160" t="n">
        <v>2</v>
      </c>
      <c r="AJ160" t="n">
        <v>0</v>
      </c>
      <c r="AK160" t="n">
        <v>5</v>
      </c>
      <c r="AL160" t="n">
        <v>0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HYPERLINK("https://creighton-primo.hosted.exlibrisgroup.com/primo-explore/search?tab=default_tab&amp;search_scope=EVERYTHING&amp;vid=01CRU&amp;lang=en_US&amp;offset=0&amp;query=any,contains,991004868749702656","Catalog Record")</f>
        <v/>
      </c>
      <c r="AT160">
        <f>HYPERLINK("http://www.worldcat.org/oclc/5749476","WorldCat Record")</f>
        <v/>
      </c>
      <c r="AU160" t="inlineStr">
        <is>
          <t>2262047:eng</t>
        </is>
      </c>
      <c r="AV160" t="inlineStr">
        <is>
          <t>5749476</t>
        </is>
      </c>
      <c r="AW160" t="inlineStr">
        <is>
          <t>991004868749702656</t>
        </is>
      </c>
      <c r="AX160" t="inlineStr">
        <is>
          <t>991004868749702656</t>
        </is>
      </c>
      <c r="AY160" t="inlineStr">
        <is>
          <t>2261911750002656</t>
        </is>
      </c>
      <c r="AZ160" t="inlineStr">
        <is>
          <t>BOOK</t>
        </is>
      </c>
      <c r="BB160" t="inlineStr">
        <is>
          <t>9780394320960</t>
        </is>
      </c>
      <c r="BC160" t="inlineStr">
        <is>
          <t>32285000054204</t>
        </is>
      </c>
      <c r="BD160" t="inlineStr">
        <is>
          <t>893625182</t>
        </is>
      </c>
    </row>
    <row r="161">
      <c r="A161" t="inlineStr">
        <is>
          <t>No</t>
        </is>
      </c>
      <c r="B161" t="inlineStr">
        <is>
          <t>QH308.2 .C86 1975</t>
        </is>
      </c>
      <c r="C161" t="inlineStr">
        <is>
          <t>0                      QH 0308200C  86          1975</t>
        </is>
      </c>
      <c r="D161" t="inlineStr">
        <is>
          <t>Biology / Helena Curtis.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Curtis, Helena.</t>
        </is>
      </c>
      <c r="L161" t="inlineStr">
        <is>
          <t>New York : Worth Publishers, 1975.</t>
        </is>
      </c>
      <c r="M161" t="inlineStr">
        <is>
          <t>1975</t>
        </is>
      </c>
      <c r="N161" t="inlineStr">
        <is>
          <t>2d ed.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QH </t>
        </is>
      </c>
      <c r="S161" t="n">
        <v>24</v>
      </c>
      <c r="T161" t="n">
        <v>24</v>
      </c>
      <c r="U161" t="inlineStr">
        <is>
          <t>1996-06-12</t>
        </is>
      </c>
      <c r="V161" t="inlineStr">
        <is>
          <t>1996-06-12</t>
        </is>
      </c>
      <c r="W161" t="inlineStr">
        <is>
          <t>1992-08-31</t>
        </is>
      </c>
      <c r="X161" t="inlineStr">
        <is>
          <t>1992-08-31</t>
        </is>
      </c>
      <c r="Y161" t="n">
        <v>221</v>
      </c>
      <c r="Z161" t="n">
        <v>174</v>
      </c>
      <c r="AA161" t="n">
        <v>751</v>
      </c>
      <c r="AB161" t="n">
        <v>2</v>
      </c>
      <c r="AC161" t="n">
        <v>4</v>
      </c>
      <c r="AD161" t="n">
        <v>3</v>
      </c>
      <c r="AE161" t="n">
        <v>20</v>
      </c>
      <c r="AF161" t="n">
        <v>0</v>
      </c>
      <c r="AG161" t="n">
        <v>8</v>
      </c>
      <c r="AH161" t="n">
        <v>0</v>
      </c>
      <c r="AI161" t="n">
        <v>3</v>
      </c>
      <c r="AJ161" t="n">
        <v>1</v>
      </c>
      <c r="AK161" t="n">
        <v>10</v>
      </c>
      <c r="AL161" t="n">
        <v>1</v>
      </c>
      <c r="AM161" t="n">
        <v>2</v>
      </c>
      <c r="AN161" t="n">
        <v>1</v>
      </c>
      <c r="AO161" t="n">
        <v>1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HYPERLINK("http://catalog.hathitrust.org/Record/000040717","HathiTrust Record")</f>
        <v/>
      </c>
      <c r="AS161">
        <f>HYPERLINK("https://creighton-primo.hosted.exlibrisgroup.com/primo-explore/search?tab=default_tab&amp;search_scope=EVERYTHING&amp;vid=01CRU&amp;lang=en_US&amp;offset=0&amp;query=any,contains,991003706699702656","Catalog Record")</f>
        <v/>
      </c>
      <c r="AT161">
        <f>HYPERLINK("http://www.worldcat.org/oclc/1344692","WorldCat Record")</f>
        <v/>
      </c>
      <c r="AU161" t="inlineStr">
        <is>
          <t>35693887:eng</t>
        </is>
      </c>
      <c r="AV161" t="inlineStr">
        <is>
          <t>1344692</t>
        </is>
      </c>
      <c r="AW161" t="inlineStr">
        <is>
          <t>991003706699702656</t>
        </is>
      </c>
      <c r="AX161" t="inlineStr">
        <is>
          <t>991003706699702656</t>
        </is>
      </c>
      <c r="AY161" t="inlineStr">
        <is>
          <t>2260126990002656</t>
        </is>
      </c>
      <c r="AZ161" t="inlineStr">
        <is>
          <t>BOOK</t>
        </is>
      </c>
      <c r="BB161" t="inlineStr">
        <is>
          <t>9780879010409</t>
        </is>
      </c>
      <c r="BC161" t="inlineStr">
        <is>
          <t>32285001284370</t>
        </is>
      </c>
      <c r="BD161" t="inlineStr">
        <is>
          <t>893810125</t>
        </is>
      </c>
    </row>
    <row r="162">
      <c r="A162" t="inlineStr">
        <is>
          <t>No</t>
        </is>
      </c>
      <c r="B162" t="inlineStr">
        <is>
          <t>QH308.2 .H37 1975</t>
        </is>
      </c>
      <c r="C162" t="inlineStr">
        <is>
          <t>0                      QH 0308200H  37          1975</t>
        </is>
      </c>
      <c r="D162" t="inlineStr">
        <is>
          <t>Patterns in biology / David Harrison.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Harrison, David, Ph. D.</t>
        </is>
      </c>
      <c r="L162" t="inlineStr">
        <is>
          <t>New York : Wiley, [1975]</t>
        </is>
      </c>
      <c r="M162" t="inlineStr">
        <is>
          <t>1975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QH </t>
        </is>
      </c>
      <c r="S162" t="n">
        <v>2</v>
      </c>
      <c r="T162" t="n">
        <v>2</v>
      </c>
      <c r="U162" t="inlineStr">
        <is>
          <t>1996-11-19</t>
        </is>
      </c>
      <c r="V162" t="inlineStr">
        <is>
          <t>1996-11-19</t>
        </is>
      </c>
      <c r="W162" t="inlineStr">
        <is>
          <t>1993-05-18</t>
        </is>
      </c>
      <c r="X162" t="inlineStr">
        <is>
          <t>1993-05-18</t>
        </is>
      </c>
      <c r="Y162" t="n">
        <v>175</v>
      </c>
      <c r="Z162" t="n">
        <v>154</v>
      </c>
      <c r="AA162" t="n">
        <v>165</v>
      </c>
      <c r="AB162" t="n">
        <v>3</v>
      </c>
      <c r="AC162" t="n">
        <v>3</v>
      </c>
      <c r="AD162" t="n">
        <v>4</v>
      </c>
      <c r="AE162" t="n">
        <v>5</v>
      </c>
      <c r="AF162" t="n">
        <v>1</v>
      </c>
      <c r="AG162" t="n">
        <v>2</v>
      </c>
      <c r="AH162" t="n">
        <v>1</v>
      </c>
      <c r="AI162" t="n">
        <v>1</v>
      </c>
      <c r="AJ162" t="n">
        <v>2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HYPERLINK("http://catalog.hathitrust.org/Record/007973041","HathiTrust Record")</f>
        <v/>
      </c>
      <c r="AS162">
        <f>HYPERLINK("https://creighton-primo.hosted.exlibrisgroup.com/primo-explore/search?tab=default_tab&amp;search_scope=EVERYTHING&amp;vid=01CRU&amp;lang=en_US&amp;offset=0&amp;query=any,contains,991003883049702656","Catalog Record")</f>
        <v/>
      </c>
      <c r="AT162">
        <f>HYPERLINK("http://www.worldcat.org/oclc/1732987","WorldCat Record")</f>
        <v/>
      </c>
      <c r="AU162" t="inlineStr">
        <is>
          <t>2345373:eng</t>
        </is>
      </c>
      <c r="AV162" t="inlineStr">
        <is>
          <t>1732987</t>
        </is>
      </c>
      <c r="AW162" t="inlineStr">
        <is>
          <t>991003883049702656</t>
        </is>
      </c>
      <c r="AX162" t="inlineStr">
        <is>
          <t>991003883049702656</t>
        </is>
      </c>
      <c r="AY162" t="inlineStr">
        <is>
          <t>2256418020002656</t>
        </is>
      </c>
      <c r="AZ162" t="inlineStr">
        <is>
          <t>BOOK</t>
        </is>
      </c>
      <c r="BB162" t="inlineStr">
        <is>
          <t>9780470355558</t>
        </is>
      </c>
      <c r="BC162" t="inlineStr">
        <is>
          <t>32285001658300</t>
        </is>
      </c>
      <c r="BD162" t="inlineStr">
        <is>
          <t>893593011</t>
        </is>
      </c>
    </row>
    <row r="163">
      <c r="A163" t="inlineStr">
        <is>
          <t>No</t>
        </is>
      </c>
      <c r="B163" t="inlineStr">
        <is>
          <t>QH308.2 .H47</t>
        </is>
      </c>
      <c r="C163" t="inlineStr">
        <is>
          <t>0                      QH 0308200H  47</t>
        </is>
      </c>
      <c r="D163" t="inlineStr">
        <is>
          <t>Biology / Clyde F. Herreid II.</t>
        </is>
      </c>
      <c r="F163" t="inlineStr">
        <is>
          <t>No</t>
        </is>
      </c>
      <c r="G163" t="inlineStr">
        <is>
          <t>1</t>
        </is>
      </c>
      <c r="H163" t="inlineStr">
        <is>
          <t>Yes</t>
        </is>
      </c>
      <c r="I163" t="inlineStr">
        <is>
          <t>No</t>
        </is>
      </c>
      <c r="J163" t="inlineStr">
        <is>
          <t>0</t>
        </is>
      </c>
      <c r="K163" t="inlineStr">
        <is>
          <t>Herreid, Clyde F.</t>
        </is>
      </c>
      <c r="L163" t="inlineStr">
        <is>
          <t>New York : Macmillan,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QH </t>
        </is>
      </c>
      <c r="S163" t="n">
        <v>7</v>
      </c>
      <c r="T163" t="n">
        <v>21</v>
      </c>
      <c r="U163" t="inlineStr">
        <is>
          <t>1996-06-12</t>
        </is>
      </c>
      <c r="V163" t="inlineStr">
        <is>
          <t>1996-12-05</t>
        </is>
      </c>
      <c r="W163" t="inlineStr">
        <is>
          <t>1993-03-17</t>
        </is>
      </c>
      <c r="X163" t="inlineStr">
        <is>
          <t>1993-03-17</t>
        </is>
      </c>
      <c r="Y163" t="n">
        <v>128</v>
      </c>
      <c r="Z163" t="n">
        <v>96</v>
      </c>
      <c r="AA163" t="n">
        <v>96</v>
      </c>
      <c r="AB163" t="n">
        <v>4</v>
      </c>
      <c r="AC163" t="n">
        <v>4</v>
      </c>
      <c r="AD163" t="n">
        <v>2</v>
      </c>
      <c r="AE163" t="n">
        <v>2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HYPERLINK("https://creighton-primo.hosted.exlibrisgroup.com/primo-explore/search?tab=default_tab&amp;search_scope=EVERYTHING&amp;vid=01CRU&amp;lang=en_US&amp;offset=0&amp;query=any,contains,991001771359702656","Catalog Record")</f>
        <v/>
      </c>
      <c r="AT163">
        <f>HYPERLINK("http://www.worldcat.org/oclc/1255063","WorldCat Record")</f>
        <v/>
      </c>
      <c r="AU163" t="inlineStr">
        <is>
          <t>2172195:eng</t>
        </is>
      </c>
      <c r="AV163" t="inlineStr">
        <is>
          <t>1255063</t>
        </is>
      </c>
      <c r="AW163" t="inlineStr">
        <is>
          <t>991001771359702656</t>
        </is>
      </c>
      <c r="AX163" t="inlineStr">
        <is>
          <t>991001771359702656</t>
        </is>
      </c>
      <c r="AY163" t="inlineStr">
        <is>
          <t>2258436440002656</t>
        </is>
      </c>
      <c r="AZ163" t="inlineStr">
        <is>
          <t>BOOK</t>
        </is>
      </c>
      <c r="BB163" t="inlineStr">
        <is>
          <t>9780023537806</t>
        </is>
      </c>
      <c r="BC163" t="inlineStr">
        <is>
          <t>32285001552545</t>
        </is>
      </c>
      <c r="BD163" t="inlineStr">
        <is>
          <t>893709525</t>
        </is>
      </c>
    </row>
    <row r="164">
      <c r="A164" t="inlineStr">
        <is>
          <t>No</t>
        </is>
      </c>
      <c r="B164" t="inlineStr">
        <is>
          <t>QH308.2 .J47</t>
        </is>
      </c>
      <c r="C164" t="inlineStr">
        <is>
          <t>0                      QH 0308200J  47</t>
        </is>
      </c>
      <c r="D164" t="inlineStr">
        <is>
          <t>Biosphere : a study of life / [by] N. M. Jessop.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Jessop, Nancy M. (Nancy Meyer), 1926-</t>
        </is>
      </c>
      <c r="L164" t="inlineStr">
        <is>
          <t>Englewood Cliffs, N.J. : Prentice-Hall,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Q164" t="inlineStr">
        <is>
          <t>Biological science series</t>
        </is>
      </c>
      <c r="R164" t="inlineStr">
        <is>
          <t xml:space="preserve">QH </t>
        </is>
      </c>
      <c r="S164" t="n">
        <v>1</v>
      </c>
      <c r="T164" t="n">
        <v>1</v>
      </c>
      <c r="U164" t="inlineStr">
        <is>
          <t>1995-09-30</t>
        </is>
      </c>
      <c r="V164" t="inlineStr">
        <is>
          <t>1995-09-30</t>
        </is>
      </c>
      <c r="W164" t="inlineStr">
        <is>
          <t>1994-04-13</t>
        </is>
      </c>
      <c r="X164" t="inlineStr">
        <is>
          <t>1994-04-13</t>
        </is>
      </c>
      <c r="Y164" t="n">
        <v>449</v>
      </c>
      <c r="Z164" t="n">
        <v>362</v>
      </c>
      <c r="AA164" t="n">
        <v>370</v>
      </c>
      <c r="AB164" t="n">
        <v>4</v>
      </c>
      <c r="AC164" t="n">
        <v>4</v>
      </c>
      <c r="AD164" t="n">
        <v>10</v>
      </c>
      <c r="AE164" t="n">
        <v>10</v>
      </c>
      <c r="AF164" t="n">
        <v>2</v>
      </c>
      <c r="AG164" t="n">
        <v>2</v>
      </c>
      <c r="AH164" t="n">
        <v>3</v>
      </c>
      <c r="AI164" t="n">
        <v>3</v>
      </c>
      <c r="AJ164" t="n">
        <v>5</v>
      </c>
      <c r="AK164" t="n">
        <v>5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HYPERLINK("http://catalog.hathitrust.org/Record/007476578","HathiTrust Record")</f>
        <v/>
      </c>
      <c r="AS164">
        <f>HYPERLINK("https://creighton-primo.hosted.exlibrisgroup.com/primo-explore/search?tab=default_tab&amp;search_scope=EVERYTHING&amp;vid=01CRU&amp;lang=en_US&amp;offset=0&amp;query=any,contains,991000663959702656","Catalog Record")</f>
        <v/>
      </c>
      <c r="AT164">
        <f>HYPERLINK("http://www.worldcat.org/oclc/118110","WorldCat Record")</f>
        <v/>
      </c>
      <c r="AU164" t="inlineStr">
        <is>
          <t>1909086588:eng</t>
        </is>
      </c>
      <c r="AV164" t="inlineStr">
        <is>
          <t>118110</t>
        </is>
      </c>
      <c r="AW164" t="inlineStr">
        <is>
          <t>991000663959702656</t>
        </is>
      </c>
      <c r="AX164" t="inlineStr">
        <is>
          <t>991000663959702656</t>
        </is>
      </c>
      <c r="AY164" t="inlineStr">
        <is>
          <t>2261731760002656</t>
        </is>
      </c>
      <c r="AZ164" t="inlineStr">
        <is>
          <t>BOOK</t>
        </is>
      </c>
      <c r="BB164" t="inlineStr">
        <is>
          <t>9780130772060</t>
        </is>
      </c>
      <c r="BC164" t="inlineStr">
        <is>
          <t>32285001887420</t>
        </is>
      </c>
      <c r="BD164" t="inlineStr">
        <is>
          <t>893438480</t>
        </is>
      </c>
    </row>
    <row r="165">
      <c r="A165" t="inlineStr">
        <is>
          <t>No</t>
        </is>
      </c>
      <c r="B165" t="inlineStr">
        <is>
          <t>QH308.2 .K57 1984</t>
        </is>
      </c>
      <c r="C165" t="inlineStr">
        <is>
          <t>0                      QH 0308200K  57          1984</t>
        </is>
      </c>
      <c r="D165" t="inlineStr">
        <is>
          <t>Biology : the unity and diversity of life / Cecie Starr, Ralph Taggart.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Yes</t>
        </is>
      </c>
      <c r="J165" t="inlineStr">
        <is>
          <t>0</t>
        </is>
      </c>
      <c r="K165" t="inlineStr">
        <is>
          <t>Starr, Cecie.</t>
        </is>
      </c>
      <c r="L165" t="inlineStr">
        <is>
          <t>Belmont, Calif. : Wadsworth Pub. Co., c1984.</t>
        </is>
      </c>
      <c r="M165" t="inlineStr">
        <is>
          <t>1984</t>
        </is>
      </c>
      <c r="N165" t="inlineStr">
        <is>
          <t>3rd ed.</t>
        </is>
      </c>
      <c r="O165" t="inlineStr">
        <is>
          <t>eng</t>
        </is>
      </c>
      <c r="P165" t="inlineStr">
        <is>
          <t>cau</t>
        </is>
      </c>
      <c r="R165" t="inlineStr">
        <is>
          <t xml:space="preserve">QH </t>
        </is>
      </c>
      <c r="S165" t="n">
        <v>35</v>
      </c>
      <c r="T165" t="n">
        <v>35</v>
      </c>
      <c r="U165" t="inlineStr">
        <is>
          <t>1999-08-17</t>
        </is>
      </c>
      <c r="V165" t="inlineStr">
        <is>
          <t>1999-08-17</t>
        </is>
      </c>
      <c r="W165" t="inlineStr">
        <is>
          <t>1992-04-08</t>
        </is>
      </c>
      <c r="X165" t="inlineStr">
        <is>
          <t>1992-04-08</t>
        </is>
      </c>
      <c r="Y165" t="n">
        <v>171</v>
      </c>
      <c r="Z165" t="n">
        <v>133</v>
      </c>
      <c r="AA165" t="n">
        <v>1046</v>
      </c>
      <c r="AB165" t="n">
        <v>1</v>
      </c>
      <c r="AC165" t="n">
        <v>7</v>
      </c>
      <c r="AD165" t="n">
        <v>2</v>
      </c>
      <c r="AE165" t="n">
        <v>16</v>
      </c>
      <c r="AF165" t="n">
        <v>0</v>
      </c>
      <c r="AG165" t="n">
        <v>7</v>
      </c>
      <c r="AH165" t="n">
        <v>1</v>
      </c>
      <c r="AI165" t="n">
        <v>4</v>
      </c>
      <c r="AJ165" t="n">
        <v>2</v>
      </c>
      <c r="AK165" t="n">
        <v>7</v>
      </c>
      <c r="AL165" t="n">
        <v>0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HYPERLINK("http://catalog.hathitrust.org/Record/009916701","HathiTrust Record")</f>
        <v/>
      </c>
      <c r="AS165">
        <f>HYPERLINK("https://creighton-primo.hosted.exlibrisgroup.com/primo-explore/search?tab=default_tab&amp;search_scope=EVERYTHING&amp;vid=01CRU&amp;lang=en_US&amp;offset=0&amp;query=any,contains,991000210379702656","Catalog Record")</f>
        <v/>
      </c>
      <c r="AT165">
        <f>HYPERLINK("http://www.worldcat.org/oclc/9533553","WorldCat Record")</f>
        <v/>
      </c>
      <c r="AU165" t="inlineStr">
        <is>
          <t>713406:eng</t>
        </is>
      </c>
      <c r="AV165" t="inlineStr">
        <is>
          <t>9533553</t>
        </is>
      </c>
      <c r="AW165" t="inlineStr">
        <is>
          <t>991000210379702656</t>
        </is>
      </c>
      <c r="AX165" t="inlineStr">
        <is>
          <t>991000210379702656</t>
        </is>
      </c>
      <c r="AY165" t="inlineStr">
        <is>
          <t>2260915840002656</t>
        </is>
      </c>
      <c r="AZ165" t="inlineStr">
        <is>
          <t>BOOK</t>
        </is>
      </c>
      <c r="BB165" t="inlineStr">
        <is>
          <t>9780534027421</t>
        </is>
      </c>
      <c r="BC165" t="inlineStr">
        <is>
          <t>32285001003069</t>
        </is>
      </c>
      <c r="BD165" t="inlineStr">
        <is>
          <t>893884228</t>
        </is>
      </c>
    </row>
    <row r="166">
      <c r="A166" t="inlineStr">
        <is>
          <t>No</t>
        </is>
      </c>
      <c r="B166" t="inlineStr">
        <is>
          <t>QH308.2 .L39 1989</t>
        </is>
      </c>
      <c r="C166" t="inlineStr">
        <is>
          <t>0                      QH 0308200L  39          1989</t>
        </is>
      </c>
      <c r="D166" t="inlineStr">
        <is>
          <t>A guide to modern biology : genetics, cells and systems / Eleanor Lawrence.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Lawrence, Eleanor, 1949-</t>
        </is>
      </c>
      <c r="L166" t="inlineStr">
        <is>
          <t>Harlow, Essex, England : Longman Scientific &amp; Technical ; New York : Wiley, 1989.</t>
        </is>
      </c>
      <c r="M166" t="inlineStr">
        <is>
          <t>1989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QH </t>
        </is>
      </c>
      <c r="S166" t="n">
        <v>13</v>
      </c>
      <c r="T166" t="n">
        <v>13</v>
      </c>
      <c r="U166" t="inlineStr">
        <is>
          <t>1996-09-26</t>
        </is>
      </c>
      <c r="V166" t="inlineStr">
        <is>
          <t>1996-09-26</t>
        </is>
      </c>
      <c r="W166" t="inlineStr">
        <is>
          <t>1990-01-02</t>
        </is>
      </c>
      <c r="X166" t="inlineStr">
        <is>
          <t>1990-01-02</t>
        </is>
      </c>
      <c r="Y166" t="n">
        <v>281</v>
      </c>
      <c r="Z166" t="n">
        <v>166</v>
      </c>
      <c r="AA166" t="n">
        <v>169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2</v>
      </c>
      <c r="AI166" t="n">
        <v>2</v>
      </c>
      <c r="AJ166" t="n">
        <v>3</v>
      </c>
      <c r="AK166" t="n">
        <v>3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HYPERLINK("http://catalog.hathitrust.org/Record/006242897","HathiTrust Record")</f>
        <v/>
      </c>
      <c r="AS166">
        <f>HYPERLINK("https://creighton-primo.hosted.exlibrisgroup.com/primo-explore/search?tab=default_tab&amp;search_scope=EVERYTHING&amp;vid=01CRU&amp;lang=en_US&amp;offset=0&amp;query=any,contains,991001450689702656","Catalog Record")</f>
        <v/>
      </c>
      <c r="AT166">
        <f>HYPERLINK("http://www.worldcat.org/oclc/19324653","WorldCat Record")</f>
        <v/>
      </c>
      <c r="AU166" t="inlineStr">
        <is>
          <t>836865066:eng</t>
        </is>
      </c>
      <c r="AV166" t="inlineStr">
        <is>
          <t>19324653</t>
        </is>
      </c>
      <c r="AW166" t="inlineStr">
        <is>
          <t>991001450689702656</t>
        </is>
      </c>
      <c r="AX166" t="inlineStr">
        <is>
          <t>991001450689702656</t>
        </is>
      </c>
      <c r="AY166" t="inlineStr">
        <is>
          <t>2268101010002656</t>
        </is>
      </c>
      <c r="AZ166" t="inlineStr">
        <is>
          <t>BOOK</t>
        </is>
      </c>
      <c r="BB166" t="inlineStr">
        <is>
          <t>9780470214015</t>
        </is>
      </c>
      <c r="BC166" t="inlineStr">
        <is>
          <t>32285000019801</t>
        </is>
      </c>
      <c r="BD166" t="inlineStr">
        <is>
          <t>893420327</t>
        </is>
      </c>
    </row>
    <row r="167">
      <c r="A167" t="inlineStr">
        <is>
          <t>No</t>
        </is>
      </c>
      <c r="B167" t="inlineStr">
        <is>
          <t>QH308.2 .L52</t>
        </is>
      </c>
      <c r="C167" t="inlineStr">
        <is>
          <t>0                      QH 0308200L  52</t>
        </is>
      </c>
      <c r="D167" t="inlineStr">
        <is>
          <t>Life : cells, organisms, populations / Edward O. Wilson ... [et al.].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Sunderland, Mass. : Sinauer Associates, c1977.</t>
        </is>
      </c>
      <c r="M167" t="inlineStr">
        <is>
          <t>1977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QH </t>
        </is>
      </c>
      <c r="S167" t="n">
        <v>10</v>
      </c>
      <c r="T167" t="n">
        <v>10</v>
      </c>
      <c r="U167" t="inlineStr">
        <is>
          <t>1996-09-21</t>
        </is>
      </c>
      <c r="V167" t="inlineStr">
        <is>
          <t>1996-09-21</t>
        </is>
      </c>
      <c r="W167" t="inlineStr">
        <is>
          <t>1994-04-18</t>
        </is>
      </c>
      <c r="X167" t="inlineStr">
        <is>
          <t>1994-04-18</t>
        </is>
      </c>
      <c r="Y167" t="n">
        <v>188</v>
      </c>
      <c r="Z167" t="n">
        <v>118</v>
      </c>
      <c r="AA167" t="n">
        <v>120</v>
      </c>
      <c r="AB167" t="n">
        <v>1</v>
      </c>
      <c r="AC167" t="n">
        <v>2</v>
      </c>
      <c r="AD167" t="n">
        <v>2</v>
      </c>
      <c r="AE167" t="n">
        <v>3</v>
      </c>
      <c r="AF167" t="n">
        <v>1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HYPERLINK("https://creighton-primo.hosted.exlibrisgroup.com/primo-explore/search?tab=default_tab&amp;search_scope=EVERYTHING&amp;vid=01CRU&amp;lang=en_US&amp;offset=0&amp;query=any,contains,991004377469702656","Catalog Record")</f>
        <v/>
      </c>
      <c r="AT167">
        <f>HYPERLINK("http://www.worldcat.org/oclc/3205792","WorldCat Record")</f>
        <v/>
      </c>
      <c r="AU167" t="inlineStr">
        <is>
          <t>970722462:eng</t>
        </is>
      </c>
      <c r="AV167" t="inlineStr">
        <is>
          <t>3205792</t>
        </is>
      </c>
      <c r="AW167" t="inlineStr">
        <is>
          <t>991004377469702656</t>
        </is>
      </c>
      <c r="AX167" t="inlineStr">
        <is>
          <t>991004377469702656</t>
        </is>
      </c>
      <c r="AY167" t="inlineStr">
        <is>
          <t>2269217100002656</t>
        </is>
      </c>
      <c r="AZ167" t="inlineStr">
        <is>
          <t>BOOK</t>
        </is>
      </c>
      <c r="BB167" t="inlineStr">
        <is>
          <t>9780878939435</t>
        </is>
      </c>
      <c r="BC167" t="inlineStr">
        <is>
          <t>32285001889335</t>
        </is>
      </c>
      <c r="BD167" t="inlineStr">
        <is>
          <t>893882405</t>
        </is>
      </c>
    </row>
    <row r="168">
      <c r="A168" t="inlineStr">
        <is>
          <t>No</t>
        </is>
      </c>
      <c r="B168" t="inlineStr">
        <is>
          <t>QH308.5 .N37 1970</t>
        </is>
      </c>
      <c r="C168" t="inlineStr">
        <is>
          <t>0                      QH 0308500N  37          1970</t>
        </is>
      </c>
      <c r="D168" t="inlineStr">
        <is>
          <t>Fundamental concepts of biology [by] Gideon E. Nelson, Gerald G. Robinson [and] Richard A. Boolootian. --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K168" t="inlineStr">
        <is>
          <t>Nelson, Gideon E.</t>
        </is>
      </c>
      <c r="L168" t="inlineStr">
        <is>
          <t>New York : Wiley, [1970]</t>
        </is>
      </c>
      <c r="M168" t="inlineStr">
        <is>
          <t>1970</t>
        </is>
      </c>
      <c r="N168" t="inlineStr">
        <is>
          <t>2d ed. --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QH </t>
        </is>
      </c>
      <c r="S168" t="n">
        <v>6</v>
      </c>
      <c r="T168" t="n">
        <v>6</v>
      </c>
      <c r="U168" t="inlineStr">
        <is>
          <t>2002-09-04</t>
        </is>
      </c>
      <c r="V168" t="inlineStr">
        <is>
          <t>2002-09-04</t>
        </is>
      </c>
      <c r="W168" t="inlineStr">
        <is>
          <t>1993-03-17</t>
        </is>
      </c>
      <c r="X168" t="inlineStr">
        <is>
          <t>1993-03-17</t>
        </is>
      </c>
      <c r="Y168" t="n">
        <v>240</v>
      </c>
      <c r="Z168" t="n">
        <v>164</v>
      </c>
      <c r="AA168" t="n">
        <v>431</v>
      </c>
      <c r="AB168" t="n">
        <v>3</v>
      </c>
      <c r="AC168" t="n">
        <v>6</v>
      </c>
      <c r="AD168" t="n">
        <v>2</v>
      </c>
      <c r="AE168" t="n">
        <v>7</v>
      </c>
      <c r="AF168" t="n">
        <v>0</v>
      </c>
      <c r="AG168" t="n">
        <v>2</v>
      </c>
      <c r="AH168" t="n">
        <v>1</v>
      </c>
      <c r="AI168" t="n">
        <v>2</v>
      </c>
      <c r="AJ168" t="n">
        <v>0</v>
      </c>
      <c r="AK168" t="n">
        <v>3</v>
      </c>
      <c r="AL168" t="n">
        <v>1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HYPERLINK("https://creighton-primo.hosted.exlibrisgroup.com/primo-explore/search?tab=default_tab&amp;search_scope=EVERYTHING&amp;vid=01CRU&amp;lang=en_US&amp;offset=0&amp;query=any,contains,991000254099702656","Catalog Record")</f>
        <v/>
      </c>
      <c r="AT168">
        <f>HYPERLINK("http://www.worldcat.org/oclc/68172","WorldCat Record")</f>
        <v/>
      </c>
      <c r="AU168" t="inlineStr">
        <is>
          <t>213419:eng</t>
        </is>
      </c>
      <c r="AV168" t="inlineStr">
        <is>
          <t>68172</t>
        </is>
      </c>
      <c r="AW168" t="inlineStr">
        <is>
          <t>991000254099702656</t>
        </is>
      </c>
      <c r="AX168" t="inlineStr">
        <is>
          <t>991000254099702656</t>
        </is>
      </c>
      <c r="AY168" t="inlineStr">
        <is>
          <t>2257634100002656</t>
        </is>
      </c>
      <c r="AZ168" t="inlineStr">
        <is>
          <t>BOOK</t>
        </is>
      </c>
      <c r="BB168" t="inlineStr">
        <is>
          <t>9780471631514</t>
        </is>
      </c>
      <c r="BC168" t="inlineStr">
        <is>
          <t>32285001552552</t>
        </is>
      </c>
      <c r="BD168" t="inlineStr">
        <is>
          <t>893614051</t>
        </is>
      </c>
    </row>
    <row r="169">
      <c r="A169" t="inlineStr">
        <is>
          <t>No</t>
        </is>
      </c>
      <c r="B169" t="inlineStr">
        <is>
          <t>QH309 .D85 1987</t>
        </is>
      </c>
      <c r="C169" t="inlineStr">
        <is>
          <t>0                      QH 0309000D  85          1987</t>
        </is>
      </c>
      <c r="D169" t="inlineStr">
        <is>
          <t>The design of life / Renato Dulbecco.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Dulbecco, Renato, 1914-2012.</t>
        </is>
      </c>
      <c r="L169" t="inlineStr">
        <is>
          <t>New Haven : Yale University Press, c1987.</t>
        </is>
      </c>
      <c r="M169" t="inlineStr">
        <is>
          <t>1987</t>
        </is>
      </c>
      <c r="O169" t="inlineStr">
        <is>
          <t>eng</t>
        </is>
      </c>
      <c r="P169" t="inlineStr">
        <is>
          <t>ctu</t>
        </is>
      </c>
      <c r="R169" t="inlineStr">
        <is>
          <t xml:space="preserve">QH </t>
        </is>
      </c>
      <c r="S169" t="n">
        <v>9</v>
      </c>
      <c r="T169" t="n">
        <v>9</v>
      </c>
      <c r="U169" t="inlineStr">
        <is>
          <t>1996-09-22</t>
        </is>
      </c>
      <c r="V169" t="inlineStr">
        <is>
          <t>1996-09-22</t>
        </is>
      </c>
      <c r="W169" t="inlineStr">
        <is>
          <t>1993-03-17</t>
        </is>
      </c>
      <c r="X169" t="inlineStr">
        <is>
          <t>1993-03-17</t>
        </is>
      </c>
      <c r="Y169" t="n">
        <v>1081</v>
      </c>
      <c r="Z169" t="n">
        <v>960</v>
      </c>
      <c r="AA169" t="n">
        <v>1107</v>
      </c>
      <c r="AB169" t="n">
        <v>6</v>
      </c>
      <c r="AC169" t="n">
        <v>6</v>
      </c>
      <c r="AD169" t="n">
        <v>32</v>
      </c>
      <c r="AE169" t="n">
        <v>38</v>
      </c>
      <c r="AF169" t="n">
        <v>11</v>
      </c>
      <c r="AG169" t="n">
        <v>16</v>
      </c>
      <c r="AH169" t="n">
        <v>7</v>
      </c>
      <c r="AI169" t="n">
        <v>9</v>
      </c>
      <c r="AJ169" t="n">
        <v>20</v>
      </c>
      <c r="AK169" t="n">
        <v>21</v>
      </c>
      <c r="AL169" t="n">
        <v>4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HYPERLINK("https://creighton-primo.hosted.exlibrisgroup.com/primo-explore/search?tab=default_tab&amp;search_scope=EVERYTHING&amp;vid=01CRU&amp;lang=en_US&amp;offset=0&amp;query=any,contains,991001037359702656","Catalog Record")</f>
        <v/>
      </c>
      <c r="AT169">
        <f>HYPERLINK("http://www.worldcat.org/oclc/15550032","WorldCat Record")</f>
        <v/>
      </c>
      <c r="AU169" t="inlineStr">
        <is>
          <t>9748357:eng</t>
        </is>
      </c>
      <c r="AV169" t="inlineStr">
        <is>
          <t>15550032</t>
        </is>
      </c>
      <c r="AW169" t="inlineStr">
        <is>
          <t>991001037359702656</t>
        </is>
      </c>
      <c r="AX169" t="inlineStr">
        <is>
          <t>991001037359702656</t>
        </is>
      </c>
      <c r="AY169" t="inlineStr">
        <is>
          <t>2258729590002656</t>
        </is>
      </c>
      <c r="AZ169" t="inlineStr">
        <is>
          <t>BOOK</t>
        </is>
      </c>
      <c r="BB169" t="inlineStr">
        <is>
          <t>9780300037913</t>
        </is>
      </c>
      <c r="BC169" t="inlineStr">
        <is>
          <t>32285001552560</t>
        </is>
      </c>
      <c r="BD169" t="inlineStr">
        <is>
          <t>893340110</t>
        </is>
      </c>
    </row>
    <row r="170">
      <c r="A170" t="inlineStr">
        <is>
          <t>No</t>
        </is>
      </c>
      <c r="B170" t="inlineStr">
        <is>
          <t>QH309 .R54</t>
        </is>
      </c>
      <c r="C170" t="inlineStr">
        <is>
          <t>0                      QH 0309000R  54</t>
        </is>
      </c>
      <c r="D170" t="inlineStr">
        <is>
          <t>Brave new baby; promise and peril of the biological revolution [by] David M. Rorvik.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Rorvik, David M.</t>
        </is>
      </c>
      <c r="L170" t="inlineStr">
        <is>
          <t>Garden City, N.Y., Doubleday, 1971.</t>
        </is>
      </c>
      <c r="M170" t="inlineStr">
        <is>
          <t>1971</t>
        </is>
      </c>
      <c r="N170" t="inlineStr">
        <is>
          <t>[1st ed.]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QH </t>
        </is>
      </c>
      <c r="S170" t="n">
        <v>2</v>
      </c>
      <c r="T170" t="n">
        <v>2</v>
      </c>
      <c r="U170" t="inlineStr">
        <is>
          <t>1997-10-11</t>
        </is>
      </c>
      <c r="V170" t="inlineStr">
        <is>
          <t>1997-10-11</t>
        </is>
      </c>
      <c r="W170" t="inlineStr">
        <is>
          <t>1997-06-30</t>
        </is>
      </c>
      <c r="X170" t="inlineStr">
        <is>
          <t>1997-06-30</t>
        </is>
      </c>
      <c r="Y170" t="n">
        <v>467</v>
      </c>
      <c r="Z170" t="n">
        <v>420</v>
      </c>
      <c r="AA170" t="n">
        <v>426</v>
      </c>
      <c r="AB170" t="n">
        <v>3</v>
      </c>
      <c r="AC170" t="n">
        <v>3</v>
      </c>
      <c r="AD170" t="n">
        <v>15</v>
      </c>
      <c r="AE170" t="n">
        <v>16</v>
      </c>
      <c r="AF170" t="n">
        <v>6</v>
      </c>
      <c r="AG170" t="n">
        <v>6</v>
      </c>
      <c r="AH170" t="n">
        <v>0</v>
      </c>
      <c r="AI170" t="n">
        <v>1</v>
      </c>
      <c r="AJ170" t="n">
        <v>8</v>
      </c>
      <c r="AK170" t="n">
        <v>9</v>
      </c>
      <c r="AL170" t="n">
        <v>2</v>
      </c>
      <c r="AM170" t="n">
        <v>2</v>
      </c>
      <c r="AN170" t="n">
        <v>2</v>
      </c>
      <c r="AO170" t="n">
        <v>2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HYPERLINK("http://catalog.hathitrust.org/Record/001491165","HathiTrust Record")</f>
        <v/>
      </c>
      <c r="AS170">
        <f>HYPERLINK("https://creighton-primo.hosted.exlibrisgroup.com/primo-explore/search?tab=default_tab&amp;search_scope=EVERYTHING&amp;vid=01CRU&amp;lang=en_US&amp;offset=0&amp;query=any,contains,991000749009702656","Catalog Record")</f>
        <v/>
      </c>
      <c r="AT170">
        <f>HYPERLINK("http://www.worldcat.org/oclc/129891","WorldCat Record")</f>
        <v/>
      </c>
      <c r="AU170" t="inlineStr">
        <is>
          <t>1262901:eng</t>
        </is>
      </c>
      <c r="AV170" t="inlineStr">
        <is>
          <t>129891</t>
        </is>
      </c>
      <c r="AW170" t="inlineStr">
        <is>
          <t>991000749009702656</t>
        </is>
      </c>
      <c r="AX170" t="inlineStr">
        <is>
          <t>991000749009702656</t>
        </is>
      </c>
      <c r="AY170" t="inlineStr">
        <is>
          <t>2266695780002656</t>
        </is>
      </c>
      <c r="AZ170" t="inlineStr">
        <is>
          <t>BOOK</t>
        </is>
      </c>
      <c r="BC170" t="inlineStr">
        <is>
          <t>32285002867546</t>
        </is>
      </c>
      <c r="BD170" t="inlineStr">
        <is>
          <t>893321308</t>
        </is>
      </c>
    </row>
    <row r="171">
      <c r="A171" t="inlineStr">
        <is>
          <t>No</t>
        </is>
      </c>
      <c r="B171" t="inlineStr">
        <is>
          <t>QH309 .T25 1968b</t>
        </is>
      </c>
      <c r="C171" t="inlineStr">
        <is>
          <t>0                      QH 0309000T  25          1968b</t>
        </is>
      </c>
      <c r="D171" t="inlineStr">
        <is>
          <t>The biological time bomb.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Taylor, Gordon Rattray.</t>
        </is>
      </c>
      <c r="L171" t="inlineStr">
        <is>
          <t>New York, World Pub. Co. [1968]</t>
        </is>
      </c>
      <c r="M171" t="inlineStr">
        <is>
          <t>1968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QH </t>
        </is>
      </c>
      <c r="S171" t="n">
        <v>2</v>
      </c>
      <c r="T171" t="n">
        <v>2</v>
      </c>
      <c r="U171" t="inlineStr">
        <is>
          <t>1997-10-11</t>
        </is>
      </c>
      <c r="V171" t="inlineStr">
        <is>
          <t>1997-10-11</t>
        </is>
      </c>
      <c r="W171" t="inlineStr">
        <is>
          <t>1997-06-30</t>
        </is>
      </c>
      <c r="X171" t="inlineStr">
        <is>
          <t>1997-06-30</t>
        </is>
      </c>
      <c r="Y171" t="n">
        <v>1195</v>
      </c>
      <c r="Z171" t="n">
        <v>1134</v>
      </c>
      <c r="AA171" t="n">
        <v>1246</v>
      </c>
      <c r="AB171" t="n">
        <v>10</v>
      </c>
      <c r="AC171" t="n">
        <v>10</v>
      </c>
      <c r="AD171" t="n">
        <v>39</v>
      </c>
      <c r="AE171" t="n">
        <v>41</v>
      </c>
      <c r="AF171" t="n">
        <v>12</v>
      </c>
      <c r="AG171" t="n">
        <v>13</v>
      </c>
      <c r="AH171" t="n">
        <v>6</v>
      </c>
      <c r="AI171" t="n">
        <v>6</v>
      </c>
      <c r="AJ171" t="n">
        <v>18</v>
      </c>
      <c r="AK171" t="n">
        <v>18</v>
      </c>
      <c r="AL171" t="n">
        <v>8</v>
      </c>
      <c r="AM171" t="n">
        <v>8</v>
      </c>
      <c r="AN171" t="n">
        <v>4</v>
      </c>
      <c r="AO171" t="n">
        <v>5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HYPERLINK("http://catalog.hathitrust.org/Record/001998173","HathiTrust Record")</f>
        <v/>
      </c>
      <c r="AS171">
        <f>HYPERLINK("https://creighton-primo.hosted.exlibrisgroup.com/primo-explore/search?tab=default_tab&amp;search_scope=EVERYTHING&amp;vid=01CRU&amp;lang=en_US&amp;offset=0&amp;query=any,contains,991002450309702656","Catalog Record")</f>
        <v/>
      </c>
      <c r="AT171">
        <f>HYPERLINK("http://www.worldcat.org/oclc/352723","WorldCat Record")</f>
        <v/>
      </c>
      <c r="AU171" t="inlineStr">
        <is>
          <t>1389583:eng</t>
        </is>
      </c>
      <c r="AV171" t="inlineStr">
        <is>
          <t>352723</t>
        </is>
      </c>
      <c r="AW171" t="inlineStr">
        <is>
          <t>991002450309702656</t>
        </is>
      </c>
      <c r="AX171" t="inlineStr">
        <is>
          <t>991002450309702656</t>
        </is>
      </c>
      <c r="AY171" t="inlineStr">
        <is>
          <t>2265198640002656</t>
        </is>
      </c>
      <c r="AZ171" t="inlineStr">
        <is>
          <t>BOOK</t>
        </is>
      </c>
      <c r="BC171" t="inlineStr">
        <is>
          <t>32285002867553</t>
        </is>
      </c>
      <c r="BD171" t="inlineStr">
        <is>
          <t>893427614</t>
        </is>
      </c>
    </row>
    <row r="172">
      <c r="A172" t="inlineStr">
        <is>
          <t>No</t>
        </is>
      </c>
      <c r="B172" t="inlineStr">
        <is>
          <t>QH31 .D2 A2 1969 V.2</t>
        </is>
      </c>
      <c r="C172" t="inlineStr">
        <is>
          <t>0                      QH 0031000D  2                  A  2           1969                  V.2</t>
        </is>
      </c>
      <c r="D172" t="inlineStr">
        <is>
          <t>The life and letters of Charles Darwin / including an autobiographical chapter ; edited by his son, Francis Darwin. London, J. Murray, 1888.</t>
        </is>
      </c>
      <c r="E172" t="inlineStr">
        <is>
          <t>V.2*</t>
        </is>
      </c>
      <c r="F172" t="inlineStr">
        <is>
          <t>Yes</t>
        </is>
      </c>
      <c r="G172" t="inlineStr">
        <is>
          <t>1</t>
        </is>
      </c>
      <c r="H172" t="inlineStr">
        <is>
          <t>No</t>
        </is>
      </c>
      <c r="I172" t="inlineStr">
        <is>
          <t>Yes</t>
        </is>
      </c>
      <c r="J172" t="inlineStr">
        <is>
          <t>0</t>
        </is>
      </c>
      <c r="K172" t="inlineStr">
        <is>
          <t>Darwin, Charles, 1809-1882.</t>
        </is>
      </c>
      <c r="L172" t="inlineStr">
        <is>
          <t>New York : Johnson Reprint Corp., [1969]</t>
        </is>
      </c>
      <c r="M172" t="inlineStr">
        <is>
          <t>1969</t>
        </is>
      </c>
      <c r="O172" t="inlineStr">
        <is>
          <t>eng</t>
        </is>
      </c>
      <c r="P172" t="inlineStr">
        <is>
          <t>nyu</t>
        </is>
      </c>
      <c r="Q172" t="inlineStr">
        <is>
          <t>The Sources of science, no. 102</t>
        </is>
      </c>
      <c r="R172" t="inlineStr">
        <is>
          <t xml:space="preserve">QH </t>
        </is>
      </c>
      <c r="S172" t="n">
        <v>5</v>
      </c>
      <c r="T172" t="n">
        <v>15</v>
      </c>
      <c r="U172" t="inlineStr">
        <is>
          <t>2010-04-12</t>
        </is>
      </c>
      <c r="V172" t="inlineStr">
        <is>
          <t>2010-04-12</t>
        </is>
      </c>
      <c r="W172" t="inlineStr">
        <is>
          <t>1995-10-09</t>
        </is>
      </c>
      <c r="X172" t="inlineStr">
        <is>
          <t>1995-10-09</t>
        </is>
      </c>
      <c r="Y172" t="n">
        <v>137</v>
      </c>
      <c r="Z172" t="n">
        <v>121</v>
      </c>
      <c r="AA172" t="n">
        <v>1213</v>
      </c>
      <c r="AB172" t="n">
        <v>2</v>
      </c>
      <c r="AC172" t="n">
        <v>15</v>
      </c>
      <c r="AD172" t="n">
        <v>4</v>
      </c>
      <c r="AE172" t="n">
        <v>59</v>
      </c>
      <c r="AF172" t="n">
        <v>2</v>
      </c>
      <c r="AG172" t="n">
        <v>24</v>
      </c>
      <c r="AH172" t="n">
        <v>0</v>
      </c>
      <c r="AI172" t="n">
        <v>7</v>
      </c>
      <c r="AJ172" t="n">
        <v>1</v>
      </c>
      <c r="AK172" t="n">
        <v>25</v>
      </c>
      <c r="AL172" t="n">
        <v>1</v>
      </c>
      <c r="AM172" t="n">
        <v>12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HYPERLINK("http://catalog.hathitrust.org/Record/004394654","HathiTrust Record")</f>
        <v/>
      </c>
      <c r="AS172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2">
        <f>HYPERLINK("http://www.worldcat.org/oclc/81038","WorldCat Record")</f>
        <v/>
      </c>
      <c r="AU172" t="inlineStr">
        <is>
          <t>6798284:eng</t>
        </is>
      </c>
      <c r="AV172" t="inlineStr">
        <is>
          <t>81038</t>
        </is>
      </c>
      <c r="AW172" t="inlineStr">
        <is>
          <t>991000499339702656</t>
        </is>
      </c>
      <c r="AX172" t="inlineStr">
        <is>
          <t>991000499339702656</t>
        </is>
      </c>
      <c r="AY172" t="inlineStr">
        <is>
          <t>2269710130002656</t>
        </is>
      </c>
      <c r="AZ172" t="inlineStr">
        <is>
          <t>BOOK</t>
        </is>
      </c>
      <c r="BC172" t="inlineStr">
        <is>
          <t>32285002061751</t>
        </is>
      </c>
      <c r="BD172" t="inlineStr">
        <is>
          <t>893419508</t>
        </is>
      </c>
    </row>
    <row r="173">
      <c r="A173" t="inlineStr">
        <is>
          <t>No</t>
        </is>
      </c>
      <c r="B173" t="inlineStr">
        <is>
          <t>QH31 .D2 A2 1969 V.3</t>
        </is>
      </c>
      <c r="C173" t="inlineStr">
        <is>
          <t>0                      QH 0031000D  2                  A  2           1969                  V.3</t>
        </is>
      </c>
      <c r="D173" t="inlineStr">
        <is>
          <t>The life and letters of Charles Darwin / including an autobiographical chapter ; edited by his son, Francis Darwin. London, J. Murray, 1888.</t>
        </is>
      </c>
      <c r="E173" t="inlineStr">
        <is>
          <t>V.3*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Yes</t>
        </is>
      </c>
      <c r="J173" t="inlineStr">
        <is>
          <t>0</t>
        </is>
      </c>
      <c r="K173" t="inlineStr">
        <is>
          <t>Darwin, Charles, 1809-1882.</t>
        </is>
      </c>
      <c r="L173" t="inlineStr">
        <is>
          <t>New York : Johnson Reprint Corp., [1969]</t>
        </is>
      </c>
      <c r="M173" t="inlineStr">
        <is>
          <t>1969</t>
        </is>
      </c>
      <c r="O173" t="inlineStr">
        <is>
          <t>eng</t>
        </is>
      </c>
      <c r="P173" t="inlineStr">
        <is>
          <t>nyu</t>
        </is>
      </c>
      <c r="Q173" t="inlineStr">
        <is>
          <t>The Sources of science, no. 102</t>
        </is>
      </c>
      <c r="R173" t="inlineStr">
        <is>
          <t xml:space="preserve">QH </t>
        </is>
      </c>
      <c r="S173" t="n">
        <v>5</v>
      </c>
      <c r="T173" t="n">
        <v>15</v>
      </c>
      <c r="U173" t="inlineStr">
        <is>
          <t>2010-04-12</t>
        </is>
      </c>
      <c r="V173" t="inlineStr">
        <is>
          <t>2010-04-12</t>
        </is>
      </c>
      <c r="W173" t="inlineStr">
        <is>
          <t>1995-10-09</t>
        </is>
      </c>
      <c r="X173" t="inlineStr">
        <is>
          <t>1995-10-09</t>
        </is>
      </c>
      <c r="Y173" t="n">
        <v>137</v>
      </c>
      <c r="Z173" t="n">
        <v>121</v>
      </c>
      <c r="AA173" t="n">
        <v>1213</v>
      </c>
      <c r="AB173" t="n">
        <v>2</v>
      </c>
      <c r="AC173" t="n">
        <v>15</v>
      </c>
      <c r="AD173" t="n">
        <v>4</v>
      </c>
      <c r="AE173" t="n">
        <v>59</v>
      </c>
      <c r="AF173" t="n">
        <v>2</v>
      </c>
      <c r="AG173" t="n">
        <v>24</v>
      </c>
      <c r="AH173" t="n">
        <v>0</v>
      </c>
      <c r="AI173" t="n">
        <v>7</v>
      </c>
      <c r="AJ173" t="n">
        <v>1</v>
      </c>
      <c r="AK173" t="n">
        <v>25</v>
      </c>
      <c r="AL173" t="n">
        <v>1</v>
      </c>
      <c r="AM173" t="n">
        <v>12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HYPERLINK("http://catalog.hathitrust.org/Record/004394654","HathiTrust Record")</f>
        <v/>
      </c>
      <c r="AS17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3">
        <f>HYPERLINK("http://www.worldcat.org/oclc/81038","WorldCat Record")</f>
        <v/>
      </c>
      <c r="AU173" t="inlineStr">
        <is>
          <t>6798284:eng</t>
        </is>
      </c>
      <c r="AV173" t="inlineStr">
        <is>
          <t>81038</t>
        </is>
      </c>
      <c r="AW173" t="inlineStr">
        <is>
          <t>991000499339702656</t>
        </is>
      </c>
      <c r="AX173" t="inlineStr">
        <is>
          <t>991000499339702656</t>
        </is>
      </c>
      <c r="AY173" t="inlineStr">
        <is>
          <t>2269710130002656</t>
        </is>
      </c>
      <c r="AZ173" t="inlineStr">
        <is>
          <t>BOOK</t>
        </is>
      </c>
      <c r="BC173" t="inlineStr">
        <is>
          <t>32285002061769</t>
        </is>
      </c>
      <c r="BD173" t="inlineStr">
        <is>
          <t>893438305</t>
        </is>
      </c>
    </row>
    <row r="174">
      <c r="A174" t="inlineStr">
        <is>
          <t>No</t>
        </is>
      </c>
      <c r="B174" t="inlineStr">
        <is>
          <t>QH31.A2 L8</t>
        </is>
      </c>
      <c r="C174" t="inlineStr">
        <is>
          <t>0                      QH 0031000A  2                  L  8</t>
        </is>
      </c>
      <c r="D174" t="inlineStr">
        <is>
          <t>Louis Agassiz: a life in science, by Edward Lurie.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Lurie, Edward, 1927-2008.</t>
        </is>
      </c>
      <c r="L174" t="inlineStr">
        <is>
          <t>Chicago, University of Chicago Press [c1966]</t>
        </is>
      </c>
      <c r="M174" t="inlineStr">
        <is>
          <t>1966</t>
        </is>
      </c>
      <c r="N174" t="inlineStr">
        <is>
          <t>1st Phoenix ed. (abridged)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QH </t>
        </is>
      </c>
      <c r="S174" t="n">
        <v>1</v>
      </c>
      <c r="T174" t="n">
        <v>1</v>
      </c>
      <c r="U174" t="inlineStr">
        <is>
          <t>2003-02-16</t>
        </is>
      </c>
      <c r="V174" t="inlineStr">
        <is>
          <t>2003-02-16</t>
        </is>
      </c>
      <c r="W174" t="inlineStr">
        <is>
          <t>1997-06-26</t>
        </is>
      </c>
      <c r="X174" t="inlineStr">
        <is>
          <t>1997-06-26</t>
        </is>
      </c>
      <c r="Y174" t="n">
        <v>80</v>
      </c>
      <c r="Z174" t="n">
        <v>76</v>
      </c>
      <c r="AA174" t="n">
        <v>1150</v>
      </c>
      <c r="AB174" t="n">
        <v>3</v>
      </c>
      <c r="AC174" t="n">
        <v>11</v>
      </c>
      <c r="AD174" t="n">
        <v>3</v>
      </c>
      <c r="AE174" t="n">
        <v>39</v>
      </c>
      <c r="AF174" t="n">
        <v>0</v>
      </c>
      <c r="AG174" t="n">
        <v>13</v>
      </c>
      <c r="AH174" t="n">
        <v>1</v>
      </c>
      <c r="AI174" t="n">
        <v>6</v>
      </c>
      <c r="AJ174" t="n">
        <v>1</v>
      </c>
      <c r="AK174" t="n">
        <v>20</v>
      </c>
      <c r="AL174" t="n">
        <v>2</v>
      </c>
      <c r="AM174" t="n">
        <v>9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HYPERLINK("https://creighton-primo.hosted.exlibrisgroup.com/primo-explore/search?tab=default_tab&amp;search_scope=EVERYTHING&amp;vid=01CRU&amp;lang=en_US&amp;offset=0&amp;query=any,contains,991003518919702656","Catalog Record")</f>
        <v/>
      </c>
      <c r="AT174">
        <f>HYPERLINK("http://www.worldcat.org/oclc/1078222","WorldCat Record")</f>
        <v/>
      </c>
      <c r="AU174" t="inlineStr">
        <is>
          <t>2040231:eng</t>
        </is>
      </c>
      <c r="AV174" t="inlineStr">
        <is>
          <t>1078222</t>
        </is>
      </c>
      <c r="AW174" t="inlineStr">
        <is>
          <t>991003518919702656</t>
        </is>
      </c>
      <c r="AX174" t="inlineStr">
        <is>
          <t>991003518919702656</t>
        </is>
      </c>
      <c r="AY174" t="inlineStr">
        <is>
          <t>2258699500002656</t>
        </is>
      </c>
      <c r="AZ174" t="inlineStr">
        <is>
          <t>BOOK</t>
        </is>
      </c>
      <c r="BC174" t="inlineStr">
        <is>
          <t>32285002854916</t>
        </is>
      </c>
      <c r="BD174" t="inlineStr">
        <is>
          <t>893617421</t>
        </is>
      </c>
    </row>
    <row r="175">
      <c r="A175" t="inlineStr">
        <is>
          <t>No</t>
        </is>
      </c>
      <c r="B175" t="inlineStr">
        <is>
          <t>QH31.A55 G36 2001</t>
        </is>
      </c>
      <c r="C175" t="inlineStr">
        <is>
          <t>0                      QH 0031000A  55                 G  36          2001</t>
        </is>
      </c>
      <c r="D175" t="inlineStr">
        <is>
          <t>Dragon hunter : Roy Chapman Andrews and the Central Asiatic expeditions / Charles Gallenkamp ; foreword by Michael J. Novacek ; with the cooperation of the American Museum of Natual History.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Gallenkamp, Charles.</t>
        </is>
      </c>
      <c r="L175" t="inlineStr">
        <is>
          <t>New York, N.Y. : Viking, 2001.</t>
        </is>
      </c>
      <c r="M175" t="inlineStr">
        <is>
          <t>2001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QH </t>
        </is>
      </c>
      <c r="S175" t="n">
        <v>2</v>
      </c>
      <c r="T175" t="n">
        <v>2</v>
      </c>
      <c r="U175" t="inlineStr">
        <is>
          <t>2001-12-18</t>
        </is>
      </c>
      <c r="V175" t="inlineStr">
        <is>
          <t>2001-12-18</t>
        </is>
      </c>
      <c r="W175" t="inlineStr">
        <is>
          <t>2001-12-18</t>
        </is>
      </c>
      <c r="X175" t="inlineStr">
        <is>
          <t>2001-12-18</t>
        </is>
      </c>
      <c r="Y175" t="n">
        <v>809</v>
      </c>
      <c r="Z175" t="n">
        <v>762</v>
      </c>
      <c r="AA175" t="n">
        <v>824</v>
      </c>
      <c r="AB175" t="n">
        <v>7</v>
      </c>
      <c r="AC175" t="n">
        <v>7</v>
      </c>
      <c r="AD175" t="n">
        <v>17</v>
      </c>
      <c r="AE175" t="n">
        <v>18</v>
      </c>
      <c r="AF175" t="n">
        <v>6</v>
      </c>
      <c r="AG175" t="n">
        <v>6</v>
      </c>
      <c r="AH175" t="n">
        <v>2</v>
      </c>
      <c r="AI175" t="n">
        <v>2</v>
      </c>
      <c r="AJ175" t="n">
        <v>8</v>
      </c>
      <c r="AK175" t="n">
        <v>9</v>
      </c>
      <c r="AL175" t="n">
        <v>4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HYPERLINK("https://creighton-primo.hosted.exlibrisgroup.com/primo-explore/search?tab=default_tab&amp;search_scope=EVERYTHING&amp;vid=01CRU&amp;lang=en_US&amp;offset=0&amp;query=any,contains,991003666299702656","Catalog Record")</f>
        <v/>
      </c>
      <c r="AT175">
        <f>HYPERLINK("http://www.worldcat.org/oclc/45284688","WorldCat Record")</f>
        <v/>
      </c>
      <c r="AU175" t="inlineStr">
        <is>
          <t>793865821:eng</t>
        </is>
      </c>
      <c r="AV175" t="inlineStr">
        <is>
          <t>45284688</t>
        </is>
      </c>
      <c r="AW175" t="inlineStr">
        <is>
          <t>991003666299702656</t>
        </is>
      </c>
      <c r="AX175" t="inlineStr">
        <is>
          <t>991003666299702656</t>
        </is>
      </c>
      <c r="AY175" t="inlineStr">
        <is>
          <t>2272674010002656</t>
        </is>
      </c>
      <c r="AZ175" t="inlineStr">
        <is>
          <t>BOOK</t>
        </is>
      </c>
      <c r="BB175" t="inlineStr">
        <is>
          <t>9780670890934</t>
        </is>
      </c>
      <c r="BC175" t="inlineStr">
        <is>
          <t>32285004428941</t>
        </is>
      </c>
      <c r="BD175" t="inlineStr">
        <is>
          <t>893228297</t>
        </is>
      </c>
    </row>
    <row r="176">
      <c r="A176" t="inlineStr">
        <is>
          <t>No</t>
        </is>
      </c>
      <c r="B176" t="inlineStr">
        <is>
          <t>QH31.A73 A3 2002b</t>
        </is>
      </c>
      <c r="C176" t="inlineStr">
        <is>
          <t>0                      QH 0031000A  73                 A  3           2002b</t>
        </is>
      </c>
      <c r="D176" t="inlineStr">
        <is>
          <t>Life on air : memoirs of a broadcaster / David Attenborough.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Attenborough, David, 1926-</t>
        </is>
      </c>
      <c r="L176" t="inlineStr">
        <is>
          <t>Princeton, N.J. : Princeton University Press, c2002.</t>
        </is>
      </c>
      <c r="M176" t="inlineStr">
        <is>
          <t>2002</t>
        </is>
      </c>
      <c r="O176" t="inlineStr">
        <is>
          <t>eng</t>
        </is>
      </c>
      <c r="P176" t="inlineStr">
        <is>
          <t>nju</t>
        </is>
      </c>
      <c r="R176" t="inlineStr">
        <is>
          <t xml:space="preserve">QH </t>
        </is>
      </c>
      <c r="S176" t="n">
        <v>1</v>
      </c>
      <c r="T176" t="n">
        <v>1</v>
      </c>
      <c r="U176" t="inlineStr">
        <is>
          <t>2002-10-30</t>
        </is>
      </c>
      <c r="V176" t="inlineStr">
        <is>
          <t>2002-10-30</t>
        </is>
      </c>
      <c r="W176" t="inlineStr">
        <is>
          <t>2002-10-30</t>
        </is>
      </c>
      <c r="X176" t="inlineStr">
        <is>
          <t>2002-10-30</t>
        </is>
      </c>
      <c r="Y176" t="n">
        <v>308</v>
      </c>
      <c r="Z176" t="n">
        <v>284</v>
      </c>
      <c r="AA176" t="n">
        <v>284</v>
      </c>
      <c r="AB176" t="n">
        <v>1</v>
      </c>
      <c r="AC176" t="n">
        <v>1</v>
      </c>
      <c r="AD176" t="n">
        <v>6</v>
      </c>
      <c r="AE176" t="n">
        <v>6</v>
      </c>
      <c r="AF176" t="n">
        <v>2</v>
      </c>
      <c r="AG176" t="n">
        <v>2</v>
      </c>
      <c r="AH176" t="n">
        <v>1</v>
      </c>
      <c r="AI176" t="n">
        <v>1</v>
      </c>
      <c r="AJ176" t="n">
        <v>5</v>
      </c>
      <c r="AK176" t="n">
        <v>5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HYPERLINK("https://creighton-primo.hosted.exlibrisgroup.com/primo-explore/search?tab=default_tab&amp;search_scope=EVERYTHING&amp;vid=01CRU&amp;lang=en_US&amp;offset=0&amp;query=any,contains,991003922999702656","Catalog Record")</f>
        <v/>
      </c>
      <c r="AT176">
        <f>HYPERLINK("http://www.worldcat.org/oclc/50807971","WorldCat Record")</f>
        <v/>
      </c>
      <c r="AU176" t="inlineStr">
        <is>
          <t>10568088267:eng</t>
        </is>
      </c>
      <c r="AV176" t="inlineStr">
        <is>
          <t>50807971</t>
        </is>
      </c>
      <c r="AW176" t="inlineStr">
        <is>
          <t>991003922999702656</t>
        </is>
      </c>
      <c r="AX176" t="inlineStr">
        <is>
          <t>991003922999702656</t>
        </is>
      </c>
      <c r="AY176" t="inlineStr">
        <is>
          <t>2272489070002656</t>
        </is>
      </c>
      <c r="AZ176" t="inlineStr">
        <is>
          <t>BOOK</t>
        </is>
      </c>
      <c r="BB176" t="inlineStr">
        <is>
          <t>9780691113234</t>
        </is>
      </c>
      <c r="BC176" t="inlineStr">
        <is>
          <t>32285004659792</t>
        </is>
      </c>
      <c r="BD176" t="inlineStr">
        <is>
          <t>893711946</t>
        </is>
      </c>
    </row>
    <row r="177">
      <c r="A177" t="inlineStr">
        <is>
          <t>No</t>
        </is>
      </c>
      <c r="B177" t="inlineStr">
        <is>
          <t>QH31.B465 A313 1988</t>
        </is>
      </c>
      <c r="C177" t="inlineStr">
        <is>
          <t>0                      QH 0031000B  465                A  313         1988</t>
        </is>
      </c>
      <c r="D177" t="inlineStr">
        <is>
          <t>Acquired traits : memoirs of a geneticist from the Soviet Union / Raissa L. Berg ; translated by David Lowe.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Berg, Raisa, 1913-2006.</t>
        </is>
      </c>
      <c r="L177" t="inlineStr">
        <is>
          <t>New York, N.Y., U.S.A. : Viking, 1988.</t>
        </is>
      </c>
      <c r="M177" t="inlineStr">
        <is>
          <t>1988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QH </t>
        </is>
      </c>
      <c r="S177" t="n">
        <v>3</v>
      </c>
      <c r="T177" t="n">
        <v>3</v>
      </c>
      <c r="U177" t="inlineStr">
        <is>
          <t>1996-09-23</t>
        </is>
      </c>
      <c r="V177" t="inlineStr">
        <is>
          <t>1996-09-23</t>
        </is>
      </c>
      <c r="W177" t="inlineStr">
        <is>
          <t>1995-08-06</t>
        </is>
      </c>
      <c r="X177" t="inlineStr">
        <is>
          <t>1995-08-06</t>
        </is>
      </c>
      <c r="Y177" t="n">
        <v>247</v>
      </c>
      <c r="Z177" t="n">
        <v>212</v>
      </c>
      <c r="AA177" t="n">
        <v>246</v>
      </c>
      <c r="AB177" t="n">
        <v>1</v>
      </c>
      <c r="AC177" t="n">
        <v>1</v>
      </c>
      <c r="AD177" t="n">
        <v>8</v>
      </c>
      <c r="AE177" t="n">
        <v>8</v>
      </c>
      <c r="AF177" t="n">
        <v>2</v>
      </c>
      <c r="AG177" t="n">
        <v>2</v>
      </c>
      <c r="AH177" t="n">
        <v>2</v>
      </c>
      <c r="AI177" t="n">
        <v>2</v>
      </c>
      <c r="AJ177" t="n">
        <v>6</v>
      </c>
      <c r="AK177" t="n">
        <v>6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HYPERLINK("http://catalog.hathitrust.org/Record/002370673","HathiTrust Record")</f>
        <v/>
      </c>
      <c r="AS177">
        <f>HYPERLINK("https://creighton-primo.hosted.exlibrisgroup.com/primo-explore/search?tab=default_tab&amp;search_scope=EVERYTHING&amp;vid=01CRU&amp;lang=en_US&amp;offset=0&amp;query=any,contains,991001189459702656","Catalog Record")</f>
        <v/>
      </c>
      <c r="AT177">
        <f>HYPERLINK("http://www.worldcat.org/oclc/17234298","WorldCat Record")</f>
        <v/>
      </c>
      <c r="AU177" t="inlineStr">
        <is>
          <t>3901084661:eng</t>
        </is>
      </c>
      <c r="AV177" t="inlineStr">
        <is>
          <t>17234298</t>
        </is>
      </c>
      <c r="AW177" t="inlineStr">
        <is>
          <t>991001189459702656</t>
        </is>
      </c>
      <c r="AX177" t="inlineStr">
        <is>
          <t>991001189459702656</t>
        </is>
      </c>
      <c r="AY177" t="inlineStr">
        <is>
          <t>2271850660002656</t>
        </is>
      </c>
      <c r="AZ177" t="inlineStr">
        <is>
          <t>BOOK</t>
        </is>
      </c>
      <c r="BB177" t="inlineStr">
        <is>
          <t>9780670802548</t>
        </is>
      </c>
      <c r="BC177" t="inlineStr">
        <is>
          <t>32285002062130</t>
        </is>
      </c>
      <c r="BD177" t="inlineStr">
        <is>
          <t>893503181</t>
        </is>
      </c>
    </row>
    <row r="178">
      <c r="A178" t="inlineStr">
        <is>
          <t>No</t>
        </is>
      </c>
      <c r="B178" t="inlineStr">
        <is>
          <t>QH31.B715 A3 1993</t>
        </is>
      </c>
      <c r="C178" t="inlineStr">
        <is>
          <t>0                      QH 0031000B  715                A  3           1993</t>
        </is>
      </c>
      <c r="D178" t="inlineStr">
        <is>
          <t>Life cycles : reflections of an evolutionary biologist / John Tyler Bonner.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Bonner, John Tyler.</t>
        </is>
      </c>
      <c r="L178" t="inlineStr">
        <is>
          <t>Princeton, N.J. : Princeton University Press, c1993.</t>
        </is>
      </c>
      <c r="M178" t="inlineStr">
        <is>
          <t>1993</t>
        </is>
      </c>
      <c r="O178" t="inlineStr">
        <is>
          <t>eng</t>
        </is>
      </c>
      <c r="P178" t="inlineStr">
        <is>
          <t>nju</t>
        </is>
      </c>
      <c r="R178" t="inlineStr">
        <is>
          <t xml:space="preserve">QH </t>
        </is>
      </c>
      <c r="S178" t="n">
        <v>6</v>
      </c>
      <c r="T178" t="n">
        <v>6</v>
      </c>
      <c r="U178" t="inlineStr">
        <is>
          <t>1996-09-23</t>
        </is>
      </c>
      <c r="V178" t="inlineStr">
        <is>
          <t>1996-09-23</t>
        </is>
      </c>
      <c r="W178" t="inlineStr">
        <is>
          <t>1994-01-11</t>
        </is>
      </c>
      <c r="X178" t="inlineStr">
        <is>
          <t>1994-01-11</t>
        </is>
      </c>
      <c r="Y178" t="n">
        <v>807</v>
      </c>
      <c r="Z178" t="n">
        <v>687</v>
      </c>
      <c r="AA178" t="n">
        <v>979</v>
      </c>
      <c r="AB178" t="n">
        <v>4</v>
      </c>
      <c r="AC178" t="n">
        <v>6</v>
      </c>
      <c r="AD178" t="n">
        <v>28</v>
      </c>
      <c r="AE178" t="n">
        <v>40</v>
      </c>
      <c r="AF178" t="n">
        <v>12</v>
      </c>
      <c r="AG178" t="n">
        <v>18</v>
      </c>
      <c r="AH178" t="n">
        <v>6</v>
      </c>
      <c r="AI178" t="n">
        <v>9</v>
      </c>
      <c r="AJ178" t="n">
        <v>14</v>
      </c>
      <c r="AK178" t="n">
        <v>18</v>
      </c>
      <c r="AL178" t="n">
        <v>3</v>
      </c>
      <c r="AM178" t="n">
        <v>4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HYPERLINK("https://creighton-primo.hosted.exlibrisgroup.com/primo-explore/search?tab=default_tab&amp;search_scope=EVERYTHING&amp;vid=01CRU&amp;lang=en_US&amp;offset=0&amp;query=any,contains,991002107669702656","Catalog Record")</f>
        <v/>
      </c>
      <c r="AT178">
        <f>HYPERLINK("http://www.worldcat.org/oclc/27034257","WorldCat Record")</f>
        <v/>
      </c>
      <c r="AU178" t="inlineStr">
        <is>
          <t>347830:eng</t>
        </is>
      </c>
      <c r="AV178" t="inlineStr">
        <is>
          <t>27034257</t>
        </is>
      </c>
      <c r="AW178" t="inlineStr">
        <is>
          <t>991002107669702656</t>
        </is>
      </c>
      <c r="AX178" t="inlineStr">
        <is>
          <t>991002107669702656</t>
        </is>
      </c>
      <c r="AY178" t="inlineStr">
        <is>
          <t>2267222460002656</t>
        </is>
      </c>
      <c r="AZ178" t="inlineStr">
        <is>
          <t>BOOK</t>
        </is>
      </c>
      <c r="BB178" t="inlineStr">
        <is>
          <t>9780691033198</t>
        </is>
      </c>
      <c r="BC178" t="inlineStr">
        <is>
          <t>32285001830834</t>
        </is>
      </c>
      <c r="BD178" t="inlineStr">
        <is>
          <t>893697356</t>
        </is>
      </c>
    </row>
    <row r="179">
      <c r="A179" t="inlineStr">
        <is>
          <t>No</t>
        </is>
      </c>
      <c r="B179" t="inlineStr">
        <is>
          <t>QH31.C33 A4 1995</t>
        </is>
      </c>
      <c r="C179" t="inlineStr">
        <is>
          <t>0                      QH 0031000C  33                 A  4           1995</t>
        </is>
      </c>
      <c r="D179" t="inlineStr">
        <is>
          <t>Always, Rachel : the letters of Rachel Carson and Dorothy Freeman, 1952-1964 / edited by Martha Freeman.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Carson, Rachel, 1907-1964.</t>
        </is>
      </c>
      <c r="L179" t="inlineStr">
        <is>
          <t>Boston : Beacon Press, c1995.</t>
        </is>
      </c>
      <c r="M179" t="inlineStr">
        <is>
          <t>1994</t>
        </is>
      </c>
      <c r="O179" t="inlineStr">
        <is>
          <t>eng</t>
        </is>
      </c>
      <c r="P179" t="inlineStr">
        <is>
          <t>mau</t>
        </is>
      </c>
      <c r="Q179" t="inlineStr">
        <is>
          <t>Concord library</t>
        </is>
      </c>
      <c r="R179" t="inlineStr">
        <is>
          <t xml:space="preserve">QH </t>
        </is>
      </c>
      <c r="S179" t="n">
        <v>2</v>
      </c>
      <c r="T179" t="n">
        <v>2</v>
      </c>
      <c r="U179" t="inlineStr">
        <is>
          <t>1997-02-22</t>
        </is>
      </c>
      <c r="V179" t="inlineStr">
        <is>
          <t>1997-02-22</t>
        </is>
      </c>
      <c r="W179" t="inlineStr">
        <is>
          <t>1995-05-22</t>
        </is>
      </c>
      <c r="X179" t="inlineStr">
        <is>
          <t>1995-05-22</t>
        </is>
      </c>
      <c r="Y179" t="n">
        <v>864</v>
      </c>
      <c r="Z179" t="n">
        <v>810</v>
      </c>
      <c r="AA179" t="n">
        <v>861</v>
      </c>
      <c r="AB179" t="n">
        <v>8</v>
      </c>
      <c r="AC179" t="n">
        <v>8</v>
      </c>
      <c r="AD179" t="n">
        <v>26</v>
      </c>
      <c r="AE179" t="n">
        <v>27</v>
      </c>
      <c r="AF179" t="n">
        <v>8</v>
      </c>
      <c r="AG179" t="n">
        <v>8</v>
      </c>
      <c r="AH179" t="n">
        <v>6</v>
      </c>
      <c r="AI179" t="n">
        <v>7</v>
      </c>
      <c r="AJ179" t="n">
        <v>13</v>
      </c>
      <c r="AK179" t="n">
        <v>14</v>
      </c>
      <c r="AL179" t="n">
        <v>5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HYPERLINK("http://catalog.hathitrust.org/Record/002966287","HathiTrust Record")</f>
        <v/>
      </c>
      <c r="AS179">
        <f>HYPERLINK("https://creighton-primo.hosted.exlibrisgroup.com/primo-explore/search?tab=default_tab&amp;search_scope=EVERYTHING&amp;vid=01CRU&amp;lang=en_US&amp;offset=0&amp;query=any,contains,991002353629702656","Catalog Record")</f>
        <v/>
      </c>
      <c r="AT179">
        <f>HYPERLINK("http://www.worldcat.org/oclc/30625284","WorldCat Record")</f>
        <v/>
      </c>
      <c r="AU179" t="inlineStr">
        <is>
          <t>32699098:eng</t>
        </is>
      </c>
      <c r="AV179" t="inlineStr">
        <is>
          <t>30625284</t>
        </is>
      </c>
      <c r="AW179" t="inlineStr">
        <is>
          <t>991002353629702656</t>
        </is>
      </c>
      <c r="AX179" t="inlineStr">
        <is>
          <t>991002353629702656</t>
        </is>
      </c>
      <c r="AY179" t="inlineStr">
        <is>
          <t>2260738790002656</t>
        </is>
      </c>
      <c r="AZ179" t="inlineStr">
        <is>
          <t>BOOK</t>
        </is>
      </c>
      <c r="BB179" t="inlineStr">
        <is>
          <t>9780807070109</t>
        </is>
      </c>
      <c r="BC179" t="inlineStr">
        <is>
          <t>32285002046406</t>
        </is>
      </c>
      <c r="BD179" t="inlineStr">
        <is>
          <t>893251117</t>
        </is>
      </c>
    </row>
    <row r="180">
      <c r="A180" t="inlineStr">
        <is>
          <t>No</t>
        </is>
      </c>
      <c r="B180" t="inlineStr">
        <is>
          <t>QH31.C33 B7</t>
        </is>
      </c>
      <c r="C180" t="inlineStr">
        <is>
          <t>0                      QH 0031000C  33                 B  7</t>
        </is>
      </c>
      <c r="D180" t="inlineStr">
        <is>
          <t>The house of life : Rachel Carson at work; with selections from her writings published and unpublished.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Brooks, Paul, 1909-1998.</t>
        </is>
      </c>
      <c r="L180" t="inlineStr">
        <is>
          <t>Boston : Houghton, Mifflin, 1972.</t>
        </is>
      </c>
      <c r="M180" t="inlineStr">
        <is>
          <t>1972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QH </t>
        </is>
      </c>
      <c r="S180" t="n">
        <v>12</v>
      </c>
      <c r="T180" t="n">
        <v>12</v>
      </c>
      <c r="U180" t="inlineStr">
        <is>
          <t>1997-11-10</t>
        </is>
      </c>
      <c r="V180" t="inlineStr">
        <is>
          <t>1997-11-10</t>
        </is>
      </c>
      <c r="W180" t="inlineStr">
        <is>
          <t>1994-04-13</t>
        </is>
      </c>
      <c r="X180" t="inlineStr">
        <is>
          <t>1994-04-13</t>
        </is>
      </c>
      <c r="Y180" t="n">
        <v>1484</v>
      </c>
      <c r="Z180" t="n">
        <v>1414</v>
      </c>
      <c r="AA180" t="n">
        <v>1570</v>
      </c>
      <c r="AB180" t="n">
        <v>15</v>
      </c>
      <c r="AC180" t="n">
        <v>15</v>
      </c>
      <c r="AD180" t="n">
        <v>40</v>
      </c>
      <c r="AE180" t="n">
        <v>45</v>
      </c>
      <c r="AF180" t="n">
        <v>11</v>
      </c>
      <c r="AG180" t="n">
        <v>14</v>
      </c>
      <c r="AH180" t="n">
        <v>8</v>
      </c>
      <c r="AI180" t="n">
        <v>9</v>
      </c>
      <c r="AJ180" t="n">
        <v>18</v>
      </c>
      <c r="AK180" t="n">
        <v>21</v>
      </c>
      <c r="AL180" t="n">
        <v>11</v>
      </c>
      <c r="AM180" t="n">
        <v>11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HYPERLINK("http://catalog.hathitrust.org/Record/001489930","HathiTrust Record")</f>
        <v/>
      </c>
      <c r="AS180">
        <f>HYPERLINK("https://creighton-primo.hosted.exlibrisgroup.com/primo-explore/search?tab=default_tab&amp;search_scope=EVERYTHING&amp;vid=01CRU&amp;lang=en_US&amp;offset=0&amp;query=any,contains,991002179199702656","Catalog Record")</f>
        <v/>
      </c>
      <c r="AT180">
        <f>HYPERLINK("http://www.worldcat.org/oclc/278509","WorldCat Record")</f>
        <v/>
      </c>
      <c r="AU180" t="inlineStr">
        <is>
          <t>3901056927:eng</t>
        </is>
      </c>
      <c r="AV180" t="inlineStr">
        <is>
          <t>278509</t>
        </is>
      </c>
      <c r="AW180" t="inlineStr">
        <is>
          <t>991002179199702656</t>
        </is>
      </c>
      <c r="AX180" t="inlineStr">
        <is>
          <t>991002179199702656</t>
        </is>
      </c>
      <c r="AY180" t="inlineStr">
        <is>
          <t>2258210670002656</t>
        </is>
      </c>
      <c r="AZ180" t="inlineStr">
        <is>
          <t>BOOK</t>
        </is>
      </c>
      <c r="BB180" t="inlineStr">
        <is>
          <t>9780395135174</t>
        </is>
      </c>
      <c r="BC180" t="inlineStr">
        <is>
          <t>32285001887438</t>
        </is>
      </c>
      <c r="BD180" t="inlineStr">
        <is>
          <t>893341124</t>
        </is>
      </c>
    </row>
    <row r="181">
      <c r="A181" t="inlineStr">
        <is>
          <t>No</t>
        </is>
      </c>
      <c r="B181" t="inlineStr">
        <is>
          <t>QH31.C33 R36 1993</t>
        </is>
      </c>
      <c r="C181" t="inlineStr">
        <is>
          <t>0                      QH 0031000C  33                 R  36          1993</t>
        </is>
      </c>
      <c r="D181" t="inlineStr">
        <is>
          <t>Listening to crickets : a story about Rachel Carson / by Candice F. Ransom ; illustrations by Shelly O. Haas.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Ransom, Candice F., 1952-</t>
        </is>
      </c>
      <c r="L181" t="inlineStr">
        <is>
          <t>Minneapolis : Carolrhoda Books,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mnu</t>
        </is>
      </c>
      <c r="Q181" t="inlineStr">
        <is>
          <t>A Carolrhoda creative minds book</t>
        </is>
      </c>
      <c r="R181" t="inlineStr">
        <is>
          <t xml:space="preserve">QH </t>
        </is>
      </c>
      <c r="S181" t="n">
        <v>10</v>
      </c>
      <c r="T181" t="n">
        <v>10</v>
      </c>
      <c r="U181" t="inlineStr">
        <is>
          <t>1997-03-19</t>
        </is>
      </c>
      <c r="V181" t="inlineStr">
        <is>
          <t>1997-03-19</t>
        </is>
      </c>
      <c r="W181" t="inlineStr">
        <is>
          <t>1994-08-03</t>
        </is>
      </c>
      <c r="X181" t="inlineStr">
        <is>
          <t>1994-08-03</t>
        </is>
      </c>
      <c r="Y181" t="n">
        <v>485</v>
      </c>
      <c r="Z181" t="n">
        <v>475</v>
      </c>
      <c r="AA181" t="n">
        <v>925</v>
      </c>
      <c r="AB181" t="n">
        <v>6</v>
      </c>
      <c r="AC181" t="n">
        <v>7</v>
      </c>
      <c r="AD181" t="n">
        <v>5</v>
      </c>
      <c r="AE181" t="n">
        <v>9</v>
      </c>
      <c r="AF181" t="n">
        <v>2</v>
      </c>
      <c r="AG181" t="n">
        <v>5</v>
      </c>
      <c r="AH181" t="n">
        <v>1</v>
      </c>
      <c r="AI181" t="n">
        <v>2</v>
      </c>
      <c r="AJ181" t="n">
        <v>2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HYPERLINK("https://creighton-primo.hosted.exlibrisgroup.com/primo-explore/search?tab=default_tab&amp;search_scope=EVERYTHING&amp;vid=01CRU&amp;lang=en_US&amp;offset=0&amp;query=any,contains,991004562849702656","Catalog Record")</f>
        <v/>
      </c>
      <c r="AT181">
        <f>HYPERLINK("http://www.worldcat.org/oclc/25317449","WorldCat Record")</f>
        <v/>
      </c>
      <c r="AU181" t="inlineStr">
        <is>
          <t>1034242:eng</t>
        </is>
      </c>
      <c r="AV181" t="inlineStr">
        <is>
          <t>25317449</t>
        </is>
      </c>
      <c r="AW181" t="inlineStr">
        <is>
          <t>991004562849702656</t>
        </is>
      </c>
      <c r="AX181" t="inlineStr">
        <is>
          <t>991004562849702656</t>
        </is>
      </c>
      <c r="AY181" t="inlineStr">
        <is>
          <t>2267811650002656</t>
        </is>
      </c>
      <c r="AZ181" t="inlineStr">
        <is>
          <t>BOOK</t>
        </is>
      </c>
      <c r="BB181" t="inlineStr">
        <is>
          <t>9780876147276</t>
        </is>
      </c>
      <c r="BC181" t="inlineStr">
        <is>
          <t>32285001941284</t>
        </is>
      </c>
      <c r="BD181" t="inlineStr">
        <is>
          <t>893492267</t>
        </is>
      </c>
    </row>
    <row r="182">
      <c r="A182" t="inlineStr">
        <is>
          <t>No</t>
        </is>
      </c>
      <c r="B182" t="inlineStr">
        <is>
          <t>QH31.C85 A3 1988</t>
        </is>
      </c>
      <c r="C182" t="inlineStr">
        <is>
          <t>0                      QH 0031000C  85                 A  3           1988</t>
        </is>
      </c>
      <c r="D182" t="inlineStr">
        <is>
          <t>What mad pursuit : a personal view of scientific discovery / Francis Crick.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Crick, Francis, 1916-2004.</t>
        </is>
      </c>
      <c r="L182" t="inlineStr">
        <is>
          <t>New York : Basic Books,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nyu</t>
        </is>
      </c>
      <c r="Q182" t="inlineStr">
        <is>
          <t>Alfred P. Sloan Foundation series</t>
        </is>
      </c>
      <c r="R182" t="inlineStr">
        <is>
          <t xml:space="preserve">QH </t>
        </is>
      </c>
      <c r="S182" t="n">
        <v>9</v>
      </c>
      <c r="T182" t="n">
        <v>9</v>
      </c>
      <c r="U182" t="inlineStr">
        <is>
          <t>2006-06-14</t>
        </is>
      </c>
      <c r="V182" t="inlineStr">
        <is>
          <t>2006-06-14</t>
        </is>
      </c>
      <c r="W182" t="inlineStr">
        <is>
          <t>1992-06-23</t>
        </is>
      </c>
      <c r="X182" t="inlineStr">
        <is>
          <t>1992-06-23</t>
        </is>
      </c>
      <c r="Y182" t="n">
        <v>1333</v>
      </c>
      <c r="Z182" t="n">
        <v>1174</v>
      </c>
      <c r="AA182" t="n">
        <v>1384</v>
      </c>
      <c r="AB182" t="n">
        <v>7</v>
      </c>
      <c r="AC182" t="n">
        <v>8</v>
      </c>
      <c r="AD182" t="n">
        <v>40</v>
      </c>
      <c r="AE182" t="n">
        <v>41</v>
      </c>
      <c r="AF182" t="n">
        <v>14</v>
      </c>
      <c r="AG182" t="n">
        <v>14</v>
      </c>
      <c r="AH182" t="n">
        <v>7</v>
      </c>
      <c r="AI182" t="n">
        <v>7</v>
      </c>
      <c r="AJ182" t="n">
        <v>21</v>
      </c>
      <c r="AK182" t="n">
        <v>21</v>
      </c>
      <c r="AL182" t="n">
        <v>5</v>
      </c>
      <c r="AM182" t="n">
        <v>6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HYPERLINK("https://creighton-primo.hosted.exlibrisgroup.com/primo-explore/search?tab=default_tab&amp;search_scope=EVERYTHING&amp;vid=01CRU&amp;lang=en_US&amp;offset=0&amp;query=any,contains,991001309809702656","Catalog Record")</f>
        <v/>
      </c>
      <c r="AT182">
        <f>HYPERLINK("http://www.worldcat.org/oclc/18135773","WorldCat Record")</f>
        <v/>
      </c>
      <c r="AU182" t="inlineStr">
        <is>
          <t>53017839:eng</t>
        </is>
      </c>
      <c r="AV182" t="inlineStr">
        <is>
          <t>18135773</t>
        </is>
      </c>
      <c r="AW182" t="inlineStr">
        <is>
          <t>991001309809702656</t>
        </is>
      </c>
      <c r="AX182" t="inlineStr">
        <is>
          <t>991001309809702656</t>
        </is>
      </c>
      <c r="AY182" t="inlineStr">
        <is>
          <t>2260337880002656</t>
        </is>
      </c>
      <c r="AZ182" t="inlineStr">
        <is>
          <t>BOOK</t>
        </is>
      </c>
      <c r="BB182" t="inlineStr">
        <is>
          <t>9780465091379</t>
        </is>
      </c>
      <c r="BC182" t="inlineStr">
        <is>
          <t>32285001133866</t>
        </is>
      </c>
      <c r="BD182" t="inlineStr">
        <is>
          <t>893791365</t>
        </is>
      </c>
    </row>
    <row r="183">
      <c r="A183" t="inlineStr">
        <is>
          <t>No</t>
        </is>
      </c>
      <c r="B183" t="inlineStr">
        <is>
          <t>QH31.D2 A2 1969</t>
        </is>
      </c>
      <c r="C183" t="inlineStr">
        <is>
          <t>0                      QH 0031000D  2                  A  2           1969</t>
        </is>
      </c>
      <c r="D183" t="inlineStr">
        <is>
          <t>The life and letters of Charles Darwin / including an autobiographical chapter ; edited by his son, Francis Darwin. London, J. Murray, 1888.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Yes</t>
        </is>
      </c>
      <c r="J183" t="inlineStr">
        <is>
          <t>0</t>
        </is>
      </c>
      <c r="K183" t="inlineStr">
        <is>
          <t>Darwin, Charles, 1809-1882.</t>
        </is>
      </c>
      <c r="L183" t="inlineStr">
        <is>
          <t>New York : Johnson Reprint Corp., [1969]</t>
        </is>
      </c>
      <c r="M183" t="inlineStr">
        <is>
          <t>1969</t>
        </is>
      </c>
      <c r="O183" t="inlineStr">
        <is>
          <t>eng</t>
        </is>
      </c>
      <c r="P183" t="inlineStr">
        <is>
          <t>nyu</t>
        </is>
      </c>
      <c r="Q183" t="inlineStr">
        <is>
          <t>The Sources of science, no. 102</t>
        </is>
      </c>
      <c r="R183" t="inlineStr">
        <is>
          <t xml:space="preserve">QH </t>
        </is>
      </c>
      <c r="S183" t="n">
        <v>5</v>
      </c>
      <c r="T183" t="n">
        <v>15</v>
      </c>
      <c r="U183" t="inlineStr">
        <is>
          <t>2010-04-12</t>
        </is>
      </c>
      <c r="V183" t="inlineStr">
        <is>
          <t>2010-04-12</t>
        </is>
      </c>
      <c r="W183" t="inlineStr">
        <is>
          <t>1995-10-09</t>
        </is>
      </c>
      <c r="X183" t="inlineStr">
        <is>
          <t>1995-10-09</t>
        </is>
      </c>
      <c r="Y183" t="n">
        <v>137</v>
      </c>
      <c r="Z183" t="n">
        <v>121</v>
      </c>
      <c r="AA183" t="n">
        <v>1213</v>
      </c>
      <c r="AB183" t="n">
        <v>2</v>
      </c>
      <c r="AC183" t="n">
        <v>15</v>
      </c>
      <c r="AD183" t="n">
        <v>4</v>
      </c>
      <c r="AE183" t="n">
        <v>59</v>
      </c>
      <c r="AF183" t="n">
        <v>2</v>
      </c>
      <c r="AG183" t="n">
        <v>24</v>
      </c>
      <c r="AH183" t="n">
        <v>0</v>
      </c>
      <c r="AI183" t="n">
        <v>7</v>
      </c>
      <c r="AJ183" t="n">
        <v>1</v>
      </c>
      <c r="AK183" t="n">
        <v>25</v>
      </c>
      <c r="AL183" t="n">
        <v>1</v>
      </c>
      <c r="AM183" t="n">
        <v>12</v>
      </c>
      <c r="AN183" t="n">
        <v>0</v>
      </c>
      <c r="AO183" t="n">
        <v>1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HYPERLINK("http://catalog.hathitrust.org/Record/004394654","HathiTrust Record")</f>
        <v/>
      </c>
      <c r="AS18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83">
        <f>HYPERLINK("http://www.worldcat.org/oclc/81038","WorldCat Record")</f>
        <v/>
      </c>
      <c r="AU183" t="inlineStr">
        <is>
          <t>6798284:eng</t>
        </is>
      </c>
      <c r="AV183" t="inlineStr">
        <is>
          <t>81038</t>
        </is>
      </c>
      <c r="AW183" t="inlineStr">
        <is>
          <t>991000499339702656</t>
        </is>
      </c>
      <c r="AX183" t="inlineStr">
        <is>
          <t>991000499339702656</t>
        </is>
      </c>
      <c r="AY183" t="inlineStr">
        <is>
          <t>2269710130002656</t>
        </is>
      </c>
      <c r="AZ183" t="inlineStr">
        <is>
          <t>BOOK</t>
        </is>
      </c>
      <c r="BC183" t="inlineStr">
        <is>
          <t>32285002061744</t>
        </is>
      </c>
      <c r="BD183" t="inlineStr">
        <is>
          <t>893413406</t>
        </is>
      </c>
    </row>
    <row r="184">
      <c r="A184" t="inlineStr">
        <is>
          <t>No</t>
        </is>
      </c>
      <c r="B184" t="inlineStr">
        <is>
          <t>QH31.D2 A25 1980</t>
        </is>
      </c>
      <c r="C184" t="inlineStr">
        <is>
          <t>0                      QH 0031000D  2                  A  25          1980</t>
        </is>
      </c>
      <c r="D184" t="inlineStr">
        <is>
          <t>Metaphysics, Materialism, and the evolution of mind : the early writings of Charles Darwin / transcribed and annotated by Paul H. Barrett ; commentary on M and N notebooks by Howard E. Gruber.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Darwin, Charles, 1809-1882.</t>
        </is>
      </c>
      <c r="L184" t="inlineStr">
        <is>
          <t>Chicago : University of Chicago Press, 1980.</t>
        </is>
      </c>
      <c r="M184" t="inlineStr">
        <is>
          <t>1980</t>
        </is>
      </c>
      <c r="O184" t="inlineStr">
        <is>
          <t>eng</t>
        </is>
      </c>
      <c r="P184" t="inlineStr">
        <is>
          <t>ilu</t>
        </is>
      </c>
      <c r="R184" t="inlineStr">
        <is>
          <t xml:space="preserve">QH </t>
        </is>
      </c>
      <c r="S184" t="n">
        <v>2</v>
      </c>
      <c r="T184" t="n">
        <v>2</v>
      </c>
      <c r="U184" t="inlineStr">
        <is>
          <t>2007-11-17</t>
        </is>
      </c>
      <c r="V184" t="inlineStr">
        <is>
          <t>2007-11-17</t>
        </is>
      </c>
      <c r="W184" t="inlineStr">
        <is>
          <t>1993-02-22</t>
        </is>
      </c>
      <c r="X184" t="inlineStr">
        <is>
          <t>1993-02-22</t>
        </is>
      </c>
      <c r="Y184" t="n">
        <v>334</v>
      </c>
      <c r="Z184" t="n">
        <v>274</v>
      </c>
      <c r="AA184" t="n">
        <v>279</v>
      </c>
      <c r="AB184" t="n">
        <v>3</v>
      </c>
      <c r="AC184" t="n">
        <v>3</v>
      </c>
      <c r="AD184" t="n">
        <v>11</v>
      </c>
      <c r="AE184" t="n">
        <v>12</v>
      </c>
      <c r="AF184" t="n">
        <v>3</v>
      </c>
      <c r="AG184" t="n">
        <v>4</v>
      </c>
      <c r="AH184" t="n">
        <v>3</v>
      </c>
      <c r="AI184" t="n">
        <v>3</v>
      </c>
      <c r="AJ184" t="n">
        <v>7</v>
      </c>
      <c r="AK184" t="n">
        <v>7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HYPERLINK("https://creighton-primo.hosted.exlibrisgroup.com/primo-explore/search?tab=default_tab&amp;search_scope=EVERYTHING&amp;vid=01CRU&amp;lang=en_US&amp;offset=0&amp;query=any,contains,991004974409702656","Catalog Record")</f>
        <v/>
      </c>
      <c r="AT184">
        <f>HYPERLINK("http://www.worldcat.org/oclc/6378973","WorldCat Record")</f>
        <v/>
      </c>
      <c r="AU184" t="inlineStr">
        <is>
          <t>908053983:eng</t>
        </is>
      </c>
      <c r="AV184" t="inlineStr">
        <is>
          <t>6378973</t>
        </is>
      </c>
      <c r="AW184" t="inlineStr">
        <is>
          <t>991004974409702656</t>
        </is>
      </c>
      <c r="AX184" t="inlineStr">
        <is>
          <t>991004974409702656</t>
        </is>
      </c>
      <c r="AY184" t="inlineStr">
        <is>
          <t>2268873970002656</t>
        </is>
      </c>
      <c r="AZ184" t="inlineStr">
        <is>
          <t>BOOK</t>
        </is>
      </c>
      <c r="BB184" t="inlineStr">
        <is>
          <t>9780226136592</t>
        </is>
      </c>
      <c r="BC184" t="inlineStr">
        <is>
          <t>32285001550838</t>
        </is>
      </c>
      <c r="BD184" t="inlineStr">
        <is>
          <t>893688430</t>
        </is>
      </c>
    </row>
    <row r="185">
      <c r="A185" t="inlineStr">
        <is>
          <t>No</t>
        </is>
      </c>
      <c r="B185" t="inlineStr">
        <is>
          <t>QH31.D2 A4 1996</t>
        </is>
      </c>
      <c r="C185" t="inlineStr">
        <is>
          <t>0                      QH 0031000D  2                  A  4           1996</t>
        </is>
      </c>
      <c r="D185" t="inlineStr">
        <is>
          <t>Charles Darwin's letters : a selection, 1825-1859 / edited by Frederick Burkhardt.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Darwin, Charles, 1809-1882.</t>
        </is>
      </c>
      <c r="L185" t="inlineStr">
        <is>
          <t>Cambridge ; New York : University of Cambridge, 1996.</t>
        </is>
      </c>
      <c r="M185" t="inlineStr">
        <is>
          <t>1996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QH </t>
        </is>
      </c>
      <c r="S185" t="n">
        <v>5</v>
      </c>
      <c r="T185" t="n">
        <v>5</v>
      </c>
      <c r="U185" t="inlineStr">
        <is>
          <t>2002-12-02</t>
        </is>
      </c>
      <c r="V185" t="inlineStr">
        <is>
          <t>2002-12-02</t>
        </is>
      </c>
      <c r="W185" t="inlineStr">
        <is>
          <t>1996-05-28</t>
        </is>
      </c>
      <c r="X185" t="inlineStr">
        <is>
          <t>1996-05-28</t>
        </is>
      </c>
      <c r="Y185" t="n">
        <v>508</v>
      </c>
      <c r="Z185" t="n">
        <v>396</v>
      </c>
      <c r="AA185" t="n">
        <v>426</v>
      </c>
      <c r="AB185" t="n">
        <v>3</v>
      </c>
      <c r="AC185" t="n">
        <v>3</v>
      </c>
      <c r="AD185" t="n">
        <v>16</v>
      </c>
      <c r="AE185" t="n">
        <v>17</v>
      </c>
      <c r="AF185" t="n">
        <v>4</v>
      </c>
      <c r="AG185" t="n">
        <v>4</v>
      </c>
      <c r="AH185" t="n">
        <v>5</v>
      </c>
      <c r="AI185" t="n">
        <v>6</v>
      </c>
      <c r="AJ185" t="n">
        <v>9</v>
      </c>
      <c r="AK185" t="n">
        <v>9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HYPERLINK("https://creighton-primo.hosted.exlibrisgroup.com/primo-explore/search?tab=default_tab&amp;search_scope=EVERYTHING&amp;vid=01CRU&amp;lang=en_US&amp;offset=0&amp;query=any,contains,991002587379702656","Catalog Record")</f>
        <v/>
      </c>
      <c r="AT185">
        <f>HYPERLINK("http://www.worldcat.org/oclc/33899057","WorldCat Record")</f>
        <v/>
      </c>
      <c r="AU185" t="inlineStr">
        <is>
          <t>1059293732:eng</t>
        </is>
      </c>
      <c r="AV185" t="inlineStr">
        <is>
          <t>33899057</t>
        </is>
      </c>
      <c r="AW185" t="inlineStr">
        <is>
          <t>991002587379702656</t>
        </is>
      </c>
      <c r="AX185" t="inlineStr">
        <is>
          <t>991002587379702656</t>
        </is>
      </c>
      <c r="AY185" t="inlineStr">
        <is>
          <t>2269737250002656</t>
        </is>
      </c>
      <c r="AZ185" t="inlineStr">
        <is>
          <t>BOOK</t>
        </is>
      </c>
      <c r="BB185" t="inlineStr">
        <is>
          <t>9780521562126</t>
        </is>
      </c>
      <c r="BC185" t="inlineStr">
        <is>
          <t>32285002178241</t>
        </is>
      </c>
      <c r="BD185" t="inlineStr">
        <is>
          <t>893257488</t>
        </is>
      </c>
    </row>
    <row r="186">
      <c r="A186" t="inlineStr">
        <is>
          <t>No</t>
        </is>
      </c>
      <c r="B186" t="inlineStr">
        <is>
          <t>QH31.D2 A4 2008</t>
        </is>
      </c>
      <c r="C186" t="inlineStr">
        <is>
          <t>0                      QH 0031000D  2                  A  4           2008</t>
        </is>
      </c>
      <c r="D186" t="inlineStr">
        <is>
          <t>Charles Darwin the Beagle letters / edited by Frederick Burkhardt ; with an introduction by Janet Browne. [Illustrated by Conrad Martens]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Darwin, Charles, 1809-1882.</t>
        </is>
      </c>
      <c r="L186" t="inlineStr">
        <is>
          <t>Cambridge : Cambridge University Press, 2008.</t>
        </is>
      </c>
      <c r="M186" t="inlineStr">
        <is>
          <t>2008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QH </t>
        </is>
      </c>
      <c r="S186" t="n">
        <v>1</v>
      </c>
      <c r="T186" t="n">
        <v>1</v>
      </c>
      <c r="U186" t="inlineStr">
        <is>
          <t>2009-10-07</t>
        </is>
      </c>
      <c r="V186" t="inlineStr">
        <is>
          <t>2009-10-07</t>
        </is>
      </c>
      <c r="W186" t="inlineStr">
        <is>
          <t>2009-10-07</t>
        </is>
      </c>
      <c r="X186" t="inlineStr">
        <is>
          <t>2009-10-07</t>
        </is>
      </c>
      <c r="Y186" t="n">
        <v>649</v>
      </c>
      <c r="Z186" t="n">
        <v>539</v>
      </c>
      <c r="AA186" t="n">
        <v>544</v>
      </c>
      <c r="AB186" t="n">
        <v>6</v>
      </c>
      <c r="AC186" t="n">
        <v>6</v>
      </c>
      <c r="AD186" t="n">
        <v>22</v>
      </c>
      <c r="AE186" t="n">
        <v>22</v>
      </c>
      <c r="AF186" t="n">
        <v>11</v>
      </c>
      <c r="AG186" t="n">
        <v>11</v>
      </c>
      <c r="AH186" t="n">
        <v>3</v>
      </c>
      <c r="AI186" t="n">
        <v>3</v>
      </c>
      <c r="AJ186" t="n">
        <v>8</v>
      </c>
      <c r="AK186" t="n">
        <v>8</v>
      </c>
      <c r="AL186" t="n">
        <v>3</v>
      </c>
      <c r="AM186" t="n">
        <v>3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HYPERLINK("https://creighton-primo.hosted.exlibrisgroup.com/primo-explore/search?tab=default_tab&amp;search_scope=EVERYTHING&amp;vid=01CRU&amp;lang=en_US&amp;offset=0&amp;query=any,contains,991005336279702656","Catalog Record")</f>
        <v/>
      </c>
      <c r="AT186">
        <f>HYPERLINK("http://www.worldcat.org/oclc/229464022","WorldCat Record")</f>
        <v/>
      </c>
      <c r="AU186" t="inlineStr">
        <is>
          <t>2864345137:eng</t>
        </is>
      </c>
      <c r="AV186" t="inlineStr">
        <is>
          <t>229464022</t>
        </is>
      </c>
      <c r="AW186" t="inlineStr">
        <is>
          <t>991005336279702656</t>
        </is>
      </c>
      <c r="AX186" t="inlineStr">
        <is>
          <t>991005336279702656</t>
        </is>
      </c>
      <c r="AY186" t="inlineStr">
        <is>
          <t>2271668350002656</t>
        </is>
      </c>
      <c r="AZ186" t="inlineStr">
        <is>
          <t>BOOK</t>
        </is>
      </c>
      <c r="BB186" t="inlineStr">
        <is>
          <t>9780521898386</t>
        </is>
      </c>
      <c r="BC186" t="inlineStr">
        <is>
          <t>32285005547301</t>
        </is>
      </c>
      <c r="BD186" t="inlineStr">
        <is>
          <t>893412692</t>
        </is>
      </c>
    </row>
    <row r="187">
      <c r="A187" t="inlineStr">
        <is>
          <t>No</t>
        </is>
      </c>
      <c r="B187" t="inlineStr">
        <is>
          <t>QH31.D2 A793 2004</t>
        </is>
      </c>
      <c r="C187" t="inlineStr">
        <is>
          <t>0                      QH 0031000D  2                  A  793         2004</t>
        </is>
      </c>
      <c r="D187" t="inlineStr">
        <is>
          <t>Darwin's other islands / Patrick Armstrong.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Armstrong, Patrick, 1941-</t>
        </is>
      </c>
      <c r="L187" t="inlineStr">
        <is>
          <t>London ; New York : Continuum, c2004.</t>
        </is>
      </c>
      <c r="M187" t="inlineStr">
        <is>
          <t>2004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QH </t>
        </is>
      </c>
      <c r="S187" t="n">
        <v>2</v>
      </c>
      <c r="T187" t="n">
        <v>2</v>
      </c>
      <c r="U187" t="inlineStr">
        <is>
          <t>2007-03-06</t>
        </is>
      </c>
      <c r="V187" t="inlineStr">
        <is>
          <t>2007-03-06</t>
        </is>
      </c>
      <c r="W187" t="inlineStr">
        <is>
          <t>2007-02-26</t>
        </is>
      </c>
      <c r="X187" t="inlineStr">
        <is>
          <t>2007-02-26</t>
        </is>
      </c>
      <c r="Y187" t="n">
        <v>292</v>
      </c>
      <c r="Z187" t="n">
        <v>234</v>
      </c>
      <c r="AA187" t="n">
        <v>239</v>
      </c>
      <c r="AB187" t="n">
        <v>2</v>
      </c>
      <c r="AC187" t="n">
        <v>2</v>
      </c>
      <c r="AD187" t="n">
        <v>11</v>
      </c>
      <c r="AE187" t="n">
        <v>11</v>
      </c>
      <c r="AF187" t="n">
        <v>5</v>
      </c>
      <c r="AG187" t="n">
        <v>5</v>
      </c>
      <c r="AH187" t="n">
        <v>4</v>
      </c>
      <c r="AI187" t="n">
        <v>4</v>
      </c>
      <c r="AJ187" t="n">
        <v>6</v>
      </c>
      <c r="AK187" t="n">
        <v>6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HYPERLINK("https://creighton-primo.hosted.exlibrisgroup.com/primo-explore/search?tab=default_tab&amp;search_scope=EVERYTHING&amp;vid=01CRU&amp;lang=en_US&amp;offset=0&amp;query=any,contains,991005038309702656","Catalog Record")</f>
        <v/>
      </c>
      <c r="AT187">
        <f>HYPERLINK("http://www.worldcat.org/oclc/56643165","WorldCat Record")</f>
        <v/>
      </c>
      <c r="AU187" t="inlineStr">
        <is>
          <t>41156094:eng</t>
        </is>
      </c>
      <c r="AV187" t="inlineStr">
        <is>
          <t>56643165</t>
        </is>
      </c>
      <c r="AW187" t="inlineStr">
        <is>
          <t>991005038309702656</t>
        </is>
      </c>
      <c r="AX187" t="inlineStr">
        <is>
          <t>991005038309702656</t>
        </is>
      </c>
      <c r="AY187" t="inlineStr">
        <is>
          <t>2267938770002656</t>
        </is>
      </c>
      <c r="AZ187" t="inlineStr">
        <is>
          <t>BOOK</t>
        </is>
      </c>
      <c r="BB187" t="inlineStr">
        <is>
          <t>9780826475312</t>
        </is>
      </c>
      <c r="BC187" t="inlineStr">
        <is>
          <t>32285005279038</t>
        </is>
      </c>
      <c r="BD187" t="inlineStr">
        <is>
          <t>893619348</t>
        </is>
      </c>
    </row>
    <row r="188">
      <c r="A188" t="inlineStr">
        <is>
          <t>No</t>
        </is>
      </c>
      <c r="B188" t="inlineStr">
        <is>
          <t>QH31.D2 B74</t>
        </is>
      </c>
      <c r="C188" t="inlineStr">
        <is>
          <t>0                      QH 0031000D  2                  B  74</t>
        </is>
      </c>
      <c r="D188" t="inlineStr">
        <is>
          <t>Charles Darwin : a man of enlarged curiosity / Peter Brent.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Brent, Peter, 1931-1984.</t>
        </is>
      </c>
      <c r="L188" t="inlineStr">
        <is>
          <t>New York : Harper &amp; Row, c1981.</t>
        </is>
      </c>
      <c r="M188" t="inlineStr">
        <is>
          <t>1981</t>
        </is>
      </c>
      <c r="N188" t="inlineStr">
        <is>
          <t>1st U.S. ed.</t>
        </is>
      </c>
      <c r="O188" t="inlineStr">
        <is>
          <t>eng</t>
        </is>
      </c>
      <c r="P188" t="inlineStr">
        <is>
          <t xml:space="preserve">xx </t>
        </is>
      </c>
      <c r="R188" t="inlineStr">
        <is>
          <t xml:space="preserve">QH </t>
        </is>
      </c>
      <c r="S188" t="n">
        <v>3</v>
      </c>
      <c r="T188" t="n">
        <v>3</v>
      </c>
      <c r="U188" t="inlineStr">
        <is>
          <t>2009-11-23</t>
        </is>
      </c>
      <c r="V188" t="inlineStr">
        <is>
          <t>2009-11-23</t>
        </is>
      </c>
      <c r="W188" t="inlineStr">
        <is>
          <t>1990-07-03</t>
        </is>
      </c>
      <c r="X188" t="inlineStr">
        <is>
          <t>1990-07-03</t>
        </is>
      </c>
      <c r="Y188" t="n">
        <v>1038</v>
      </c>
      <c r="Z188" t="n">
        <v>1001</v>
      </c>
      <c r="AA188" t="n">
        <v>1114</v>
      </c>
      <c r="AB188" t="n">
        <v>5</v>
      </c>
      <c r="AC188" t="n">
        <v>7</v>
      </c>
      <c r="AD188" t="n">
        <v>23</v>
      </c>
      <c r="AE188" t="n">
        <v>34</v>
      </c>
      <c r="AF188" t="n">
        <v>9</v>
      </c>
      <c r="AG188" t="n">
        <v>13</v>
      </c>
      <c r="AH188" t="n">
        <v>5</v>
      </c>
      <c r="AI188" t="n">
        <v>8</v>
      </c>
      <c r="AJ188" t="n">
        <v>10</v>
      </c>
      <c r="AK188" t="n">
        <v>14</v>
      </c>
      <c r="AL188" t="n">
        <v>3</v>
      </c>
      <c r="AM188" t="n">
        <v>5</v>
      </c>
      <c r="AN188" t="n">
        <v>0</v>
      </c>
      <c r="AO188" t="n">
        <v>1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HYPERLINK("https://creighton-primo.hosted.exlibrisgroup.com/primo-explore/search?tab=default_tab&amp;search_scope=EVERYTHING&amp;vid=01CRU&amp;lang=en_US&amp;offset=0&amp;query=any,contains,991005170239702656","Catalog Record")</f>
        <v/>
      </c>
      <c r="AT188">
        <f>HYPERLINK("http://www.worldcat.org/oclc/7855606","WorldCat Record")</f>
        <v/>
      </c>
      <c r="AU188" t="inlineStr">
        <is>
          <t>29339677:eng</t>
        </is>
      </c>
      <c r="AV188" t="inlineStr">
        <is>
          <t>7855606</t>
        </is>
      </c>
      <c r="AW188" t="inlineStr">
        <is>
          <t>991005170239702656</t>
        </is>
      </c>
      <c r="AX188" t="inlineStr">
        <is>
          <t>991005170239702656</t>
        </is>
      </c>
      <c r="AY188" t="inlineStr">
        <is>
          <t>2271638540002656</t>
        </is>
      </c>
      <c r="AZ188" t="inlineStr">
        <is>
          <t>BOOK</t>
        </is>
      </c>
      <c r="BB188" t="inlineStr">
        <is>
          <t>9780060148805</t>
        </is>
      </c>
      <c r="BC188" t="inlineStr">
        <is>
          <t>32285000220003</t>
        </is>
      </c>
      <c r="BD188" t="inlineStr">
        <is>
          <t>893606947</t>
        </is>
      </c>
    </row>
    <row r="189">
      <c r="A189" t="inlineStr">
        <is>
          <t>No</t>
        </is>
      </c>
      <c r="B189" t="inlineStr">
        <is>
          <t>QH31.D2 B742 1991</t>
        </is>
      </c>
      <c r="C189" t="inlineStr">
        <is>
          <t>0                      QH 0031000D  2                  B  742         1991</t>
        </is>
      </c>
      <c r="D189" t="inlineStr">
        <is>
          <t>Charles Darwin : a new life / John Bowlby.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Bowlby, John.</t>
        </is>
      </c>
      <c r="L189" t="inlineStr">
        <is>
          <t>New York : W.W. Norton, 1991, c1990.</t>
        </is>
      </c>
      <c r="M189" t="inlineStr">
        <is>
          <t>1991</t>
        </is>
      </c>
      <c r="N189" t="inlineStr">
        <is>
          <t>1st American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QH </t>
        </is>
      </c>
      <c r="S189" t="n">
        <v>9</v>
      </c>
      <c r="T189" t="n">
        <v>9</v>
      </c>
      <c r="U189" t="inlineStr">
        <is>
          <t>2006-04-04</t>
        </is>
      </c>
      <c r="V189" t="inlineStr">
        <is>
          <t>2006-04-04</t>
        </is>
      </c>
      <c r="W189" t="inlineStr">
        <is>
          <t>1991-06-20</t>
        </is>
      </c>
      <c r="X189" t="inlineStr">
        <is>
          <t>1991-06-20</t>
        </is>
      </c>
      <c r="Y189" t="n">
        <v>1067</v>
      </c>
      <c r="Z189" t="n">
        <v>1010</v>
      </c>
      <c r="AA189" t="n">
        <v>1351</v>
      </c>
      <c r="AB189" t="n">
        <v>8</v>
      </c>
      <c r="AC189" t="n">
        <v>9</v>
      </c>
      <c r="AD189" t="n">
        <v>34</v>
      </c>
      <c r="AE189" t="n">
        <v>40</v>
      </c>
      <c r="AF189" t="n">
        <v>15</v>
      </c>
      <c r="AG189" t="n">
        <v>17</v>
      </c>
      <c r="AH189" t="n">
        <v>5</v>
      </c>
      <c r="AI189" t="n">
        <v>7</v>
      </c>
      <c r="AJ189" t="n">
        <v>14</v>
      </c>
      <c r="AK189" t="n">
        <v>18</v>
      </c>
      <c r="AL189" t="n">
        <v>6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HYPERLINK("https://creighton-primo.hosted.exlibrisgroup.com/primo-explore/search?tab=default_tab&amp;search_scope=EVERYTHING&amp;vid=01CRU&amp;lang=en_US&amp;offset=0&amp;query=any,contains,991001711719702656","Catalog Record")</f>
        <v/>
      </c>
      <c r="AT189">
        <f>HYPERLINK("http://www.worldcat.org/oclc/21600471","WorldCat Record")</f>
        <v/>
      </c>
      <c r="AU189" t="inlineStr">
        <is>
          <t>836826504:eng</t>
        </is>
      </c>
      <c r="AV189" t="inlineStr">
        <is>
          <t>21600471</t>
        </is>
      </c>
      <c r="AW189" t="inlineStr">
        <is>
          <t>991001711719702656</t>
        </is>
      </c>
      <c r="AX189" t="inlineStr">
        <is>
          <t>991001711719702656</t>
        </is>
      </c>
      <c r="AY189" t="inlineStr">
        <is>
          <t>2260103630002656</t>
        </is>
      </c>
      <c r="AZ189" t="inlineStr">
        <is>
          <t>BOOK</t>
        </is>
      </c>
      <c r="BB189" t="inlineStr">
        <is>
          <t>9780393029406</t>
        </is>
      </c>
      <c r="BC189" t="inlineStr">
        <is>
          <t>32285000657345</t>
        </is>
      </c>
      <c r="BD189" t="inlineStr">
        <is>
          <t>893244328</t>
        </is>
      </c>
    </row>
    <row r="190">
      <c r="A190" t="inlineStr">
        <is>
          <t>No</t>
        </is>
      </c>
      <c r="B190" t="inlineStr">
        <is>
          <t>QH31.D2 B84 1995</t>
        </is>
      </c>
      <c r="C190" t="inlineStr">
        <is>
          <t>0                      QH 0031000D  2                  B  84          1995</t>
        </is>
      </c>
      <c r="D190" t="inlineStr">
        <is>
          <t>Charles Darwin : a biography / Janet Browne.</t>
        </is>
      </c>
      <c r="E190" t="inlineStr">
        <is>
          <t>V.1</t>
        </is>
      </c>
      <c r="F190" t="inlineStr">
        <is>
          <t>Yes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Browne, E. J. (E. Janet), 1950-</t>
        </is>
      </c>
      <c r="L190" t="inlineStr">
        <is>
          <t>New York : Knopf : Distributed by Random House, 1995-</t>
        </is>
      </c>
      <c r="M190" t="inlineStr">
        <is>
          <t>1995</t>
        </is>
      </c>
      <c r="N190" t="inlineStr">
        <is>
          <t>1st ed.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QH </t>
        </is>
      </c>
      <c r="S190" t="n">
        <v>3</v>
      </c>
      <c r="T190" t="n">
        <v>5</v>
      </c>
      <c r="U190" t="inlineStr">
        <is>
          <t>2007-11-08</t>
        </is>
      </c>
      <c r="V190" t="inlineStr">
        <is>
          <t>2007-11-08</t>
        </is>
      </c>
      <c r="W190" t="inlineStr">
        <is>
          <t>1995-10-23</t>
        </is>
      </c>
      <c r="X190" t="inlineStr">
        <is>
          <t>2002-10-30</t>
        </is>
      </c>
      <c r="Y190" t="n">
        <v>1033</v>
      </c>
      <c r="Z190" t="n">
        <v>973</v>
      </c>
      <c r="AA190" t="n">
        <v>1519</v>
      </c>
      <c r="AB190" t="n">
        <v>6</v>
      </c>
      <c r="AC190" t="n">
        <v>10</v>
      </c>
      <c r="AD190" t="n">
        <v>31</v>
      </c>
      <c r="AE190" t="n">
        <v>49</v>
      </c>
      <c r="AF190" t="n">
        <v>11</v>
      </c>
      <c r="AG190" t="n">
        <v>22</v>
      </c>
      <c r="AH190" t="n">
        <v>7</v>
      </c>
      <c r="AI190" t="n">
        <v>10</v>
      </c>
      <c r="AJ190" t="n">
        <v>18</v>
      </c>
      <c r="AK190" t="n">
        <v>21</v>
      </c>
      <c r="AL190" t="n">
        <v>4</v>
      </c>
      <c r="AM190" t="n">
        <v>8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HYPERLINK("http://catalog.hathitrust.org/Record/002995727","HathiTrust Record")</f>
        <v/>
      </c>
      <c r="AS190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0">
        <f>HYPERLINK("http://www.worldcat.org/oclc/29908720","WorldCat Record")</f>
        <v/>
      </c>
      <c r="AU190" t="inlineStr">
        <is>
          <t>4757840744:eng</t>
        </is>
      </c>
      <c r="AV190" t="inlineStr">
        <is>
          <t>29908720</t>
        </is>
      </c>
      <c r="AW190" t="inlineStr">
        <is>
          <t>991002305429702656</t>
        </is>
      </c>
      <c r="AX190" t="inlineStr">
        <is>
          <t>991002305429702656</t>
        </is>
      </c>
      <c r="AY190" t="inlineStr">
        <is>
          <t>2259943660002656</t>
        </is>
      </c>
      <c r="AZ190" t="inlineStr">
        <is>
          <t>BOOK</t>
        </is>
      </c>
      <c r="BB190" t="inlineStr">
        <is>
          <t>9780394579429</t>
        </is>
      </c>
      <c r="BC190" t="inlineStr">
        <is>
          <t>32285002097227</t>
        </is>
      </c>
      <c r="BD190" t="inlineStr">
        <is>
          <t>893262211</t>
        </is>
      </c>
    </row>
    <row r="191">
      <c r="A191" t="inlineStr">
        <is>
          <t>No</t>
        </is>
      </c>
      <c r="B191" t="inlineStr">
        <is>
          <t>QH31.D2 B84 1995</t>
        </is>
      </c>
      <c r="C191" t="inlineStr">
        <is>
          <t>0                      QH 0031000D  2                  B  84          1995</t>
        </is>
      </c>
      <c r="D191" t="inlineStr">
        <is>
          <t>Charles Darwin : a biography / Janet Browne.</t>
        </is>
      </c>
      <c r="E191" t="inlineStr">
        <is>
          <t>V.2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K191" t="inlineStr">
        <is>
          <t>Browne, E. J. (E. Janet), 1950-</t>
        </is>
      </c>
      <c r="L191" t="inlineStr">
        <is>
          <t>New York : Knopf : Distributed by Random House, 1995-</t>
        </is>
      </c>
      <c r="M191" t="inlineStr">
        <is>
          <t>1995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QH </t>
        </is>
      </c>
      <c r="S191" t="n">
        <v>2</v>
      </c>
      <c r="T191" t="n">
        <v>5</v>
      </c>
      <c r="U191" t="inlineStr">
        <is>
          <t>2002-10-30</t>
        </is>
      </c>
      <c r="V191" t="inlineStr">
        <is>
          <t>2007-11-08</t>
        </is>
      </c>
      <c r="W191" t="inlineStr">
        <is>
          <t>2002-10-30</t>
        </is>
      </c>
      <c r="X191" t="inlineStr">
        <is>
          <t>2002-10-30</t>
        </is>
      </c>
      <c r="Y191" t="n">
        <v>1033</v>
      </c>
      <c r="Z191" t="n">
        <v>973</v>
      </c>
      <c r="AA191" t="n">
        <v>1519</v>
      </c>
      <c r="AB191" t="n">
        <v>6</v>
      </c>
      <c r="AC191" t="n">
        <v>10</v>
      </c>
      <c r="AD191" t="n">
        <v>31</v>
      </c>
      <c r="AE191" t="n">
        <v>49</v>
      </c>
      <c r="AF191" t="n">
        <v>11</v>
      </c>
      <c r="AG191" t="n">
        <v>22</v>
      </c>
      <c r="AH191" t="n">
        <v>7</v>
      </c>
      <c r="AI191" t="n">
        <v>10</v>
      </c>
      <c r="AJ191" t="n">
        <v>18</v>
      </c>
      <c r="AK191" t="n">
        <v>21</v>
      </c>
      <c r="AL191" t="n">
        <v>4</v>
      </c>
      <c r="AM191" t="n">
        <v>8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HYPERLINK("http://catalog.hathitrust.org/Record/002995727","HathiTrust Record")</f>
        <v/>
      </c>
      <c r="AS191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1">
        <f>HYPERLINK("http://www.worldcat.org/oclc/29908720","WorldCat Record")</f>
        <v/>
      </c>
      <c r="AU191" t="inlineStr">
        <is>
          <t>4757840744:eng</t>
        </is>
      </c>
      <c r="AV191" t="inlineStr">
        <is>
          <t>29908720</t>
        </is>
      </c>
      <c r="AW191" t="inlineStr">
        <is>
          <t>991002305429702656</t>
        </is>
      </c>
      <c r="AX191" t="inlineStr">
        <is>
          <t>991002305429702656</t>
        </is>
      </c>
      <c r="AY191" t="inlineStr">
        <is>
          <t>2259943660002656</t>
        </is>
      </c>
      <c r="AZ191" t="inlineStr">
        <is>
          <t>BOOK</t>
        </is>
      </c>
      <c r="BB191" t="inlineStr">
        <is>
          <t>9780394579429</t>
        </is>
      </c>
      <c r="BC191" t="inlineStr">
        <is>
          <t>32285004659768</t>
        </is>
      </c>
      <c r="BD191" t="inlineStr">
        <is>
          <t>893232801</t>
        </is>
      </c>
    </row>
    <row r="192">
      <c r="A192" t="inlineStr">
        <is>
          <t>No</t>
        </is>
      </c>
      <c r="B192" t="inlineStr">
        <is>
          <t>QH31.D2 B84 1996</t>
        </is>
      </c>
      <c r="C192" t="inlineStr">
        <is>
          <t>0                      QH 0031000D  2                  B  84          1996</t>
        </is>
      </c>
      <c r="D192" t="inlineStr">
        <is>
          <t>Charles Darwin : a biography / Janet Browne.</t>
        </is>
      </c>
      <c r="E192" t="inlineStr">
        <is>
          <t>V. 2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Browne, E. J. (E. Janet), 1950-</t>
        </is>
      </c>
      <c r="L192" t="inlineStr">
        <is>
          <t>Princeton, N.J. : Princeton University Press, [1996]-</t>
        </is>
      </c>
      <c r="M192" t="inlineStr">
        <is>
          <t>1996</t>
        </is>
      </c>
      <c r="O192" t="inlineStr">
        <is>
          <t>eng</t>
        </is>
      </c>
      <c r="P192" t="inlineStr">
        <is>
          <t>nju</t>
        </is>
      </c>
      <c r="R192" t="inlineStr">
        <is>
          <t xml:space="preserve">QH </t>
        </is>
      </c>
      <c r="S192" t="n">
        <v>3</v>
      </c>
      <c r="T192" t="n">
        <v>13</v>
      </c>
      <c r="U192" t="inlineStr">
        <is>
          <t>2010-04-20</t>
        </is>
      </c>
      <c r="V192" t="inlineStr">
        <is>
          <t>2010-04-20</t>
        </is>
      </c>
      <c r="W192" t="inlineStr">
        <is>
          <t>2004-04-15</t>
        </is>
      </c>
      <c r="X192" t="inlineStr">
        <is>
          <t>2004-04-15</t>
        </is>
      </c>
      <c r="Y192" t="n">
        <v>719</v>
      </c>
      <c r="Z192" t="n">
        <v>644</v>
      </c>
      <c r="AA192" t="n">
        <v>1519</v>
      </c>
      <c r="AB192" t="n">
        <v>5</v>
      </c>
      <c r="AC192" t="n">
        <v>10</v>
      </c>
      <c r="AD192" t="n">
        <v>21</v>
      </c>
      <c r="AE192" t="n">
        <v>49</v>
      </c>
      <c r="AF192" t="n">
        <v>9</v>
      </c>
      <c r="AG192" t="n">
        <v>22</v>
      </c>
      <c r="AH192" t="n">
        <v>6</v>
      </c>
      <c r="AI192" t="n">
        <v>10</v>
      </c>
      <c r="AJ192" t="n">
        <v>4</v>
      </c>
      <c r="AK192" t="n">
        <v>21</v>
      </c>
      <c r="AL192" t="n">
        <v>4</v>
      </c>
      <c r="AM192" t="n">
        <v>8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2">
        <f>HYPERLINK("http://www.worldcat.org/oclc/34046206","WorldCat Record")</f>
        <v/>
      </c>
      <c r="AU192" t="inlineStr">
        <is>
          <t>4757840744:eng</t>
        </is>
      </c>
      <c r="AV192" t="inlineStr">
        <is>
          <t>34046206</t>
        </is>
      </c>
      <c r="AW192" t="inlineStr">
        <is>
          <t>991002598279702656</t>
        </is>
      </c>
      <c r="AX192" t="inlineStr">
        <is>
          <t>991002598279702656</t>
        </is>
      </c>
      <c r="AY192" t="inlineStr">
        <is>
          <t>2263716360002656</t>
        </is>
      </c>
      <c r="AZ192" t="inlineStr">
        <is>
          <t>BOOK</t>
        </is>
      </c>
      <c r="BB192" t="inlineStr">
        <is>
          <t>9780691026060</t>
        </is>
      </c>
      <c r="BC192" t="inlineStr">
        <is>
          <t>32285004899687</t>
        </is>
      </c>
      <c r="BD192" t="inlineStr">
        <is>
          <t>893434064</t>
        </is>
      </c>
    </row>
    <row r="193">
      <c r="A193" t="inlineStr">
        <is>
          <t>No</t>
        </is>
      </c>
      <c r="B193" t="inlineStr">
        <is>
          <t>QH31.D2 B84 1996, v...</t>
        </is>
      </c>
      <c r="C193" t="inlineStr">
        <is>
          <t>0                      QH 0031000D  2                  B  84          1996                  v...</t>
        </is>
      </c>
      <c r="D193" t="inlineStr">
        <is>
          <t>Charles Darwin : a biography / Janet Browne.</t>
        </is>
      </c>
      <c r="E193" t="inlineStr">
        <is>
          <t>V. 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K193" t="inlineStr">
        <is>
          <t>Browne, E. J. (E. Janet), 1950-</t>
        </is>
      </c>
      <c r="L193" t="inlineStr">
        <is>
          <t>Princeton, N.J. : Princeton University Press, [1996]-</t>
        </is>
      </c>
      <c r="M193" t="inlineStr">
        <is>
          <t>1996</t>
        </is>
      </c>
      <c r="O193" t="inlineStr">
        <is>
          <t>eng</t>
        </is>
      </c>
      <c r="P193" t="inlineStr">
        <is>
          <t>nju</t>
        </is>
      </c>
      <c r="R193" t="inlineStr">
        <is>
          <t xml:space="preserve">QH </t>
        </is>
      </c>
      <c r="S193" t="n">
        <v>10</v>
      </c>
      <c r="T193" t="n">
        <v>13</v>
      </c>
      <c r="U193" t="inlineStr">
        <is>
          <t>2010-04-20</t>
        </is>
      </c>
      <c r="V193" t="inlineStr">
        <is>
          <t>2010-04-20</t>
        </is>
      </c>
      <c r="W193" t="inlineStr">
        <is>
          <t>1999-01-11</t>
        </is>
      </c>
      <c r="X193" t="inlineStr">
        <is>
          <t>2004-04-15</t>
        </is>
      </c>
      <c r="Y193" t="n">
        <v>719</v>
      </c>
      <c r="Z193" t="n">
        <v>644</v>
      </c>
      <c r="AA193" t="n">
        <v>1519</v>
      </c>
      <c r="AB193" t="n">
        <v>5</v>
      </c>
      <c r="AC193" t="n">
        <v>10</v>
      </c>
      <c r="AD193" t="n">
        <v>21</v>
      </c>
      <c r="AE193" t="n">
        <v>49</v>
      </c>
      <c r="AF193" t="n">
        <v>9</v>
      </c>
      <c r="AG193" t="n">
        <v>22</v>
      </c>
      <c r="AH193" t="n">
        <v>6</v>
      </c>
      <c r="AI193" t="n">
        <v>10</v>
      </c>
      <c r="AJ193" t="n">
        <v>4</v>
      </c>
      <c r="AK193" t="n">
        <v>21</v>
      </c>
      <c r="AL193" t="n">
        <v>4</v>
      </c>
      <c r="AM193" t="n">
        <v>8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3">
        <f>HYPERLINK("http://www.worldcat.org/oclc/34046206","WorldCat Record")</f>
        <v/>
      </c>
      <c r="AU193" t="inlineStr">
        <is>
          <t>4757840744:eng</t>
        </is>
      </c>
      <c r="AV193" t="inlineStr">
        <is>
          <t>34046206</t>
        </is>
      </c>
      <c r="AW193" t="inlineStr">
        <is>
          <t>991002598279702656</t>
        </is>
      </c>
      <c r="AX193" t="inlineStr">
        <is>
          <t>991002598279702656</t>
        </is>
      </c>
      <c r="AY193" t="inlineStr">
        <is>
          <t>2263716360002656</t>
        </is>
      </c>
      <c r="AZ193" t="inlineStr">
        <is>
          <t>BOOK</t>
        </is>
      </c>
      <c r="BB193" t="inlineStr">
        <is>
          <t>9780691026060</t>
        </is>
      </c>
      <c r="BC193" t="inlineStr">
        <is>
          <t>32285003511366</t>
        </is>
      </c>
      <c r="BD193" t="inlineStr">
        <is>
          <t>893440304</t>
        </is>
      </c>
    </row>
    <row r="194">
      <c r="A194" t="inlineStr">
        <is>
          <t>No</t>
        </is>
      </c>
      <c r="B194" t="inlineStr">
        <is>
          <t>QH31.D2 C57 1984</t>
        </is>
      </c>
      <c r="C194" t="inlineStr">
        <is>
          <t>0                      QH 0031000D  2                  C  57          1984</t>
        </is>
      </c>
      <c r="D194" t="inlineStr">
        <is>
          <t>The survival of Charles Darwin : a biography of a man and an idea / Ronald W. Clark.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Clark, Ronald (Ronald William), 1916-1987.</t>
        </is>
      </c>
      <c r="L194" t="inlineStr">
        <is>
          <t>New York : Random House, c1984.</t>
        </is>
      </c>
      <c r="M194" t="inlineStr">
        <is>
          <t>1985</t>
        </is>
      </c>
      <c r="N194" t="inlineStr">
        <is>
          <t>1st ed.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QH </t>
        </is>
      </c>
      <c r="S194" t="n">
        <v>7</v>
      </c>
      <c r="T194" t="n">
        <v>7</v>
      </c>
      <c r="U194" t="inlineStr">
        <is>
          <t>2008-10-27</t>
        </is>
      </c>
      <c r="V194" t="inlineStr">
        <is>
          <t>2008-10-27</t>
        </is>
      </c>
      <c r="W194" t="inlineStr">
        <is>
          <t>1990-07-03</t>
        </is>
      </c>
      <c r="X194" t="inlineStr">
        <is>
          <t>1990-07-03</t>
        </is>
      </c>
      <c r="Y194" t="n">
        <v>1482</v>
      </c>
      <c r="Z194" t="n">
        <v>1383</v>
      </c>
      <c r="AA194" t="n">
        <v>1459</v>
      </c>
      <c r="AB194" t="n">
        <v>8</v>
      </c>
      <c r="AC194" t="n">
        <v>10</v>
      </c>
      <c r="AD194" t="n">
        <v>33</v>
      </c>
      <c r="AE194" t="n">
        <v>39</v>
      </c>
      <c r="AF194" t="n">
        <v>14</v>
      </c>
      <c r="AG194" t="n">
        <v>16</v>
      </c>
      <c r="AH194" t="n">
        <v>9</v>
      </c>
      <c r="AI194" t="n">
        <v>9</v>
      </c>
      <c r="AJ194" t="n">
        <v>14</v>
      </c>
      <c r="AK194" t="n">
        <v>17</v>
      </c>
      <c r="AL194" t="n">
        <v>4</v>
      </c>
      <c r="AM194" t="n">
        <v>6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HYPERLINK("http://catalog.hathitrust.org/Record/000346294","HathiTrust Record")</f>
        <v/>
      </c>
      <c r="AS194">
        <f>HYPERLINK("https://creighton-primo.hosted.exlibrisgroup.com/primo-explore/search?tab=default_tab&amp;search_scope=EVERYTHING&amp;vid=01CRU&amp;lang=en_US&amp;offset=0&amp;query=any,contains,991000450789702656","Catalog Record")</f>
        <v/>
      </c>
      <c r="AT194">
        <f>HYPERLINK("http://www.worldcat.org/oclc/10878739","WorldCat Record")</f>
        <v/>
      </c>
      <c r="AU194" t="inlineStr">
        <is>
          <t>3451268:eng</t>
        </is>
      </c>
      <c r="AV194" t="inlineStr">
        <is>
          <t>10878739</t>
        </is>
      </c>
      <c r="AW194" t="inlineStr">
        <is>
          <t>991000450789702656</t>
        </is>
      </c>
      <c r="AX194" t="inlineStr">
        <is>
          <t>991000450789702656</t>
        </is>
      </c>
      <c r="AY194" t="inlineStr">
        <is>
          <t>2272694450002656</t>
        </is>
      </c>
      <c r="AZ194" t="inlineStr">
        <is>
          <t>BOOK</t>
        </is>
      </c>
      <c r="BB194" t="inlineStr">
        <is>
          <t>9780394521343</t>
        </is>
      </c>
      <c r="BC194" t="inlineStr">
        <is>
          <t>32285000225028</t>
        </is>
      </c>
      <c r="BD194" t="inlineStr">
        <is>
          <t>893321046</t>
        </is>
      </c>
    </row>
    <row r="195">
      <c r="A195" t="inlineStr">
        <is>
          <t>No</t>
        </is>
      </c>
      <c r="B195" t="inlineStr">
        <is>
          <t>QH31.D2 C6</t>
        </is>
      </c>
      <c r="C195" t="inlineStr">
        <is>
          <t>0                      QH 0031000D  2                  C  6</t>
        </is>
      </c>
      <c r="D195" t="inlineStr">
        <is>
          <t>To be an invalid : the illness of Charles Darwin / Ralph Colp, Jr.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Colp, Ralph.</t>
        </is>
      </c>
      <c r="L195" t="inlineStr">
        <is>
          <t>Chicago : University of Chicago Press, 1977.</t>
        </is>
      </c>
      <c r="M195" t="inlineStr">
        <is>
          <t>1977</t>
        </is>
      </c>
      <c r="O195" t="inlineStr">
        <is>
          <t>eng</t>
        </is>
      </c>
      <c r="P195" t="inlineStr">
        <is>
          <t>ilu</t>
        </is>
      </c>
      <c r="R195" t="inlineStr">
        <is>
          <t xml:space="preserve">QH </t>
        </is>
      </c>
      <c r="S195" t="n">
        <v>6</v>
      </c>
      <c r="T195" t="n">
        <v>6</v>
      </c>
      <c r="U195" t="inlineStr">
        <is>
          <t>2002-12-02</t>
        </is>
      </c>
      <c r="V195" t="inlineStr">
        <is>
          <t>2002-12-02</t>
        </is>
      </c>
      <c r="W195" t="inlineStr">
        <is>
          <t>1990-12-28</t>
        </is>
      </c>
      <c r="X195" t="inlineStr">
        <is>
          <t>1990-12-28</t>
        </is>
      </c>
      <c r="Y195" t="n">
        <v>705</v>
      </c>
      <c r="Z195" t="n">
        <v>615</v>
      </c>
      <c r="AA195" t="n">
        <v>622</v>
      </c>
      <c r="AB195" t="n">
        <v>7</v>
      </c>
      <c r="AC195" t="n">
        <v>7</v>
      </c>
      <c r="AD195" t="n">
        <v>23</v>
      </c>
      <c r="AE195" t="n">
        <v>23</v>
      </c>
      <c r="AF195" t="n">
        <v>6</v>
      </c>
      <c r="AG195" t="n">
        <v>6</v>
      </c>
      <c r="AH195" t="n">
        <v>4</v>
      </c>
      <c r="AI195" t="n">
        <v>4</v>
      </c>
      <c r="AJ195" t="n">
        <v>12</v>
      </c>
      <c r="AK195" t="n">
        <v>12</v>
      </c>
      <c r="AL195" t="n">
        <v>5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HYPERLINK("http://catalog.hathitrust.org/Record/000745774","HathiTrust Record")</f>
        <v/>
      </c>
      <c r="AS195">
        <f>HYPERLINK("https://creighton-primo.hosted.exlibrisgroup.com/primo-explore/search?tab=default_tab&amp;search_scope=EVERYTHING&amp;vid=01CRU&amp;lang=en_US&amp;offset=0&amp;query=any,contains,991004129679702656","Catalog Record")</f>
        <v/>
      </c>
      <c r="AT195">
        <f>HYPERLINK("http://www.worldcat.org/oclc/2464547","WorldCat Record")</f>
        <v/>
      </c>
      <c r="AU195" t="inlineStr">
        <is>
          <t>889583373:eng</t>
        </is>
      </c>
      <c r="AV195" t="inlineStr">
        <is>
          <t>2464547</t>
        </is>
      </c>
      <c r="AW195" t="inlineStr">
        <is>
          <t>991004129679702656</t>
        </is>
      </c>
      <c r="AX195" t="inlineStr">
        <is>
          <t>991004129679702656</t>
        </is>
      </c>
      <c r="AY195" t="inlineStr">
        <is>
          <t>2269065270002656</t>
        </is>
      </c>
      <c r="AZ195" t="inlineStr">
        <is>
          <t>BOOK</t>
        </is>
      </c>
      <c r="BB195" t="inlineStr">
        <is>
          <t>9780226114019</t>
        </is>
      </c>
      <c r="BC195" t="inlineStr">
        <is>
          <t>32285000426568</t>
        </is>
      </c>
      <c r="BD195" t="inlineStr">
        <is>
          <t>893235086</t>
        </is>
      </c>
    </row>
    <row r="196">
      <c r="A196" t="inlineStr">
        <is>
          <t>No</t>
        </is>
      </c>
      <c r="B196" t="inlineStr">
        <is>
          <t>QH31.D2 D4 1964</t>
        </is>
      </c>
      <c r="C196" t="inlineStr">
        <is>
          <t>0                      QH 0031000D  2                  D  4           1964</t>
        </is>
      </c>
      <c r="D196" t="inlineStr">
        <is>
          <t>Charles Darwin, evolution by natural selection.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 Beer, Gavin, Sir, 1899-1972.</t>
        </is>
      </c>
      <c r="L196" t="inlineStr">
        <is>
          <t>Garden City, N.Y. : Doubleday, 1964 [c1963]</t>
        </is>
      </c>
      <c r="M196" t="inlineStr">
        <is>
          <t>1964</t>
        </is>
      </c>
      <c r="N196" t="inlineStr">
        <is>
          <t>[1st ed.]</t>
        </is>
      </c>
      <c r="O196" t="inlineStr">
        <is>
          <t>eng</t>
        </is>
      </c>
      <c r="P196" t="inlineStr">
        <is>
          <t>nyu</t>
        </is>
      </c>
      <c r="Q196" t="inlineStr">
        <is>
          <t>British men of science</t>
        </is>
      </c>
      <c r="R196" t="inlineStr">
        <is>
          <t xml:space="preserve">QH </t>
        </is>
      </c>
      <c r="S196" t="n">
        <v>8</v>
      </c>
      <c r="T196" t="n">
        <v>8</v>
      </c>
      <c r="U196" t="inlineStr">
        <is>
          <t>1999-10-19</t>
        </is>
      </c>
      <c r="V196" t="inlineStr">
        <is>
          <t>1999-10-19</t>
        </is>
      </c>
      <c r="W196" t="inlineStr">
        <is>
          <t>1993-12-21</t>
        </is>
      </c>
      <c r="X196" t="inlineStr">
        <is>
          <t>1993-12-21</t>
        </is>
      </c>
      <c r="Y196" t="n">
        <v>849</v>
      </c>
      <c r="Z196" t="n">
        <v>827</v>
      </c>
      <c r="AA196" t="n">
        <v>1049</v>
      </c>
      <c r="AB196" t="n">
        <v>5</v>
      </c>
      <c r="AC196" t="n">
        <v>7</v>
      </c>
      <c r="AD196" t="n">
        <v>20</v>
      </c>
      <c r="AE196" t="n">
        <v>33</v>
      </c>
      <c r="AF196" t="n">
        <v>7</v>
      </c>
      <c r="AG196" t="n">
        <v>13</v>
      </c>
      <c r="AH196" t="n">
        <v>3</v>
      </c>
      <c r="AI196" t="n">
        <v>7</v>
      </c>
      <c r="AJ196" t="n">
        <v>10</v>
      </c>
      <c r="AK196" t="n">
        <v>16</v>
      </c>
      <c r="AL196" t="n">
        <v>2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HYPERLINK("http://catalog.hathitrust.org/Record/001489943","HathiTrust Record")</f>
        <v/>
      </c>
      <c r="AS196">
        <f>HYPERLINK("https://creighton-primo.hosted.exlibrisgroup.com/primo-explore/search?tab=default_tab&amp;search_scope=EVERYTHING&amp;vid=01CRU&amp;lang=en_US&amp;offset=0&amp;query=any,contains,991002976269702656","Catalog Record")</f>
        <v/>
      </c>
      <c r="AT196">
        <f>HYPERLINK("http://www.worldcat.org/oclc/551826","WorldCat Record")</f>
        <v/>
      </c>
      <c r="AU196" t="inlineStr">
        <is>
          <t>1301255:eng</t>
        </is>
      </c>
      <c r="AV196" t="inlineStr">
        <is>
          <t>551826</t>
        </is>
      </c>
      <c r="AW196" t="inlineStr">
        <is>
          <t>991002976269702656</t>
        </is>
      </c>
      <c r="AX196" t="inlineStr">
        <is>
          <t>991002976269702656</t>
        </is>
      </c>
      <c r="AY196" t="inlineStr">
        <is>
          <t>2257651480002656</t>
        </is>
      </c>
      <c r="AZ196" t="inlineStr">
        <is>
          <t>BOOK</t>
        </is>
      </c>
      <c r="BC196" t="inlineStr">
        <is>
          <t>32285001825842</t>
        </is>
      </c>
      <c r="BD196" t="inlineStr">
        <is>
          <t>893251860</t>
        </is>
      </c>
    </row>
    <row r="197">
      <c r="A197" t="inlineStr">
        <is>
          <t>No</t>
        </is>
      </c>
      <c r="B197" t="inlineStr">
        <is>
          <t>QH31.D2 D47 1992</t>
        </is>
      </c>
      <c r="C197" t="inlineStr">
        <is>
          <t>0                      QH 0031000D  2                  D  47          1992</t>
        </is>
      </c>
      <c r="D197" t="inlineStr">
        <is>
          <t>Darwin / Adrian Desmond &amp; James Moore.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Desmond, Adrian J., 1947-</t>
        </is>
      </c>
      <c r="L197" t="inlineStr">
        <is>
          <t>New York, NY : Warner Books, 1992.</t>
        </is>
      </c>
      <c r="M197" t="inlineStr">
        <is>
          <t>1992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QH </t>
        </is>
      </c>
      <c r="S197" t="n">
        <v>10</v>
      </c>
      <c r="T197" t="n">
        <v>10</v>
      </c>
      <c r="U197" t="inlineStr">
        <is>
          <t>1995-09-25</t>
        </is>
      </c>
      <c r="V197" t="inlineStr">
        <is>
          <t>1995-09-25</t>
        </is>
      </c>
      <c r="W197" t="inlineStr">
        <is>
          <t>1993-05-13</t>
        </is>
      </c>
      <c r="X197" t="inlineStr">
        <is>
          <t>1993-05-13</t>
        </is>
      </c>
      <c r="Y197" t="n">
        <v>1169</v>
      </c>
      <c r="Z197" t="n">
        <v>1133</v>
      </c>
      <c r="AA197" t="n">
        <v>1631</v>
      </c>
      <c r="AB197" t="n">
        <v>7</v>
      </c>
      <c r="AC197" t="n">
        <v>11</v>
      </c>
      <c r="AD197" t="n">
        <v>30</v>
      </c>
      <c r="AE197" t="n">
        <v>41</v>
      </c>
      <c r="AF197" t="n">
        <v>13</v>
      </c>
      <c r="AG197" t="n">
        <v>18</v>
      </c>
      <c r="AH197" t="n">
        <v>7</v>
      </c>
      <c r="AI197" t="n">
        <v>9</v>
      </c>
      <c r="AJ197" t="n">
        <v>12</v>
      </c>
      <c r="AK197" t="n">
        <v>17</v>
      </c>
      <c r="AL197" t="n">
        <v>6</v>
      </c>
      <c r="AM197" t="n">
        <v>9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HYPERLINK("https://creighton-primo.hosted.exlibrisgroup.com/primo-explore/search?tab=default_tab&amp;search_scope=EVERYTHING&amp;vid=01CRU&amp;lang=en_US&amp;offset=0&amp;query=any,contains,991001936259702656","Catalog Record")</f>
        <v/>
      </c>
      <c r="AT197">
        <f>HYPERLINK("http://www.worldcat.org/oclc/24467399","WorldCat Record")</f>
        <v/>
      </c>
      <c r="AU197" t="inlineStr">
        <is>
          <t>25528348:eng</t>
        </is>
      </c>
      <c r="AV197" t="inlineStr">
        <is>
          <t>24467399</t>
        </is>
      </c>
      <c r="AW197" t="inlineStr">
        <is>
          <t>991001936259702656</t>
        </is>
      </c>
      <c r="AX197" t="inlineStr">
        <is>
          <t>991001936259702656</t>
        </is>
      </c>
      <c r="AY197" t="inlineStr">
        <is>
          <t>2267120390002656</t>
        </is>
      </c>
      <c r="AZ197" t="inlineStr">
        <is>
          <t>BOOK</t>
        </is>
      </c>
      <c r="BB197" t="inlineStr">
        <is>
          <t>9780446515894</t>
        </is>
      </c>
      <c r="BC197" t="inlineStr">
        <is>
          <t>32285001581312</t>
        </is>
      </c>
      <c r="BD197" t="inlineStr">
        <is>
          <t>893244562</t>
        </is>
      </c>
    </row>
    <row r="198">
      <c r="A198" t="inlineStr">
        <is>
          <t>No</t>
        </is>
      </c>
      <c r="B198" t="inlineStr">
        <is>
          <t>QH31.D2 E43 2005</t>
        </is>
      </c>
      <c r="C198" t="inlineStr">
        <is>
          <t>0                      QH 0031000D  2                  E  43          2005</t>
        </is>
      </c>
      <c r="D198" t="inlineStr">
        <is>
          <t>Darwin : discovering the tree of life / by Niles Eldredge.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Eldredge, Niles.</t>
        </is>
      </c>
      <c r="L198" t="inlineStr">
        <is>
          <t>New York : W.W. Norton &amp; Co., c2005.</t>
        </is>
      </c>
      <c r="M198" t="inlineStr">
        <is>
          <t>2005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QH </t>
        </is>
      </c>
      <c r="S198" t="n">
        <v>2</v>
      </c>
      <c r="T198" t="n">
        <v>2</v>
      </c>
      <c r="U198" t="inlineStr">
        <is>
          <t>2007-02-23</t>
        </is>
      </c>
      <c r="V198" t="inlineStr">
        <is>
          <t>2007-02-23</t>
        </is>
      </c>
      <c r="W198" t="inlineStr">
        <is>
          <t>2007-02-23</t>
        </is>
      </c>
      <c r="X198" t="inlineStr">
        <is>
          <t>2007-02-23</t>
        </is>
      </c>
      <c r="Y198" t="n">
        <v>1295</v>
      </c>
      <c r="Z198" t="n">
        <v>1169</v>
      </c>
      <c r="AA198" t="n">
        <v>1171</v>
      </c>
      <c r="AB198" t="n">
        <v>10</v>
      </c>
      <c r="AC198" t="n">
        <v>10</v>
      </c>
      <c r="AD198" t="n">
        <v>39</v>
      </c>
      <c r="AE198" t="n">
        <v>39</v>
      </c>
      <c r="AF198" t="n">
        <v>18</v>
      </c>
      <c r="AG198" t="n">
        <v>18</v>
      </c>
      <c r="AH198" t="n">
        <v>5</v>
      </c>
      <c r="AI198" t="n">
        <v>5</v>
      </c>
      <c r="AJ198" t="n">
        <v>15</v>
      </c>
      <c r="AK198" t="n">
        <v>15</v>
      </c>
      <c r="AL198" t="n">
        <v>8</v>
      </c>
      <c r="AM198" t="n">
        <v>8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HYPERLINK("https://creighton-primo.hosted.exlibrisgroup.com/primo-explore/search?tab=default_tab&amp;search_scope=EVERYTHING&amp;vid=01CRU&amp;lang=en_US&amp;offset=0&amp;query=any,contains,991005038899702656","Catalog Record")</f>
        <v/>
      </c>
      <c r="AT198">
        <f>HYPERLINK("http://www.worldcat.org/oclc/60835330","WorldCat Record")</f>
        <v/>
      </c>
      <c r="AU198" t="inlineStr">
        <is>
          <t>478732340:eng</t>
        </is>
      </c>
      <c r="AV198" t="inlineStr">
        <is>
          <t>60835330</t>
        </is>
      </c>
      <c r="AW198" t="inlineStr">
        <is>
          <t>991005038899702656</t>
        </is>
      </c>
      <c r="AX198" t="inlineStr">
        <is>
          <t>991005038899702656</t>
        </is>
      </c>
      <c r="AY198" t="inlineStr">
        <is>
          <t>2265541960002656</t>
        </is>
      </c>
      <c r="AZ198" t="inlineStr">
        <is>
          <t>BOOK</t>
        </is>
      </c>
      <c r="BB198" t="inlineStr">
        <is>
          <t>9780393059663</t>
        </is>
      </c>
      <c r="BC198" t="inlineStr">
        <is>
          <t>32285005279236</t>
        </is>
      </c>
      <c r="BD198" t="inlineStr">
        <is>
          <t>893418296</t>
        </is>
      </c>
    </row>
    <row r="199">
      <c r="A199" t="inlineStr">
        <is>
          <t>No</t>
        </is>
      </c>
      <c r="B199" t="inlineStr">
        <is>
          <t>QH31.D2 E93 1993</t>
        </is>
      </c>
      <c r="C199" t="inlineStr">
        <is>
          <t>0                      QH 0031000D  2                  E  93          1993</t>
        </is>
      </c>
      <c r="D199" t="inlineStr">
        <is>
          <t>Charles Darwin : revolutionary biologist / J. Edward Evans.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Evans, J. Edward.</t>
        </is>
      </c>
      <c r="L199" t="inlineStr">
        <is>
          <t>Minneapolis : Lerner Publications, c1993.</t>
        </is>
      </c>
      <c r="M199" t="inlineStr">
        <is>
          <t>1993</t>
        </is>
      </c>
      <c r="O199" t="inlineStr">
        <is>
          <t>eng</t>
        </is>
      </c>
      <c r="P199" t="inlineStr">
        <is>
          <t>mnu</t>
        </is>
      </c>
      <c r="R199" t="inlineStr">
        <is>
          <t xml:space="preserve">QH </t>
        </is>
      </c>
      <c r="S199" t="n">
        <v>8</v>
      </c>
      <c r="T199" t="n">
        <v>8</v>
      </c>
      <c r="U199" t="inlineStr">
        <is>
          <t>2008-04-15</t>
        </is>
      </c>
      <c r="V199" t="inlineStr">
        <is>
          <t>2008-04-15</t>
        </is>
      </c>
      <c r="W199" t="inlineStr">
        <is>
          <t>1994-08-25</t>
        </is>
      </c>
      <c r="X199" t="inlineStr">
        <is>
          <t>1994-08-25</t>
        </is>
      </c>
      <c r="Y199" t="n">
        <v>394</v>
      </c>
      <c r="Z199" t="n">
        <v>372</v>
      </c>
      <c r="AA199" t="n">
        <v>373</v>
      </c>
      <c r="AB199" t="n">
        <v>3</v>
      </c>
      <c r="AC199" t="n">
        <v>3</v>
      </c>
      <c r="AD199" t="n">
        <v>2</v>
      </c>
      <c r="AE199" t="n">
        <v>2</v>
      </c>
      <c r="AF199" t="n">
        <v>0</v>
      </c>
      <c r="AG199" t="n">
        <v>0</v>
      </c>
      <c r="AH199" t="n">
        <v>0</v>
      </c>
      <c r="AI199" t="n">
        <v>0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HYPERLINK("https://creighton-primo.hosted.exlibrisgroup.com/primo-explore/search?tab=default_tab&amp;search_scope=EVERYTHING&amp;vid=01CRU&amp;lang=en_US&amp;offset=0&amp;query=any,contains,991004568249702656","Catalog Record")</f>
        <v/>
      </c>
      <c r="AT199">
        <f>HYPERLINK("http://www.worldcat.org/oclc/27725371","WorldCat Record")</f>
        <v/>
      </c>
      <c r="AU199" t="inlineStr">
        <is>
          <t>4846619158:eng</t>
        </is>
      </c>
      <c r="AV199" t="inlineStr">
        <is>
          <t>27725371</t>
        </is>
      </c>
      <c r="AW199" t="inlineStr">
        <is>
          <t>991004568249702656</t>
        </is>
      </c>
      <c r="AX199" t="inlineStr">
        <is>
          <t>991004568249702656</t>
        </is>
      </c>
      <c r="AY199" t="inlineStr">
        <is>
          <t>2267689960002656</t>
        </is>
      </c>
      <c r="AZ199" t="inlineStr">
        <is>
          <t>BOOK</t>
        </is>
      </c>
      <c r="BB199" t="inlineStr">
        <is>
          <t>9780822549147</t>
        </is>
      </c>
      <c r="BC199" t="inlineStr">
        <is>
          <t>32285001944155</t>
        </is>
      </c>
      <c r="BD199" t="inlineStr">
        <is>
          <t>893767936</t>
        </is>
      </c>
    </row>
    <row r="200">
      <c r="A200" t="inlineStr">
        <is>
          <t>No</t>
        </is>
      </c>
      <c r="B200" t="inlineStr">
        <is>
          <t>QH31.D2 F34 1966a</t>
        </is>
      </c>
      <c r="C200" t="inlineStr">
        <is>
          <t>0                      QH 0031000D  2                  F  34          1966a</t>
        </is>
      </c>
      <c r="D200" t="inlineStr">
        <is>
          <t>What Darwin really said.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Farrington, Benjamin, 1891-1974.</t>
        </is>
      </c>
      <c r="L200" t="inlineStr">
        <is>
          <t>New York : Schocken Books, [1966]</t>
        </is>
      </c>
      <c r="M200" t="inlineStr">
        <is>
          <t>1966</t>
        </is>
      </c>
      <c r="O200" t="inlineStr">
        <is>
          <t>eng</t>
        </is>
      </c>
      <c r="P200" t="inlineStr">
        <is>
          <t>nyu</t>
        </is>
      </c>
      <c r="Q200" t="inlineStr">
        <is>
          <t>What they really said series</t>
        </is>
      </c>
      <c r="R200" t="inlineStr">
        <is>
          <t xml:space="preserve">QH </t>
        </is>
      </c>
      <c r="S200" t="n">
        <v>5</v>
      </c>
      <c r="T200" t="n">
        <v>5</v>
      </c>
      <c r="U200" t="inlineStr">
        <is>
          <t>2009-04-02</t>
        </is>
      </c>
      <c r="V200" t="inlineStr">
        <is>
          <t>2009-04-02</t>
        </is>
      </c>
      <c r="W200" t="inlineStr">
        <is>
          <t>1993-12-21</t>
        </is>
      </c>
      <c r="X200" t="inlineStr">
        <is>
          <t>1993-12-21</t>
        </is>
      </c>
      <c r="Y200" t="n">
        <v>867</v>
      </c>
      <c r="Z200" t="n">
        <v>813</v>
      </c>
      <c r="AA200" t="n">
        <v>1018</v>
      </c>
      <c r="AB200" t="n">
        <v>6</v>
      </c>
      <c r="AC200" t="n">
        <v>8</v>
      </c>
      <c r="AD200" t="n">
        <v>17</v>
      </c>
      <c r="AE200" t="n">
        <v>25</v>
      </c>
      <c r="AF200" t="n">
        <v>5</v>
      </c>
      <c r="AG200" t="n">
        <v>10</v>
      </c>
      <c r="AH200" t="n">
        <v>3</v>
      </c>
      <c r="AI200" t="n">
        <v>6</v>
      </c>
      <c r="AJ200" t="n">
        <v>10</v>
      </c>
      <c r="AK200" t="n">
        <v>12</v>
      </c>
      <c r="AL200" t="n">
        <v>3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HYPERLINK("https://creighton-primo.hosted.exlibrisgroup.com/primo-explore/search?tab=default_tab&amp;search_scope=EVERYTHING&amp;vid=01CRU&amp;lang=en_US&amp;offset=0&amp;query=any,contains,991002266859702656","Catalog Record")</f>
        <v/>
      </c>
      <c r="AT200">
        <f>HYPERLINK("http://www.worldcat.org/oclc/307311","WorldCat Record")</f>
        <v/>
      </c>
      <c r="AU200" t="inlineStr">
        <is>
          <t>424112970:eng</t>
        </is>
      </c>
      <c r="AV200" t="inlineStr">
        <is>
          <t>307311</t>
        </is>
      </c>
      <c r="AW200" t="inlineStr">
        <is>
          <t>991002266859702656</t>
        </is>
      </c>
      <c r="AX200" t="inlineStr">
        <is>
          <t>991002266859702656</t>
        </is>
      </c>
      <c r="AY200" t="inlineStr">
        <is>
          <t>2265631000002656</t>
        </is>
      </c>
      <c r="AZ200" t="inlineStr">
        <is>
          <t>BOOK</t>
        </is>
      </c>
      <c r="BC200" t="inlineStr">
        <is>
          <t>32285001826279</t>
        </is>
      </c>
      <c r="BD200" t="inlineStr">
        <is>
          <t>893892348</t>
        </is>
      </c>
    </row>
    <row r="201">
      <c r="A201" t="inlineStr">
        <is>
          <t>No</t>
        </is>
      </c>
      <c r="B201" t="inlineStr">
        <is>
          <t>QH31.D2 G5 1984</t>
        </is>
      </c>
      <c r="C201" t="inlineStr">
        <is>
          <t>0                      QH 0031000D  2                  G  5           1984</t>
        </is>
      </c>
      <c r="D201" t="inlineStr">
        <is>
          <t>The triumph of the Darwinian method / Michael T. Ghiselin ; with a new preface.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Yes</t>
        </is>
      </c>
      <c r="J201" t="inlineStr">
        <is>
          <t>0</t>
        </is>
      </c>
      <c r="K201" t="inlineStr">
        <is>
          <t>Ghiselin, Michael T., 1939-</t>
        </is>
      </c>
      <c r="L201" t="inlineStr">
        <is>
          <t>Chicago : University of Chicago Press, 1984, c1969.</t>
        </is>
      </c>
      <c r="M201" t="inlineStr">
        <is>
          <t>1984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QH </t>
        </is>
      </c>
      <c r="S201" t="n">
        <v>11</v>
      </c>
      <c r="T201" t="n">
        <v>11</v>
      </c>
      <c r="U201" t="inlineStr">
        <is>
          <t>2002-04-09</t>
        </is>
      </c>
      <c r="V201" t="inlineStr">
        <is>
          <t>2002-04-09</t>
        </is>
      </c>
      <c r="W201" t="inlineStr">
        <is>
          <t>1990-07-03</t>
        </is>
      </c>
      <c r="X201" t="inlineStr">
        <is>
          <t>1990-07-03</t>
        </is>
      </c>
      <c r="Y201" t="n">
        <v>172</v>
      </c>
      <c r="Z201" t="n">
        <v>147</v>
      </c>
      <c r="AA201" t="n">
        <v>889</v>
      </c>
      <c r="AB201" t="n">
        <v>2</v>
      </c>
      <c r="AC201" t="n">
        <v>9</v>
      </c>
      <c r="AD201" t="n">
        <v>5</v>
      </c>
      <c r="AE201" t="n">
        <v>40</v>
      </c>
      <c r="AF201" t="n">
        <v>1</v>
      </c>
      <c r="AG201" t="n">
        <v>13</v>
      </c>
      <c r="AH201" t="n">
        <v>0</v>
      </c>
      <c r="AI201" t="n">
        <v>9</v>
      </c>
      <c r="AJ201" t="n">
        <v>3</v>
      </c>
      <c r="AK201" t="n">
        <v>18</v>
      </c>
      <c r="AL201" t="n">
        <v>1</v>
      </c>
      <c r="AM201" t="n">
        <v>8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HYPERLINK("https://creighton-primo.hosted.exlibrisgroup.com/primo-explore/search?tab=default_tab&amp;search_scope=EVERYTHING&amp;vid=01CRU&amp;lang=en_US&amp;offset=0&amp;query=any,contains,991000382939702656","Catalog Record")</f>
        <v/>
      </c>
      <c r="AT201">
        <f>HYPERLINK("http://www.worldcat.org/oclc/10506097","WorldCat Record")</f>
        <v/>
      </c>
      <c r="AU201" t="inlineStr">
        <is>
          <t>705418:eng</t>
        </is>
      </c>
      <c r="AV201" t="inlineStr">
        <is>
          <t>10506097</t>
        </is>
      </c>
      <c r="AW201" t="inlineStr">
        <is>
          <t>991000382939702656</t>
        </is>
      </c>
      <c r="AX201" t="inlineStr">
        <is>
          <t>991000382939702656</t>
        </is>
      </c>
      <c r="AY201" t="inlineStr">
        <is>
          <t>2255828210002656</t>
        </is>
      </c>
      <c r="AZ201" t="inlineStr">
        <is>
          <t>BOOK</t>
        </is>
      </c>
      <c r="BB201" t="inlineStr">
        <is>
          <t>9780226290249</t>
        </is>
      </c>
      <c r="BC201" t="inlineStr">
        <is>
          <t>32285000225044</t>
        </is>
      </c>
      <c r="BD201" t="inlineStr">
        <is>
          <t>893683351</t>
        </is>
      </c>
    </row>
    <row r="202">
      <c r="A202" t="inlineStr">
        <is>
          <t>No</t>
        </is>
      </c>
      <c r="B202" t="inlineStr">
        <is>
          <t>QH31.D2 H77</t>
        </is>
      </c>
      <c r="C202" t="inlineStr">
        <is>
          <t>0                      QH 0031000D  2                  H  77</t>
        </is>
      </c>
      <c r="D202" t="inlineStr">
        <is>
          <t>Darwin's South America / [by] Robert S. Hopkins.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Hopkins, Robert S.</t>
        </is>
      </c>
      <c r="L202" t="inlineStr">
        <is>
          <t>New York : John Day Co.,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QH </t>
        </is>
      </c>
      <c r="S202" t="n">
        <v>2</v>
      </c>
      <c r="T202" t="n">
        <v>2</v>
      </c>
      <c r="U202" t="inlineStr">
        <is>
          <t>2009-11-22</t>
        </is>
      </c>
      <c r="V202" t="inlineStr">
        <is>
          <t>2009-11-22</t>
        </is>
      </c>
      <c r="W202" t="inlineStr">
        <is>
          <t>1993-12-21</t>
        </is>
      </c>
      <c r="X202" t="inlineStr">
        <is>
          <t>1993-12-21</t>
        </is>
      </c>
      <c r="Y202" t="n">
        <v>592</v>
      </c>
      <c r="Z202" t="n">
        <v>548</v>
      </c>
      <c r="AA202" t="n">
        <v>564</v>
      </c>
      <c r="AB202" t="n">
        <v>5</v>
      </c>
      <c r="AC202" t="n">
        <v>5</v>
      </c>
      <c r="AD202" t="n">
        <v>17</v>
      </c>
      <c r="AE202" t="n">
        <v>19</v>
      </c>
      <c r="AF202" t="n">
        <v>4</v>
      </c>
      <c r="AG202" t="n">
        <v>5</v>
      </c>
      <c r="AH202" t="n">
        <v>4</v>
      </c>
      <c r="AI202" t="n">
        <v>5</v>
      </c>
      <c r="AJ202" t="n">
        <v>8</v>
      </c>
      <c r="AK202" t="n">
        <v>8</v>
      </c>
      <c r="AL202" t="n">
        <v>4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HYPERLINK("http://catalog.hathitrust.org/Record/001489948","HathiTrust Record")</f>
        <v/>
      </c>
      <c r="AS202">
        <f>HYPERLINK("https://creighton-primo.hosted.exlibrisgroup.com/primo-explore/search?tab=default_tab&amp;search_scope=EVERYTHING&amp;vid=01CRU&amp;lang=en_US&amp;offset=0&amp;query=any,contains,991000138179702656","Catalog Record")</f>
        <v/>
      </c>
      <c r="AT202">
        <f>HYPERLINK("http://www.worldcat.org/oclc/57253","WorldCat Record")</f>
        <v/>
      </c>
      <c r="AU202" t="inlineStr">
        <is>
          <t>1191835:eng</t>
        </is>
      </c>
      <c r="AV202" t="inlineStr">
        <is>
          <t>57253</t>
        </is>
      </c>
      <c r="AW202" t="inlineStr">
        <is>
          <t>991000138179702656</t>
        </is>
      </c>
      <c r="AX202" t="inlineStr">
        <is>
          <t>991000138179702656</t>
        </is>
      </c>
      <c r="AY202" t="inlineStr">
        <is>
          <t>2261753950002656</t>
        </is>
      </c>
      <c r="AZ202" t="inlineStr">
        <is>
          <t>BOOK</t>
        </is>
      </c>
      <c r="BC202" t="inlineStr">
        <is>
          <t>32285001825834</t>
        </is>
      </c>
      <c r="BD202" t="inlineStr">
        <is>
          <t>893345418</t>
        </is>
      </c>
    </row>
    <row r="203">
      <c r="A203" t="inlineStr">
        <is>
          <t>No</t>
        </is>
      </c>
      <c r="B203" t="inlineStr">
        <is>
          <t>QH31.D2 H78</t>
        </is>
      </c>
      <c r="C203" t="inlineStr">
        <is>
          <t>0                      QH 0031000D  2                  H  78</t>
        </is>
      </c>
      <c r="D203" t="inlineStr">
        <is>
          <t>Charles Darwin and his world / by Julian Huxley and H. B. D. Kettlewell.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Huxley, Julian, 1887-1975.</t>
        </is>
      </c>
      <c r="L203" t="inlineStr">
        <is>
          <t>New York : Viking Press, [1965]</t>
        </is>
      </c>
      <c r="M203" t="inlineStr">
        <is>
          <t>1965</t>
        </is>
      </c>
      <c r="O203" t="inlineStr">
        <is>
          <t>eng</t>
        </is>
      </c>
      <c r="P203" t="inlineStr">
        <is>
          <t>nyu</t>
        </is>
      </c>
      <c r="Q203" t="inlineStr">
        <is>
          <t>A Studio book</t>
        </is>
      </c>
      <c r="R203" t="inlineStr">
        <is>
          <t xml:space="preserve">QH </t>
        </is>
      </c>
      <c r="S203" t="n">
        <v>6</v>
      </c>
      <c r="T203" t="n">
        <v>6</v>
      </c>
      <c r="U203" t="inlineStr">
        <is>
          <t>2010-04-12</t>
        </is>
      </c>
      <c r="V203" t="inlineStr">
        <is>
          <t>2010-04-12</t>
        </is>
      </c>
      <c r="W203" t="inlineStr">
        <is>
          <t>1995-02-24</t>
        </is>
      </c>
      <c r="X203" t="inlineStr">
        <is>
          <t>1995-02-24</t>
        </is>
      </c>
      <c r="Y203" t="n">
        <v>750</v>
      </c>
      <c r="Z203" t="n">
        <v>708</v>
      </c>
      <c r="AA203" t="n">
        <v>763</v>
      </c>
      <c r="AB203" t="n">
        <v>8</v>
      </c>
      <c r="AC203" t="n">
        <v>8</v>
      </c>
      <c r="AD203" t="n">
        <v>14</v>
      </c>
      <c r="AE203" t="n">
        <v>18</v>
      </c>
      <c r="AF203" t="n">
        <v>7</v>
      </c>
      <c r="AG203" t="n">
        <v>8</v>
      </c>
      <c r="AH203" t="n">
        <v>3</v>
      </c>
      <c r="AI203" t="n">
        <v>4</v>
      </c>
      <c r="AJ203" t="n">
        <v>3</v>
      </c>
      <c r="AK203" t="n">
        <v>6</v>
      </c>
      <c r="AL203" t="n">
        <v>4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HYPERLINK("http://catalog.hathitrust.org/Record/001489949","HathiTrust Record")</f>
        <v/>
      </c>
      <c r="AS203">
        <f>HYPERLINK("https://creighton-primo.hosted.exlibrisgroup.com/primo-explore/search?tab=default_tab&amp;search_scope=EVERYTHING&amp;vid=01CRU&amp;lang=en_US&amp;offset=0&amp;query=any,contains,991003178919702656","Catalog Record")</f>
        <v/>
      </c>
      <c r="AT203">
        <f>HYPERLINK("http://www.worldcat.org/oclc/711335","WorldCat Record")</f>
        <v/>
      </c>
      <c r="AU203" t="inlineStr">
        <is>
          <t>1482995:eng</t>
        </is>
      </c>
      <c r="AV203" t="inlineStr">
        <is>
          <t>711335</t>
        </is>
      </c>
      <c r="AW203" t="inlineStr">
        <is>
          <t>991003178919702656</t>
        </is>
      </c>
      <c r="AX203" t="inlineStr">
        <is>
          <t>991003178919702656</t>
        </is>
      </c>
      <c r="AY203" t="inlineStr">
        <is>
          <t>2264002750002656</t>
        </is>
      </c>
      <c r="AZ203" t="inlineStr">
        <is>
          <t>BOOK</t>
        </is>
      </c>
      <c r="BC203" t="inlineStr">
        <is>
          <t>32285002010337</t>
        </is>
      </c>
      <c r="BD203" t="inlineStr">
        <is>
          <t>893330044</t>
        </is>
      </c>
    </row>
    <row r="204">
      <c r="A204" t="inlineStr">
        <is>
          <t>No</t>
        </is>
      </c>
      <c r="B204" t="inlineStr">
        <is>
          <t>QH31.D2 I7</t>
        </is>
      </c>
      <c r="C204" t="inlineStr">
        <is>
          <t>0                      QH 0031000D  2                  I  7</t>
        </is>
      </c>
      <c r="D204" t="inlineStr">
        <is>
          <t>Apes, angels, and Victorians; the story of Darwin, Huxley, and evolution.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Irvine, William, 1906-1964.</t>
        </is>
      </c>
      <c r="L204" t="inlineStr">
        <is>
          <t>New York, McGraw-Hill [1955]</t>
        </is>
      </c>
      <c r="M204" t="inlineStr">
        <is>
          <t>1955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QH </t>
        </is>
      </c>
      <c r="S204" t="n">
        <v>2</v>
      </c>
      <c r="T204" t="n">
        <v>2</v>
      </c>
      <c r="U204" t="inlineStr">
        <is>
          <t>2008-10-30</t>
        </is>
      </c>
      <c r="V204" t="inlineStr">
        <is>
          <t>2008-10-30</t>
        </is>
      </c>
      <c r="W204" t="inlineStr">
        <is>
          <t>1997-06-27</t>
        </is>
      </c>
      <c r="X204" t="inlineStr">
        <is>
          <t>1997-06-27</t>
        </is>
      </c>
      <c r="Y204" t="n">
        <v>1116</v>
      </c>
      <c r="Z204" t="n">
        <v>1034</v>
      </c>
      <c r="AA204" t="n">
        <v>1603</v>
      </c>
      <c r="AB204" t="n">
        <v>10</v>
      </c>
      <c r="AC204" t="n">
        <v>17</v>
      </c>
      <c r="AD204" t="n">
        <v>42</v>
      </c>
      <c r="AE204" t="n">
        <v>53</v>
      </c>
      <c r="AF204" t="n">
        <v>17</v>
      </c>
      <c r="AG204" t="n">
        <v>24</v>
      </c>
      <c r="AH204" t="n">
        <v>7</v>
      </c>
      <c r="AI204" t="n">
        <v>10</v>
      </c>
      <c r="AJ204" t="n">
        <v>20</v>
      </c>
      <c r="AK204" t="n">
        <v>23</v>
      </c>
      <c r="AL204" t="n">
        <v>7</v>
      </c>
      <c r="AM204" t="n">
        <v>9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R204">
        <f>HYPERLINK("http://catalog.hathitrust.org/Record/001489951","HathiTrust Record")</f>
        <v/>
      </c>
      <c r="AS204">
        <f>HYPERLINK("https://creighton-primo.hosted.exlibrisgroup.com/primo-explore/search?tab=default_tab&amp;search_scope=EVERYTHING&amp;vid=01CRU&amp;lang=en_US&amp;offset=0&amp;query=any,contains,991002956209702656","Catalog Record")</f>
        <v/>
      </c>
      <c r="AT204">
        <f>HYPERLINK("http://www.worldcat.org/oclc/542190","WorldCat Record")</f>
        <v/>
      </c>
      <c r="AU204" t="inlineStr">
        <is>
          <t>2286633378:eng</t>
        </is>
      </c>
      <c r="AV204" t="inlineStr">
        <is>
          <t>542190</t>
        </is>
      </c>
      <c r="AW204" t="inlineStr">
        <is>
          <t>991002956209702656</t>
        </is>
      </c>
      <c r="AX204" t="inlineStr">
        <is>
          <t>991002956209702656</t>
        </is>
      </c>
      <c r="AY204" t="inlineStr">
        <is>
          <t>2266672030002656</t>
        </is>
      </c>
      <c r="AZ204" t="inlineStr">
        <is>
          <t>BOOK</t>
        </is>
      </c>
      <c r="BC204" t="inlineStr">
        <is>
          <t>32285002865078</t>
        </is>
      </c>
      <c r="BD204" t="inlineStr">
        <is>
          <t>893505024</t>
        </is>
      </c>
    </row>
    <row r="205">
      <c r="A205" t="inlineStr">
        <is>
          <t>No</t>
        </is>
      </c>
      <c r="B205" t="inlineStr">
        <is>
          <t>QH31.D2 M28</t>
        </is>
      </c>
      <c r="C205" t="inlineStr">
        <is>
          <t>0                      QH 0031000D  2                  M  28</t>
        </is>
      </c>
      <c r="D205" t="inlineStr">
        <is>
          <t>The young Darwin and his cultural circle : a study of influences which helped shape the language and logic of the first drafts of the theory of natural selection / Edward Manier.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Manier, Edward.</t>
        </is>
      </c>
      <c r="L205" t="inlineStr">
        <is>
          <t>Dordrecht, Holland ; Boston : D. Reidel Pub. Co., c1978.</t>
        </is>
      </c>
      <c r="M205" t="inlineStr">
        <is>
          <t>1978</t>
        </is>
      </c>
      <c r="O205" t="inlineStr">
        <is>
          <t>eng</t>
        </is>
      </c>
      <c r="P205" t="inlineStr">
        <is>
          <t xml:space="preserve">ne </t>
        </is>
      </c>
      <c r="Q205" t="inlineStr">
        <is>
          <t>Studies in the history of modern science ; v. 2</t>
        </is>
      </c>
      <c r="R205" t="inlineStr">
        <is>
          <t xml:space="preserve">QH </t>
        </is>
      </c>
      <c r="S205" t="n">
        <v>2</v>
      </c>
      <c r="T205" t="n">
        <v>2</v>
      </c>
      <c r="U205" t="inlineStr">
        <is>
          <t>1996-10-02</t>
        </is>
      </c>
      <c r="V205" t="inlineStr">
        <is>
          <t>1996-10-02</t>
        </is>
      </c>
      <c r="W205" t="inlineStr">
        <is>
          <t>1994-10-25</t>
        </is>
      </c>
      <c r="X205" t="inlineStr">
        <is>
          <t>1994-10-25</t>
        </is>
      </c>
      <c r="Y205" t="n">
        <v>471</v>
      </c>
      <c r="Z205" t="n">
        <v>317</v>
      </c>
      <c r="AA205" t="n">
        <v>318</v>
      </c>
      <c r="AB205" t="n">
        <v>2</v>
      </c>
      <c r="AC205" t="n">
        <v>2</v>
      </c>
      <c r="AD205" t="n">
        <v>16</v>
      </c>
      <c r="AE205" t="n">
        <v>16</v>
      </c>
      <c r="AF205" t="n">
        <v>4</v>
      </c>
      <c r="AG205" t="n">
        <v>4</v>
      </c>
      <c r="AH205" t="n">
        <v>4</v>
      </c>
      <c r="AI205" t="n">
        <v>4</v>
      </c>
      <c r="AJ205" t="n">
        <v>11</v>
      </c>
      <c r="AK205" t="n">
        <v>11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HYPERLINK("http://catalog.hathitrust.org/Record/000087398","HathiTrust Record")</f>
        <v/>
      </c>
      <c r="AS205">
        <f>HYPERLINK("https://creighton-primo.hosted.exlibrisgroup.com/primo-explore/search?tab=default_tab&amp;search_scope=EVERYTHING&amp;vid=01CRU&amp;lang=en_US&amp;offset=0&amp;query=any,contains,991004445309702656","Catalog Record")</f>
        <v/>
      </c>
      <c r="AT205">
        <f>HYPERLINK("http://www.worldcat.org/oclc/3481194","WorldCat Record")</f>
        <v/>
      </c>
      <c r="AU205" t="inlineStr">
        <is>
          <t>807375337:eng</t>
        </is>
      </c>
      <c r="AV205" t="inlineStr">
        <is>
          <t>3481194</t>
        </is>
      </c>
      <c r="AW205" t="inlineStr">
        <is>
          <t>991004445309702656</t>
        </is>
      </c>
      <c r="AX205" t="inlineStr">
        <is>
          <t>991004445309702656</t>
        </is>
      </c>
      <c r="AY205" t="inlineStr">
        <is>
          <t>2264455890002656</t>
        </is>
      </c>
      <c r="AZ205" t="inlineStr">
        <is>
          <t>BOOK</t>
        </is>
      </c>
      <c r="BB205" t="inlineStr">
        <is>
          <t>9789027708564</t>
        </is>
      </c>
      <c r="BC205" t="inlineStr">
        <is>
          <t>32285001963098</t>
        </is>
      </c>
      <c r="BD205" t="inlineStr">
        <is>
          <t>893628166</t>
        </is>
      </c>
    </row>
    <row r="206">
      <c r="A206" t="inlineStr">
        <is>
          <t>No</t>
        </is>
      </c>
      <c r="B206" t="inlineStr">
        <is>
          <t>QH31.D2 M4 1969</t>
        </is>
      </c>
      <c r="C206" t="inlineStr">
        <is>
          <t>0                      QH 0031000D  2                  M  4           1969</t>
        </is>
      </c>
      <c r="D206" t="inlineStr">
        <is>
          <t>Charles Darwin, pioneer in the theory of evolution / [by] H. E. L. Mellersh.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Mellersh, H. E. L.</t>
        </is>
      </c>
      <c r="L206" t="inlineStr">
        <is>
          <t>New York : Praeger, [1969, c1964]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Q206" t="inlineStr">
        <is>
          <t>Praeger pathfinder biographies</t>
        </is>
      </c>
      <c r="R206" t="inlineStr">
        <is>
          <t xml:space="preserve">QH </t>
        </is>
      </c>
      <c r="S206" t="n">
        <v>4</v>
      </c>
      <c r="T206" t="n">
        <v>4</v>
      </c>
      <c r="U206" t="inlineStr">
        <is>
          <t>2007-12-08</t>
        </is>
      </c>
      <c r="V206" t="inlineStr">
        <is>
          <t>2007-12-08</t>
        </is>
      </c>
      <c r="W206" t="inlineStr">
        <is>
          <t>1995-02-24</t>
        </is>
      </c>
      <c r="X206" t="inlineStr">
        <is>
          <t>1995-02-24</t>
        </is>
      </c>
      <c r="Y206" t="n">
        <v>146</v>
      </c>
      <c r="Z206" t="n">
        <v>136</v>
      </c>
      <c r="AA206" t="n">
        <v>188</v>
      </c>
      <c r="AB206" t="n">
        <v>2</v>
      </c>
      <c r="AC206" t="n">
        <v>2</v>
      </c>
      <c r="AD206" t="n">
        <v>2</v>
      </c>
      <c r="AE206" t="n">
        <v>4</v>
      </c>
      <c r="AF206" t="n">
        <v>0</v>
      </c>
      <c r="AG206" t="n">
        <v>0</v>
      </c>
      <c r="AH206" t="n">
        <v>1</v>
      </c>
      <c r="AI206" t="n">
        <v>2</v>
      </c>
      <c r="AJ206" t="n">
        <v>1</v>
      </c>
      <c r="AK206" t="n">
        <v>3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HYPERLINK("http://catalog.hathitrust.org/Record/001489955","HathiTrust Record")</f>
        <v/>
      </c>
      <c r="AS206">
        <f>HYPERLINK("https://creighton-primo.hosted.exlibrisgroup.com/primo-explore/search?tab=default_tab&amp;search_scope=EVERYTHING&amp;vid=01CRU&amp;lang=en_US&amp;offset=0&amp;query=any,contains,991000002069702656","Catalog Record")</f>
        <v/>
      </c>
      <c r="AT206">
        <f>HYPERLINK("http://www.worldcat.org/oclc/10887","WorldCat Record")</f>
        <v/>
      </c>
      <c r="AU206" t="inlineStr">
        <is>
          <t>1133977:eng</t>
        </is>
      </c>
      <c r="AV206" t="inlineStr">
        <is>
          <t>10887</t>
        </is>
      </c>
      <c r="AW206" t="inlineStr">
        <is>
          <t>991000002069702656</t>
        </is>
      </c>
      <c r="AX206" t="inlineStr">
        <is>
          <t>991000002069702656</t>
        </is>
      </c>
      <c r="AY206" t="inlineStr">
        <is>
          <t>2268013330002656</t>
        </is>
      </c>
      <c r="AZ206" t="inlineStr">
        <is>
          <t>BOOK</t>
        </is>
      </c>
      <c r="BC206" t="inlineStr">
        <is>
          <t>32285002010329</t>
        </is>
      </c>
      <c r="BD206" t="inlineStr">
        <is>
          <t>893796313</t>
        </is>
      </c>
    </row>
    <row r="207">
      <c r="A207" t="inlineStr">
        <is>
          <t>No</t>
        </is>
      </c>
      <c r="B207" t="inlineStr">
        <is>
          <t>QH31.D2 M59 1994</t>
        </is>
      </c>
      <c r="C207" t="inlineStr">
        <is>
          <t>0                      QH 0031000D  2                  M  59          1994</t>
        </is>
      </c>
      <c r="D207" t="inlineStr">
        <is>
          <t>The Darwin legend / James Moore.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Moore, James R. (James Richard), 1947-</t>
        </is>
      </c>
      <c r="L207" t="inlineStr">
        <is>
          <t>Grand Rapids, Mich. : Baker Books, c1994.</t>
        </is>
      </c>
      <c r="M207" t="inlineStr">
        <is>
          <t>1994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QH </t>
        </is>
      </c>
      <c r="S207" t="n">
        <v>4</v>
      </c>
      <c r="T207" t="n">
        <v>4</v>
      </c>
      <c r="U207" t="inlineStr">
        <is>
          <t>2009-02-24</t>
        </is>
      </c>
      <c r="V207" t="inlineStr">
        <is>
          <t>2009-02-24</t>
        </is>
      </c>
      <c r="W207" t="inlineStr">
        <is>
          <t>2005-03-14</t>
        </is>
      </c>
      <c r="X207" t="inlineStr">
        <is>
          <t>2005-03-14</t>
        </is>
      </c>
      <c r="Y207" t="n">
        <v>254</v>
      </c>
      <c r="Z207" t="n">
        <v>221</v>
      </c>
      <c r="AA207" t="n">
        <v>226</v>
      </c>
      <c r="AB207" t="n">
        <v>3</v>
      </c>
      <c r="AC207" t="n">
        <v>3</v>
      </c>
      <c r="AD207" t="n">
        <v>5</v>
      </c>
      <c r="AE207" t="n">
        <v>5</v>
      </c>
      <c r="AF207" t="n">
        <v>1</v>
      </c>
      <c r="AG207" t="n">
        <v>1</v>
      </c>
      <c r="AH207" t="n">
        <v>1</v>
      </c>
      <c r="AI207" t="n">
        <v>1</v>
      </c>
      <c r="AJ207" t="n">
        <v>3</v>
      </c>
      <c r="AK207" t="n">
        <v>3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HYPERLINK("http://catalog.hathitrust.org/Record/003014801","HathiTrust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HYPERLINK("https://creighton-primo.hosted.exlibrisgroup.com/primo-explore/search?tab=default_tab&amp;search_scope=EVERYTHING&amp;vid=01CRU&amp;lang=en_US&amp;offset=0&amp;query=any,contains,991004488599702656","Catalog Record")</f>
        <v/>
      </c>
      <c r="AT207">
        <f>HYPERLINK("http://www.worldcat.org/oclc/31374847","WorldCat Record")</f>
        <v/>
      </c>
      <c r="AU207" t="inlineStr">
        <is>
          <t>198102908:eng</t>
        </is>
      </c>
      <c r="AV207" t="inlineStr">
        <is>
          <t>31374847</t>
        </is>
      </c>
      <c r="AW207" t="inlineStr">
        <is>
          <t>991004488599702656</t>
        </is>
      </c>
      <c r="AX207" t="inlineStr">
        <is>
          <t>991004488599702656</t>
        </is>
      </c>
      <c r="AY207" t="inlineStr">
        <is>
          <t>2256433030002656</t>
        </is>
      </c>
      <c r="AZ207" t="inlineStr">
        <is>
          <t>BOOK</t>
        </is>
      </c>
      <c r="BB207" t="inlineStr">
        <is>
          <t>9780801063213</t>
        </is>
      </c>
      <c r="BC207" t="inlineStr">
        <is>
          <t>32285005040828</t>
        </is>
      </c>
      <c r="BD207" t="inlineStr">
        <is>
          <t>893776070</t>
        </is>
      </c>
    </row>
    <row r="208">
      <c r="A208" t="inlineStr">
        <is>
          <t>No</t>
        </is>
      </c>
      <c r="B208" t="inlineStr">
        <is>
          <t>QH31.D2 M6</t>
        </is>
      </c>
      <c r="C208" t="inlineStr">
        <is>
          <t>0                      QH 0031000D  2                  M  6</t>
        </is>
      </c>
      <c r="D208" t="inlineStr">
        <is>
          <t>Charles Darwin : a great life in brief.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Moore, Ruth E., 1908-1989.</t>
        </is>
      </c>
      <c r="L208" t="inlineStr">
        <is>
          <t>New York : Knopf, 1955 [c1954]</t>
        </is>
      </c>
      <c r="M208" t="inlineStr">
        <is>
          <t>1955</t>
        </is>
      </c>
      <c r="N208" t="inlineStr">
        <is>
          <t>[1st ed.]</t>
        </is>
      </c>
      <c r="O208" t="inlineStr">
        <is>
          <t>eng</t>
        </is>
      </c>
      <c r="P208" t="inlineStr">
        <is>
          <t>nyu</t>
        </is>
      </c>
      <c r="Q208" t="inlineStr">
        <is>
          <t>Great lives in brief, a new series of biographies</t>
        </is>
      </c>
      <c r="R208" t="inlineStr">
        <is>
          <t xml:space="preserve">QH </t>
        </is>
      </c>
      <c r="S208" t="n">
        <v>4</v>
      </c>
      <c r="T208" t="n">
        <v>4</v>
      </c>
      <c r="U208" t="inlineStr">
        <is>
          <t>1993-12-03</t>
        </is>
      </c>
      <c r="V208" t="inlineStr">
        <is>
          <t>1993-12-03</t>
        </is>
      </c>
      <c r="W208" t="inlineStr">
        <is>
          <t>1992-01-30</t>
        </is>
      </c>
      <c r="X208" t="inlineStr">
        <is>
          <t>1992-01-30</t>
        </is>
      </c>
      <c r="Y208" t="n">
        <v>632</v>
      </c>
      <c r="Z208" t="n">
        <v>605</v>
      </c>
      <c r="AA208" t="n">
        <v>678</v>
      </c>
      <c r="AB208" t="n">
        <v>9</v>
      </c>
      <c r="AC208" t="n">
        <v>9</v>
      </c>
      <c r="AD208" t="n">
        <v>15</v>
      </c>
      <c r="AE208" t="n">
        <v>17</v>
      </c>
      <c r="AF208" t="n">
        <v>5</v>
      </c>
      <c r="AG208" t="n">
        <v>6</v>
      </c>
      <c r="AH208" t="n">
        <v>1</v>
      </c>
      <c r="AI208" t="n">
        <v>3</v>
      </c>
      <c r="AJ208" t="n">
        <v>3</v>
      </c>
      <c r="AK208" t="n">
        <v>4</v>
      </c>
      <c r="AL208" t="n">
        <v>6</v>
      </c>
      <c r="AM208" t="n">
        <v>6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HYPERLINK("http://catalog.hathitrust.org/Record/001489956","HathiTrust Record")</f>
        <v/>
      </c>
      <c r="AS208">
        <f>HYPERLINK("https://creighton-primo.hosted.exlibrisgroup.com/primo-explore/search?tab=default_tab&amp;search_scope=EVERYTHING&amp;vid=01CRU&amp;lang=en_US&amp;offset=0&amp;query=any,contains,991003132419702656","Catalog Record")</f>
        <v/>
      </c>
      <c r="AT208">
        <f>HYPERLINK("http://www.worldcat.org/oclc/675287","WorldCat Record")</f>
        <v/>
      </c>
      <c r="AU208" t="inlineStr">
        <is>
          <t>496709073:eng</t>
        </is>
      </c>
      <c r="AV208" t="inlineStr">
        <is>
          <t>675287</t>
        </is>
      </c>
      <c r="AW208" t="inlineStr">
        <is>
          <t>991003132419702656</t>
        </is>
      </c>
      <c r="AX208" t="inlineStr">
        <is>
          <t>991003132419702656</t>
        </is>
      </c>
      <c r="AY208" t="inlineStr">
        <is>
          <t>2267366080002656</t>
        </is>
      </c>
      <c r="AZ208" t="inlineStr">
        <is>
          <t>BOOK</t>
        </is>
      </c>
      <c r="BC208" t="inlineStr">
        <is>
          <t>32285000930502</t>
        </is>
      </c>
      <c r="BD208" t="inlineStr">
        <is>
          <t>893434676</t>
        </is>
      </c>
    </row>
    <row r="209">
      <c r="A209" t="inlineStr">
        <is>
          <t>No</t>
        </is>
      </c>
      <c r="B209" t="inlineStr">
        <is>
          <t>QH31.D2 M62 1969b</t>
        </is>
      </c>
      <c r="C209" t="inlineStr">
        <is>
          <t>0                      QH 0031000D  2                  M  62          1969b</t>
        </is>
      </c>
      <c r="D209" t="inlineStr">
        <is>
          <t>Darwin and the Beagle.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Moorehead, Alan, 1910-1983.</t>
        </is>
      </c>
      <c r="L209" t="inlineStr">
        <is>
          <t>New York : Harper &amp; Row,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QH </t>
        </is>
      </c>
      <c r="S209" t="n">
        <v>5</v>
      </c>
      <c r="T209" t="n">
        <v>5</v>
      </c>
      <c r="U209" t="inlineStr">
        <is>
          <t>2002-10-03</t>
        </is>
      </c>
      <c r="V209" t="inlineStr">
        <is>
          <t>2002-10-03</t>
        </is>
      </c>
      <c r="W209" t="inlineStr">
        <is>
          <t>1993-12-14</t>
        </is>
      </c>
      <c r="X209" t="inlineStr">
        <is>
          <t>1993-12-14</t>
        </is>
      </c>
      <c r="Y209" t="n">
        <v>1787</v>
      </c>
      <c r="Z209" t="n">
        <v>1729</v>
      </c>
      <c r="AA209" t="n">
        <v>1961</v>
      </c>
      <c r="AB209" t="n">
        <v>14</v>
      </c>
      <c r="AC209" t="n">
        <v>15</v>
      </c>
      <c r="AD209" t="n">
        <v>40</v>
      </c>
      <c r="AE209" t="n">
        <v>45</v>
      </c>
      <c r="AF209" t="n">
        <v>15</v>
      </c>
      <c r="AG209" t="n">
        <v>17</v>
      </c>
      <c r="AH209" t="n">
        <v>7</v>
      </c>
      <c r="AI209" t="n">
        <v>7</v>
      </c>
      <c r="AJ209" t="n">
        <v>20</v>
      </c>
      <c r="AK209" t="n">
        <v>24</v>
      </c>
      <c r="AL209" t="n">
        <v>8</v>
      </c>
      <c r="AM209" t="n">
        <v>8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HYPERLINK("http://catalog.hathitrust.org/Record/001489957","HathiTrust Record")</f>
        <v/>
      </c>
      <c r="AS209">
        <f>HYPERLINK("https://creighton-primo.hosted.exlibrisgroup.com/primo-explore/search?tab=default_tab&amp;search_scope=EVERYTHING&amp;vid=01CRU&amp;lang=en_US&amp;offset=0&amp;query=any,contains,991000100749702656","Catalog Record")</f>
        <v/>
      </c>
      <c r="AT209">
        <f>HYPERLINK("http://www.worldcat.org/oclc/44456","WorldCat Record")</f>
        <v/>
      </c>
      <c r="AU209" t="inlineStr">
        <is>
          <t>62740149:eng</t>
        </is>
      </c>
      <c r="AV209" t="inlineStr">
        <is>
          <t>44456</t>
        </is>
      </c>
      <c r="AW209" t="inlineStr">
        <is>
          <t>991000100749702656</t>
        </is>
      </c>
      <c r="AX209" t="inlineStr">
        <is>
          <t>991000100749702656</t>
        </is>
      </c>
      <c r="AY209" t="inlineStr">
        <is>
          <t>2260977120002656</t>
        </is>
      </c>
      <c r="AZ209" t="inlineStr">
        <is>
          <t>BOOK</t>
        </is>
      </c>
      <c r="BC209" t="inlineStr">
        <is>
          <t>32285001808319</t>
        </is>
      </c>
      <c r="BD209" t="inlineStr">
        <is>
          <t>893508517</t>
        </is>
      </c>
    </row>
    <row r="210">
      <c r="A210" t="inlineStr">
        <is>
          <t>No</t>
        </is>
      </c>
      <c r="B210" t="inlineStr">
        <is>
          <t>QH31.D2 N53 1989</t>
        </is>
      </c>
      <c r="C210" t="inlineStr">
        <is>
          <t>0                      QH 0031000D  2                  N  53          1989</t>
        </is>
      </c>
      <c r="D210" t="inlineStr">
        <is>
          <t>Charles Darwin in Australia : with illustrations and additional commentary by other members of the Beagle's company including Conrad Martens, Augustus Earle, Captain FitzRoy, Philip Gidley King, and Syms Covington / by F.W. and J.M. Nicholas.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Nicholas, F. W.</t>
        </is>
      </c>
      <c r="L210" t="inlineStr">
        <is>
          <t>Cambridge ; New York, NY, USA : Cambridge University Press, 1989.</t>
        </is>
      </c>
      <c r="M210" t="inlineStr">
        <is>
          <t>1989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QH </t>
        </is>
      </c>
      <c r="S210" t="n">
        <v>3</v>
      </c>
      <c r="T210" t="n">
        <v>3</v>
      </c>
      <c r="U210" t="inlineStr">
        <is>
          <t>1993-12-05</t>
        </is>
      </c>
      <c r="V210" t="inlineStr">
        <is>
          <t>1993-12-05</t>
        </is>
      </c>
      <c r="W210" t="inlineStr">
        <is>
          <t>1989-12-18</t>
        </is>
      </c>
      <c r="X210" t="inlineStr">
        <is>
          <t>1989-12-18</t>
        </is>
      </c>
      <c r="Y210" t="n">
        <v>211</v>
      </c>
      <c r="Z210" t="n">
        <v>174</v>
      </c>
      <c r="AA210" t="n">
        <v>221</v>
      </c>
      <c r="AB210" t="n">
        <v>2</v>
      </c>
      <c r="AC210" t="n">
        <v>2</v>
      </c>
      <c r="AD210" t="n">
        <v>3</v>
      </c>
      <c r="AE210" t="n">
        <v>6</v>
      </c>
      <c r="AF210" t="n">
        <v>0</v>
      </c>
      <c r="AG210" t="n">
        <v>1</v>
      </c>
      <c r="AH210" t="n">
        <v>1</v>
      </c>
      <c r="AI210" t="n">
        <v>3</v>
      </c>
      <c r="AJ210" t="n">
        <v>2</v>
      </c>
      <c r="AK210" t="n">
        <v>4</v>
      </c>
      <c r="AL210" t="n">
        <v>1</v>
      </c>
      <c r="AM210" t="n">
        <v>1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HYPERLINK("https://creighton-primo.hosted.exlibrisgroup.com/primo-explore/search?tab=default_tab&amp;search_scope=EVERYTHING&amp;vid=01CRU&amp;lang=en_US&amp;offset=0&amp;query=any,contains,991001306849702656","Catalog Record")</f>
        <v/>
      </c>
      <c r="AT210">
        <f>HYPERLINK("http://www.worldcat.org/oclc/18106641","WorldCat Record")</f>
        <v/>
      </c>
      <c r="AU210" t="inlineStr">
        <is>
          <t>5535535006:eng</t>
        </is>
      </c>
      <c r="AV210" t="inlineStr">
        <is>
          <t>18106641</t>
        </is>
      </c>
      <c r="AW210" t="inlineStr">
        <is>
          <t>991001306849702656</t>
        </is>
      </c>
      <c r="AX210" t="inlineStr">
        <is>
          <t>991001306849702656</t>
        </is>
      </c>
      <c r="AY210" t="inlineStr">
        <is>
          <t>2257736910002656</t>
        </is>
      </c>
      <c r="AZ210" t="inlineStr">
        <is>
          <t>BOOK</t>
        </is>
      </c>
      <c r="BB210" t="inlineStr">
        <is>
          <t>9780521343589</t>
        </is>
      </c>
      <c r="BC210" t="inlineStr">
        <is>
          <t>32285000018514</t>
        </is>
      </c>
      <c r="BD210" t="inlineStr">
        <is>
          <t>893690525</t>
        </is>
      </c>
    </row>
    <row r="211">
      <c r="A211" t="inlineStr">
        <is>
          <t>No</t>
        </is>
      </c>
      <c r="B211" t="inlineStr">
        <is>
          <t>QH31.D2 O74</t>
        </is>
      </c>
      <c r="C211" t="inlineStr">
        <is>
          <t>0                      QH 0031000D  2                  O  74</t>
        </is>
      </c>
      <c r="D211" t="inlineStr">
        <is>
          <t>The development of Darwin's theory : natural history, natural theology, and natural selection, 1838-1859 / Dov Ospovat.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Ospovat, Dov.</t>
        </is>
      </c>
      <c r="L211" t="inlineStr">
        <is>
          <t>Cambridge ; New York : Cambridge University Press, 1981.</t>
        </is>
      </c>
      <c r="M211" t="inlineStr">
        <is>
          <t>1981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QH </t>
        </is>
      </c>
      <c r="S211" t="n">
        <v>9</v>
      </c>
      <c r="T211" t="n">
        <v>9</v>
      </c>
      <c r="U211" t="inlineStr">
        <is>
          <t>1995-09-25</t>
        </is>
      </c>
      <c r="V211" t="inlineStr">
        <is>
          <t>1995-09-25</t>
        </is>
      </c>
      <c r="W211" t="inlineStr">
        <is>
          <t>1993-03-05</t>
        </is>
      </c>
      <c r="X211" t="inlineStr">
        <is>
          <t>1993-03-05</t>
        </is>
      </c>
      <c r="Y211" t="n">
        <v>682</v>
      </c>
      <c r="Z211" t="n">
        <v>526</v>
      </c>
      <c r="AA211" t="n">
        <v>544</v>
      </c>
      <c r="AB211" t="n">
        <v>5</v>
      </c>
      <c r="AC211" t="n">
        <v>5</v>
      </c>
      <c r="AD211" t="n">
        <v>27</v>
      </c>
      <c r="AE211" t="n">
        <v>28</v>
      </c>
      <c r="AF211" t="n">
        <v>12</v>
      </c>
      <c r="AG211" t="n">
        <v>12</v>
      </c>
      <c r="AH211" t="n">
        <v>6</v>
      </c>
      <c r="AI211" t="n">
        <v>7</v>
      </c>
      <c r="AJ211" t="n">
        <v>14</v>
      </c>
      <c r="AK211" t="n">
        <v>15</v>
      </c>
      <c r="AL211" t="n">
        <v>4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HYPERLINK("https://creighton-primo.hosted.exlibrisgroup.com/primo-explore/search?tab=default_tab&amp;search_scope=EVERYTHING&amp;vid=01CRU&amp;lang=en_US&amp;offset=0&amp;query=any,contains,991005117989702656","Catalog Record")</f>
        <v/>
      </c>
      <c r="AT211">
        <f>HYPERLINK("http://www.worldcat.org/oclc/7464692","WorldCat Record")</f>
        <v/>
      </c>
      <c r="AU211" t="inlineStr">
        <is>
          <t>836672376:eng</t>
        </is>
      </c>
      <c r="AV211" t="inlineStr">
        <is>
          <t>7464692</t>
        </is>
      </c>
      <c r="AW211" t="inlineStr">
        <is>
          <t>991005117989702656</t>
        </is>
      </c>
      <c r="AX211" t="inlineStr">
        <is>
          <t>991005117989702656</t>
        </is>
      </c>
      <c r="AY211" t="inlineStr">
        <is>
          <t>2262283940002656</t>
        </is>
      </c>
      <c r="AZ211" t="inlineStr">
        <is>
          <t>BOOK</t>
        </is>
      </c>
      <c r="BB211" t="inlineStr">
        <is>
          <t>9780521238182</t>
        </is>
      </c>
      <c r="BC211" t="inlineStr">
        <is>
          <t>32285001550937</t>
        </is>
      </c>
      <c r="BD211" t="inlineStr">
        <is>
          <t>893332422</t>
        </is>
      </c>
    </row>
    <row r="212">
      <c r="A212" t="inlineStr">
        <is>
          <t>No</t>
        </is>
      </c>
      <c r="B212" t="inlineStr">
        <is>
          <t>QH31.D2 S57 2003</t>
        </is>
      </c>
      <c r="C212" t="inlineStr">
        <is>
          <t>0                      QH 0031000D  2                  S  57          2003</t>
        </is>
      </c>
      <c r="D212" t="inlineStr">
        <is>
          <t>The tree of life : a book depicting the life of Charles Darwin, naturalist, geologist &amp; thinker / by Peter Sís.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Sís, Peter, 1949-</t>
        </is>
      </c>
      <c r="L212" t="inlineStr">
        <is>
          <t>New York : Farrar Straus Giroux, 2003.</t>
        </is>
      </c>
      <c r="M212" t="inlineStr">
        <is>
          <t>2003</t>
        </is>
      </c>
      <c r="N212" t="inlineStr">
        <is>
          <t>1st ed.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QH </t>
        </is>
      </c>
      <c r="S212" t="n">
        <v>2</v>
      </c>
      <c r="T212" t="n">
        <v>2</v>
      </c>
      <c r="U212" t="inlineStr">
        <is>
          <t>2004-01-06</t>
        </is>
      </c>
      <c r="V212" t="inlineStr">
        <is>
          <t>2004-01-06</t>
        </is>
      </c>
      <c r="W212" t="inlineStr">
        <is>
          <t>2004-01-06</t>
        </is>
      </c>
      <c r="X212" t="inlineStr">
        <is>
          <t>2004-01-06</t>
        </is>
      </c>
      <c r="Y212" t="n">
        <v>1846</v>
      </c>
      <c r="Z212" t="n">
        <v>1813</v>
      </c>
      <c r="AA212" t="n">
        <v>1824</v>
      </c>
      <c r="AB212" t="n">
        <v>14</v>
      </c>
      <c r="AC212" t="n">
        <v>14</v>
      </c>
      <c r="AD212" t="n">
        <v>24</v>
      </c>
      <c r="AE212" t="n">
        <v>24</v>
      </c>
      <c r="AF212" t="n">
        <v>7</v>
      </c>
      <c r="AG212" t="n">
        <v>7</v>
      </c>
      <c r="AH212" t="n">
        <v>7</v>
      </c>
      <c r="AI212" t="n">
        <v>7</v>
      </c>
      <c r="AJ212" t="n">
        <v>12</v>
      </c>
      <c r="AK212" t="n">
        <v>12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HYPERLINK("https://creighton-primo.hosted.exlibrisgroup.com/primo-explore/search?tab=default_tab&amp;search_scope=EVERYTHING&amp;vid=01CRU&amp;lang=en_US&amp;offset=0&amp;query=any,contains,991004210689702656","Catalog Record")</f>
        <v/>
      </c>
      <c r="AT212">
        <f>HYPERLINK("http://www.worldcat.org/oclc/50960680","WorldCat Record")</f>
        <v/>
      </c>
      <c r="AU212" t="inlineStr">
        <is>
          <t>686789:eng</t>
        </is>
      </c>
      <c r="AV212" t="inlineStr">
        <is>
          <t>50960680</t>
        </is>
      </c>
      <c r="AW212" t="inlineStr">
        <is>
          <t>991004210689702656</t>
        </is>
      </c>
      <c r="AX212" t="inlineStr">
        <is>
          <t>991004210689702656</t>
        </is>
      </c>
      <c r="AY212" t="inlineStr">
        <is>
          <t>2256117540002656</t>
        </is>
      </c>
      <c r="AZ212" t="inlineStr">
        <is>
          <t>BOOK</t>
        </is>
      </c>
      <c r="BB212" t="inlineStr">
        <is>
          <t>9780374456283</t>
        </is>
      </c>
      <c r="BC212" t="inlineStr">
        <is>
          <t>32285004848577</t>
        </is>
      </c>
      <c r="BD212" t="inlineStr">
        <is>
          <t>893861568</t>
        </is>
      </c>
    </row>
    <row r="213">
      <c r="A213" t="inlineStr">
        <is>
          <t>No</t>
        </is>
      </c>
      <c r="B213" t="inlineStr">
        <is>
          <t>QH31.D2 W45 1938</t>
        </is>
      </c>
      <c r="C213" t="inlineStr">
        <is>
          <t>0                      QH 0031000D  2                  W  45          1938</t>
        </is>
      </c>
      <c r="D213" t="inlineStr">
        <is>
          <t>Charles Darwin, a portrait / by Geoffrey West [pseud.]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West, Geoffrey, 1900-</t>
        </is>
      </c>
      <c r="L213" t="inlineStr">
        <is>
          <t>New Haven : Yale University Press, 1938.</t>
        </is>
      </c>
      <c r="M213" t="inlineStr">
        <is>
          <t>1938</t>
        </is>
      </c>
      <c r="O213" t="inlineStr">
        <is>
          <t>eng</t>
        </is>
      </c>
      <c r="P213" t="inlineStr">
        <is>
          <t>ctu</t>
        </is>
      </c>
      <c r="R213" t="inlineStr">
        <is>
          <t xml:space="preserve">QH </t>
        </is>
      </c>
      <c r="S213" t="n">
        <v>13</v>
      </c>
      <c r="T213" t="n">
        <v>13</v>
      </c>
      <c r="U213" t="inlineStr">
        <is>
          <t>2001-11-08</t>
        </is>
      </c>
      <c r="V213" t="inlineStr">
        <is>
          <t>2001-11-08</t>
        </is>
      </c>
      <c r="W213" t="inlineStr">
        <is>
          <t>1993-12-21</t>
        </is>
      </c>
      <c r="X213" t="inlineStr">
        <is>
          <t>1993-12-21</t>
        </is>
      </c>
      <c r="Y213" t="n">
        <v>486</v>
      </c>
      <c r="Z213" t="n">
        <v>464</v>
      </c>
      <c r="AA213" t="n">
        <v>480</v>
      </c>
      <c r="AB213" t="n">
        <v>6</v>
      </c>
      <c r="AC213" t="n">
        <v>6</v>
      </c>
      <c r="AD213" t="n">
        <v>19</v>
      </c>
      <c r="AE213" t="n">
        <v>19</v>
      </c>
      <c r="AF213" t="n">
        <v>6</v>
      </c>
      <c r="AG213" t="n">
        <v>6</v>
      </c>
      <c r="AH213" t="n">
        <v>3</v>
      </c>
      <c r="AI213" t="n">
        <v>3</v>
      </c>
      <c r="AJ213" t="n">
        <v>8</v>
      </c>
      <c r="AK213" t="n">
        <v>8</v>
      </c>
      <c r="AL213" t="n">
        <v>5</v>
      </c>
      <c r="AM213" t="n">
        <v>5</v>
      </c>
      <c r="AN213" t="n">
        <v>0</v>
      </c>
      <c r="AO213" t="n">
        <v>0</v>
      </c>
      <c r="AP213" t="inlineStr">
        <is>
          <t>Yes</t>
        </is>
      </c>
      <c r="AQ213" t="inlineStr">
        <is>
          <t>No</t>
        </is>
      </c>
      <c r="AR213">
        <f>HYPERLINK("http://catalog.hathitrust.org/Record/001489964","HathiTrust Record")</f>
        <v/>
      </c>
      <c r="AS213">
        <f>HYPERLINK("https://creighton-primo.hosted.exlibrisgroup.com/primo-explore/search?tab=default_tab&amp;search_scope=EVERYTHING&amp;vid=01CRU&amp;lang=en_US&amp;offset=0&amp;query=any,contains,991003131469702656","Catalog Record")</f>
        <v/>
      </c>
      <c r="AT213">
        <f>HYPERLINK("http://www.worldcat.org/oclc/674644","WorldCat Record")</f>
        <v/>
      </c>
      <c r="AU213" t="inlineStr">
        <is>
          <t>1725373:eng</t>
        </is>
      </c>
      <c r="AV213" t="inlineStr">
        <is>
          <t>674644</t>
        </is>
      </c>
      <c r="AW213" t="inlineStr">
        <is>
          <t>991003131469702656</t>
        </is>
      </c>
      <c r="AX213" t="inlineStr">
        <is>
          <t>991003131469702656</t>
        </is>
      </c>
      <c r="AY213" t="inlineStr">
        <is>
          <t>2269408220002656</t>
        </is>
      </c>
      <c r="AZ213" t="inlineStr">
        <is>
          <t>BOOK</t>
        </is>
      </c>
      <c r="BC213" t="inlineStr">
        <is>
          <t>32285001825826</t>
        </is>
      </c>
      <c r="BD213" t="inlineStr">
        <is>
          <t>893617036</t>
        </is>
      </c>
    </row>
    <row r="214">
      <c r="A214" t="inlineStr">
        <is>
          <t>No</t>
        </is>
      </c>
      <c r="B214" t="inlineStr">
        <is>
          <t>QH31.D2 W52</t>
        </is>
      </c>
      <c r="C214" t="inlineStr">
        <is>
          <t>0                      QH 0031000D  2                  W  52</t>
        </is>
      </c>
      <c r="D214" t="inlineStr">
        <is>
          <t>Charles Darwin : the founder of the theory of evolution and natural selection.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Wichler, Gerhard.</t>
        </is>
      </c>
      <c r="L214" t="inlineStr">
        <is>
          <t>Oxford ; New York : Pergamon Press, 1961.</t>
        </is>
      </c>
      <c r="M214" t="inlineStr">
        <is>
          <t>1961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QH </t>
        </is>
      </c>
      <c r="S214" t="n">
        <v>11</v>
      </c>
      <c r="T214" t="n">
        <v>11</v>
      </c>
      <c r="U214" t="inlineStr">
        <is>
          <t>1996-09-30</t>
        </is>
      </c>
      <c r="V214" t="inlineStr">
        <is>
          <t>1996-09-30</t>
        </is>
      </c>
      <c r="W214" t="inlineStr">
        <is>
          <t>1993-12-08</t>
        </is>
      </c>
      <c r="X214" t="inlineStr">
        <is>
          <t>1993-12-08</t>
        </is>
      </c>
      <c r="Y214" t="n">
        <v>427</v>
      </c>
      <c r="Z214" t="n">
        <v>337</v>
      </c>
      <c r="AA214" t="n">
        <v>395</v>
      </c>
      <c r="AB214" t="n">
        <v>3</v>
      </c>
      <c r="AC214" t="n">
        <v>3</v>
      </c>
      <c r="AD214" t="n">
        <v>9</v>
      </c>
      <c r="AE214" t="n">
        <v>12</v>
      </c>
      <c r="AF214" t="n">
        <v>1</v>
      </c>
      <c r="AG214" t="n">
        <v>3</v>
      </c>
      <c r="AH214" t="n">
        <v>3</v>
      </c>
      <c r="AI214" t="n">
        <v>5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HYPERLINK("http://catalog.hathitrust.org/Record/007157040","HathiTrust Record")</f>
        <v/>
      </c>
      <c r="AS214">
        <f>HYPERLINK("https://creighton-primo.hosted.exlibrisgroup.com/primo-explore/search?tab=default_tab&amp;search_scope=EVERYTHING&amp;vid=01CRU&amp;lang=en_US&amp;offset=0&amp;query=any,contains,991003356659702656","Catalog Record")</f>
        <v/>
      </c>
      <c r="AT214">
        <f>HYPERLINK("http://www.worldcat.org/oclc/890411","WorldCat Record")</f>
        <v/>
      </c>
      <c r="AU214" t="inlineStr">
        <is>
          <t>376892335:eng</t>
        </is>
      </c>
      <c r="AV214" t="inlineStr">
        <is>
          <t>890411</t>
        </is>
      </c>
      <c r="AW214" t="inlineStr">
        <is>
          <t>991003356659702656</t>
        </is>
      </c>
      <c r="AX214" t="inlineStr">
        <is>
          <t>991003356659702656</t>
        </is>
      </c>
      <c r="AY214" t="inlineStr">
        <is>
          <t>2262297010002656</t>
        </is>
      </c>
      <c r="AZ214" t="inlineStr">
        <is>
          <t>BOOK</t>
        </is>
      </c>
      <c r="BC214" t="inlineStr">
        <is>
          <t>32285001806503</t>
        </is>
      </c>
      <c r="BD214" t="inlineStr">
        <is>
          <t>893598518</t>
        </is>
      </c>
    </row>
    <row r="215">
      <c r="A215" t="inlineStr">
        <is>
          <t>No</t>
        </is>
      </c>
      <c r="B215" t="inlineStr">
        <is>
          <t>QH31.D3 K5 1963</t>
        </is>
      </c>
      <c r="C215" t="inlineStr">
        <is>
          <t>0                      QH 0031000D  3                  K  5           1963</t>
        </is>
      </c>
      <c r="D215" t="inlineStr">
        <is>
          <t>Erasmus Darwin.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King-Hele, Desmond, 1927-</t>
        </is>
      </c>
      <c r="L215" t="inlineStr">
        <is>
          <t>London : Macmillan ; New York : St. Martin's Press, 1963.</t>
        </is>
      </c>
      <c r="M215" t="inlineStr">
        <is>
          <t>1963</t>
        </is>
      </c>
      <c r="O215" t="inlineStr">
        <is>
          <t>eng</t>
        </is>
      </c>
      <c r="P215" t="inlineStr">
        <is>
          <t>enk</t>
        </is>
      </c>
      <c r="R215" t="inlineStr">
        <is>
          <t xml:space="preserve">QH </t>
        </is>
      </c>
      <c r="S215" t="n">
        <v>3</v>
      </c>
      <c r="T215" t="n">
        <v>3</v>
      </c>
      <c r="U215" t="inlineStr">
        <is>
          <t>2010-01-04</t>
        </is>
      </c>
      <c r="V215" t="inlineStr">
        <is>
          <t>2010-01-04</t>
        </is>
      </c>
      <c r="W215" t="inlineStr">
        <is>
          <t>1994-01-04</t>
        </is>
      </c>
      <c r="X215" t="inlineStr">
        <is>
          <t>1994-01-04</t>
        </is>
      </c>
      <c r="Y215" t="n">
        <v>205</v>
      </c>
      <c r="Z215" t="n">
        <v>99</v>
      </c>
      <c r="AA215" t="n">
        <v>578</v>
      </c>
      <c r="AB215" t="n">
        <v>1</v>
      </c>
      <c r="AC215" t="n">
        <v>3</v>
      </c>
      <c r="AD215" t="n">
        <v>4</v>
      </c>
      <c r="AE215" t="n">
        <v>19</v>
      </c>
      <c r="AF215" t="n">
        <v>1</v>
      </c>
      <c r="AG215" t="n">
        <v>7</v>
      </c>
      <c r="AH215" t="n">
        <v>1</v>
      </c>
      <c r="AI215" t="n">
        <v>6</v>
      </c>
      <c r="AJ215" t="n">
        <v>3</v>
      </c>
      <c r="AK215" t="n">
        <v>11</v>
      </c>
      <c r="AL215" t="n">
        <v>0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HYPERLINK("http://catalog.hathitrust.org/Record/001489968","HathiTrust Record")</f>
        <v/>
      </c>
      <c r="AS215">
        <f>HYPERLINK("https://creighton-primo.hosted.exlibrisgroup.com/primo-explore/search?tab=default_tab&amp;search_scope=EVERYTHING&amp;vid=01CRU&amp;lang=en_US&amp;offset=0&amp;query=any,contains,991002984909702656","Catalog Record")</f>
        <v/>
      </c>
      <c r="AT215">
        <f>HYPERLINK("http://www.worldcat.org/oclc/557108","WorldCat Record")</f>
        <v/>
      </c>
      <c r="AU215" t="inlineStr">
        <is>
          <t>4919597636:eng</t>
        </is>
      </c>
      <c r="AV215" t="inlineStr">
        <is>
          <t>557108</t>
        </is>
      </c>
      <c r="AW215" t="inlineStr">
        <is>
          <t>991002984909702656</t>
        </is>
      </c>
      <c r="AX215" t="inlineStr">
        <is>
          <t>991002984909702656</t>
        </is>
      </c>
      <c r="AY215" t="inlineStr">
        <is>
          <t>2261250850002656</t>
        </is>
      </c>
      <c r="AZ215" t="inlineStr">
        <is>
          <t>BOOK</t>
        </is>
      </c>
      <c r="BC215" t="inlineStr">
        <is>
          <t>32285001827681</t>
        </is>
      </c>
      <c r="BD215" t="inlineStr">
        <is>
          <t>893530725</t>
        </is>
      </c>
    </row>
    <row r="216">
      <c r="A216" t="inlineStr">
        <is>
          <t>No</t>
        </is>
      </c>
      <c r="B216" t="inlineStr">
        <is>
          <t>QH31.D434 F573 1988</t>
        </is>
      </c>
      <c r="C216" t="inlineStr">
        <is>
          <t>0                      QH 0031000D  434                F  573         1988</t>
        </is>
      </c>
      <c r="D216" t="inlineStr">
        <is>
          <t>Thinking about science : Max Delbrück and the origins of molecular biology / Ernst Peter Fischer and Carol Lipson.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Fischer, Ernst Peter, 1947-</t>
        </is>
      </c>
      <c r="L216" t="inlineStr">
        <is>
          <t>New York : Norton, c1988.</t>
        </is>
      </c>
      <c r="M216" t="inlineStr">
        <is>
          <t>1988</t>
        </is>
      </c>
      <c r="N216" t="inlineStr">
        <is>
          <t>1st ed.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QH </t>
        </is>
      </c>
      <c r="S216" t="n">
        <v>2</v>
      </c>
      <c r="T216" t="n">
        <v>2</v>
      </c>
      <c r="U216" t="inlineStr">
        <is>
          <t>1994-09-29</t>
        </is>
      </c>
      <c r="V216" t="inlineStr">
        <is>
          <t>1994-09-29</t>
        </is>
      </c>
      <c r="W216" t="inlineStr">
        <is>
          <t>1990-07-03</t>
        </is>
      </c>
      <c r="X216" t="inlineStr">
        <is>
          <t>1990-07-03</t>
        </is>
      </c>
      <c r="Y216" t="n">
        <v>654</v>
      </c>
      <c r="Z216" t="n">
        <v>560</v>
      </c>
      <c r="AA216" t="n">
        <v>565</v>
      </c>
      <c r="AB216" t="n">
        <v>4</v>
      </c>
      <c r="AC216" t="n">
        <v>4</v>
      </c>
      <c r="AD216" t="n">
        <v>18</v>
      </c>
      <c r="AE216" t="n">
        <v>18</v>
      </c>
      <c r="AF216" t="n">
        <v>3</v>
      </c>
      <c r="AG216" t="n">
        <v>3</v>
      </c>
      <c r="AH216" t="n">
        <v>6</v>
      </c>
      <c r="AI216" t="n">
        <v>6</v>
      </c>
      <c r="AJ216" t="n">
        <v>10</v>
      </c>
      <c r="AK216" t="n">
        <v>10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HYPERLINK("https://creighton-primo.hosted.exlibrisgroup.com/primo-explore/search?tab=default_tab&amp;search_scope=EVERYTHING&amp;vid=01CRU&amp;lang=en_US&amp;offset=0&amp;query=any,contains,991001097939702656","Catalog Record")</f>
        <v/>
      </c>
      <c r="AT216">
        <f>HYPERLINK("http://www.worldcat.org/oclc/16277429","WorldCat Record")</f>
        <v/>
      </c>
      <c r="AU216" t="inlineStr">
        <is>
          <t>836688239:eng</t>
        </is>
      </c>
      <c r="AV216" t="inlineStr">
        <is>
          <t>16277429</t>
        </is>
      </c>
      <c r="AW216" t="inlineStr">
        <is>
          <t>991001097939702656</t>
        </is>
      </c>
      <c r="AX216" t="inlineStr">
        <is>
          <t>991001097939702656</t>
        </is>
      </c>
      <c r="AY216" t="inlineStr">
        <is>
          <t>2260876620002656</t>
        </is>
      </c>
      <c r="AZ216" t="inlineStr">
        <is>
          <t>BOOK</t>
        </is>
      </c>
      <c r="BB216" t="inlineStr">
        <is>
          <t>9780393025088</t>
        </is>
      </c>
      <c r="BC216" t="inlineStr">
        <is>
          <t>32285000225069</t>
        </is>
      </c>
      <c r="BD216" t="inlineStr">
        <is>
          <t>893509377</t>
        </is>
      </c>
    </row>
    <row r="217">
      <c r="A217" t="inlineStr">
        <is>
          <t>No</t>
        </is>
      </c>
      <c r="B217" t="inlineStr">
        <is>
          <t>QH31.G62 T49 2002</t>
        </is>
      </c>
      <c r="C217" t="inlineStr">
        <is>
          <t>0                      QH 0031000G  62                 T  49          2002</t>
        </is>
      </c>
      <c r="D217" t="inlineStr">
        <is>
          <t>Glimpses of the wonderful : the life of Philip Henry Gosse, 1810-1888 / Ann Thwaite.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Thwaite, Ann.</t>
        </is>
      </c>
      <c r="L217" t="inlineStr">
        <is>
          <t>London : Faber, 2002.</t>
        </is>
      </c>
      <c r="M217" t="inlineStr">
        <is>
          <t>2002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QH </t>
        </is>
      </c>
      <c r="S217" t="n">
        <v>1</v>
      </c>
      <c r="T217" t="n">
        <v>1</v>
      </c>
      <c r="U217" t="inlineStr">
        <is>
          <t>2006-04-05</t>
        </is>
      </c>
      <c r="V217" t="inlineStr">
        <is>
          <t>2006-04-05</t>
        </is>
      </c>
      <c r="W217" t="inlineStr">
        <is>
          <t>2006-02-06</t>
        </is>
      </c>
      <c r="X217" t="inlineStr">
        <is>
          <t>2006-02-06</t>
        </is>
      </c>
      <c r="Y217" t="n">
        <v>169</v>
      </c>
      <c r="Z217" t="n">
        <v>79</v>
      </c>
      <c r="AA217" t="n">
        <v>79</v>
      </c>
      <c r="AB217" t="n">
        <v>1</v>
      </c>
      <c r="AC217" t="n">
        <v>1</v>
      </c>
      <c r="AD217" t="n">
        <v>4</v>
      </c>
      <c r="AE217" t="n">
        <v>4</v>
      </c>
      <c r="AF217" t="n">
        <v>0</v>
      </c>
      <c r="AG217" t="n">
        <v>0</v>
      </c>
      <c r="AH217" t="n">
        <v>3</v>
      </c>
      <c r="AI217" t="n">
        <v>3</v>
      </c>
      <c r="AJ217" t="n">
        <v>3</v>
      </c>
      <c r="AK217" t="n">
        <v>3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HYPERLINK("https://creighton-primo.hosted.exlibrisgroup.com/primo-explore/search?tab=default_tab&amp;search_scope=EVERYTHING&amp;vid=01CRU&amp;lang=en_US&amp;offset=0&amp;query=any,contains,991004733569702656","Catalog Record")</f>
        <v/>
      </c>
      <c r="AT217">
        <f>HYPERLINK("http://www.worldcat.org/oclc/51033802","WorldCat Record")</f>
        <v/>
      </c>
      <c r="AU217" t="inlineStr">
        <is>
          <t>839618294:eng</t>
        </is>
      </c>
      <c r="AV217" t="inlineStr">
        <is>
          <t>51033802</t>
        </is>
      </c>
      <c r="AW217" t="inlineStr">
        <is>
          <t>991004733569702656</t>
        </is>
      </c>
      <c r="AX217" t="inlineStr">
        <is>
          <t>991004733569702656</t>
        </is>
      </c>
      <c r="AY217" t="inlineStr">
        <is>
          <t>2269371620002656</t>
        </is>
      </c>
      <c r="AZ217" t="inlineStr">
        <is>
          <t>BOOK</t>
        </is>
      </c>
      <c r="BB217" t="inlineStr">
        <is>
          <t>9780571193288</t>
        </is>
      </c>
      <c r="BC217" t="inlineStr">
        <is>
          <t>32285005180541</t>
        </is>
      </c>
      <c r="BD217" t="inlineStr">
        <is>
          <t>893532736</t>
        </is>
      </c>
    </row>
    <row r="218">
      <c r="A218" t="inlineStr">
        <is>
          <t>No</t>
        </is>
      </c>
      <c r="B218" t="inlineStr">
        <is>
          <t>QH31.H9 A85</t>
        </is>
      </c>
      <c r="C218" t="inlineStr">
        <is>
          <t>0                      QH 0031000H  9                  A  85</t>
        </is>
      </c>
      <c r="D218" t="inlineStr">
        <is>
          <t>Thomas Henry Huxley / by Albert Ashforth.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Ashforth, Albert.</t>
        </is>
      </c>
      <c r="L218" t="inlineStr">
        <is>
          <t>New York : Twayne Publishers, [c1969]</t>
        </is>
      </c>
      <c r="M218" t="inlineStr">
        <is>
          <t>1969</t>
        </is>
      </c>
      <c r="O218" t="inlineStr">
        <is>
          <t>eng</t>
        </is>
      </c>
      <c r="P218" t="inlineStr">
        <is>
          <t>nyu</t>
        </is>
      </c>
      <c r="Q218" t="inlineStr">
        <is>
          <t>Twayne's English authors series, 84</t>
        </is>
      </c>
      <c r="R218" t="inlineStr">
        <is>
          <t xml:space="preserve">QH </t>
        </is>
      </c>
      <c r="S218" t="n">
        <v>3</v>
      </c>
      <c r="T218" t="n">
        <v>3</v>
      </c>
      <c r="U218" t="inlineStr">
        <is>
          <t>2008-10-30</t>
        </is>
      </c>
      <c r="V218" t="inlineStr">
        <is>
          <t>2008-10-30</t>
        </is>
      </c>
      <c r="W218" t="inlineStr">
        <is>
          <t>1990-05-10</t>
        </is>
      </c>
      <c r="X218" t="inlineStr">
        <is>
          <t>1990-05-10</t>
        </is>
      </c>
      <c r="Y218" t="n">
        <v>814</v>
      </c>
      <c r="Z218" t="n">
        <v>742</v>
      </c>
      <c r="AA218" t="n">
        <v>838</v>
      </c>
      <c r="AB218" t="n">
        <v>7</v>
      </c>
      <c r="AC218" t="n">
        <v>7</v>
      </c>
      <c r="AD218" t="n">
        <v>33</v>
      </c>
      <c r="AE218" t="n">
        <v>36</v>
      </c>
      <c r="AF218" t="n">
        <v>12</v>
      </c>
      <c r="AG218" t="n">
        <v>13</v>
      </c>
      <c r="AH218" t="n">
        <v>6</v>
      </c>
      <c r="AI218" t="n">
        <v>7</v>
      </c>
      <c r="AJ218" t="n">
        <v>18</v>
      </c>
      <c r="AK218" t="n">
        <v>20</v>
      </c>
      <c r="AL218" t="n">
        <v>5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HYPERLINK("https://creighton-primo.hosted.exlibrisgroup.com/primo-explore/search?tab=default_tab&amp;search_scope=EVERYTHING&amp;vid=01CRU&amp;lang=en_US&amp;offset=0&amp;query=any,contains,991000958359702656","Catalog Record")</f>
        <v/>
      </c>
      <c r="AT218">
        <f>HYPERLINK("http://www.worldcat.org/oclc/168546","WorldCat Record")</f>
        <v/>
      </c>
      <c r="AU218" t="inlineStr">
        <is>
          <t>1289986:eng</t>
        </is>
      </c>
      <c r="AV218" t="inlineStr">
        <is>
          <t>168546</t>
        </is>
      </c>
      <c r="AW218" t="inlineStr">
        <is>
          <t>991000958359702656</t>
        </is>
      </c>
      <c r="AX218" t="inlineStr">
        <is>
          <t>991000958359702656</t>
        </is>
      </c>
      <c r="AY218" t="inlineStr">
        <is>
          <t>2261907100002656</t>
        </is>
      </c>
      <c r="AZ218" t="inlineStr">
        <is>
          <t>BOOK</t>
        </is>
      </c>
      <c r="BC218" t="inlineStr">
        <is>
          <t>32285000139203</t>
        </is>
      </c>
      <c r="BD218" t="inlineStr">
        <is>
          <t>893620966</t>
        </is>
      </c>
    </row>
    <row r="219">
      <c r="A219" t="inlineStr">
        <is>
          <t>No</t>
        </is>
      </c>
      <c r="B219" t="inlineStr">
        <is>
          <t>QH31.H9 B48 1972</t>
        </is>
      </c>
      <c r="C219" t="inlineStr">
        <is>
          <t>0                      QH 0031000H  9                  B  48          1972</t>
        </is>
      </c>
      <c r="D219" t="inlineStr">
        <is>
          <t>Scientist extraordinary : the life and scientific works of Thomas Henry Huxley, 1825-1895 / by Cyril Bibby.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Bibby, Cyril.</t>
        </is>
      </c>
      <c r="L219" t="inlineStr">
        <is>
          <t>Oxford ; New York : Pergamon Press, [1972]</t>
        </is>
      </c>
      <c r="M219" t="inlineStr">
        <is>
          <t>1972</t>
        </is>
      </c>
      <c r="N219" t="inlineStr">
        <is>
          <t>[1st ed.]</t>
        </is>
      </c>
      <c r="O219" t="inlineStr">
        <is>
          <t>eng</t>
        </is>
      </c>
      <c r="P219" t="inlineStr">
        <is>
          <t>enk</t>
        </is>
      </c>
      <c r="Q219" t="inlineStr">
        <is>
          <t>The Commonwealth and international library</t>
        </is>
      </c>
      <c r="R219" t="inlineStr">
        <is>
          <t xml:space="preserve">QH </t>
        </is>
      </c>
      <c r="S219" t="n">
        <v>3</v>
      </c>
      <c r="T219" t="n">
        <v>3</v>
      </c>
      <c r="U219" t="inlineStr">
        <is>
          <t>2008-10-30</t>
        </is>
      </c>
      <c r="V219" t="inlineStr">
        <is>
          <t>2008-10-30</t>
        </is>
      </c>
      <c r="W219" t="inlineStr">
        <is>
          <t>1990-05-10</t>
        </is>
      </c>
      <c r="X219" t="inlineStr">
        <is>
          <t>1990-05-10</t>
        </is>
      </c>
      <c r="Y219" t="n">
        <v>312</v>
      </c>
      <c r="Z219" t="n">
        <v>191</v>
      </c>
      <c r="AA219" t="n">
        <v>500</v>
      </c>
      <c r="AB219" t="n">
        <v>1</v>
      </c>
      <c r="AC219" t="n">
        <v>3</v>
      </c>
      <c r="AD219" t="n">
        <v>4</v>
      </c>
      <c r="AE219" t="n">
        <v>13</v>
      </c>
      <c r="AF219" t="n">
        <v>1</v>
      </c>
      <c r="AG219" t="n">
        <v>5</v>
      </c>
      <c r="AH219" t="n">
        <v>2</v>
      </c>
      <c r="AI219" t="n">
        <v>4</v>
      </c>
      <c r="AJ219" t="n">
        <v>2</v>
      </c>
      <c r="AK219" t="n">
        <v>6</v>
      </c>
      <c r="AL219" t="n">
        <v>0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HYPERLINK("https://creighton-primo.hosted.exlibrisgroup.com/primo-explore/search?tab=default_tab&amp;search_scope=EVERYTHING&amp;vid=01CRU&amp;lang=en_US&amp;offset=0&amp;query=any,contains,991002887239702656","Catalog Record")</f>
        <v/>
      </c>
      <c r="AT219">
        <f>HYPERLINK("http://www.worldcat.org/oclc/509399","WorldCat Record")</f>
        <v/>
      </c>
      <c r="AU219" t="inlineStr">
        <is>
          <t>906213812:eng</t>
        </is>
      </c>
      <c r="AV219" t="inlineStr">
        <is>
          <t>509399</t>
        </is>
      </c>
      <c r="AW219" t="inlineStr">
        <is>
          <t>991002887239702656</t>
        </is>
      </c>
      <c r="AX219" t="inlineStr">
        <is>
          <t>991002887239702656</t>
        </is>
      </c>
      <c r="AY219" t="inlineStr">
        <is>
          <t>2261572950002656</t>
        </is>
      </c>
      <c r="AZ219" t="inlineStr">
        <is>
          <t>BOOK</t>
        </is>
      </c>
      <c r="BB219" t="inlineStr">
        <is>
          <t>9780080165141</t>
        </is>
      </c>
      <c r="BC219" t="inlineStr">
        <is>
          <t>32285000139211</t>
        </is>
      </c>
      <c r="BD219" t="inlineStr">
        <is>
          <t>893786696</t>
        </is>
      </c>
    </row>
    <row r="220">
      <c r="A220" t="inlineStr">
        <is>
          <t>No</t>
        </is>
      </c>
      <c r="B220" t="inlineStr">
        <is>
          <t>QH31.H9 C6</t>
        </is>
      </c>
      <c r="C220" t="inlineStr">
        <is>
          <t>0                      QH 0031000H  9                  C  6</t>
        </is>
      </c>
      <c r="D220" t="inlineStr">
        <is>
          <t>Thomas Henry Huxley / by Edward Clodd.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Clodd, Edward, 1840-1930.</t>
        </is>
      </c>
      <c r="L220" t="inlineStr">
        <is>
          <t>Edinburgh : William Blackwood and Sons, 1902.</t>
        </is>
      </c>
      <c r="M220" t="inlineStr">
        <is>
          <t>1902</t>
        </is>
      </c>
      <c r="O220" t="inlineStr">
        <is>
          <t>eng</t>
        </is>
      </c>
      <c r="P220" t="inlineStr">
        <is>
          <t>stk</t>
        </is>
      </c>
      <c r="Q220" t="inlineStr">
        <is>
          <t>Modern English writers</t>
        </is>
      </c>
      <c r="R220" t="inlineStr">
        <is>
          <t xml:space="preserve">QH </t>
        </is>
      </c>
      <c r="S220" t="n">
        <v>2</v>
      </c>
      <c r="T220" t="n">
        <v>2</v>
      </c>
      <c r="U220" t="inlineStr">
        <is>
          <t>2008-10-30</t>
        </is>
      </c>
      <c r="V220" t="inlineStr">
        <is>
          <t>2008-10-30</t>
        </is>
      </c>
      <c r="W220" t="inlineStr">
        <is>
          <t>2000-01-11</t>
        </is>
      </c>
      <c r="X220" t="inlineStr">
        <is>
          <t>2000-01-11</t>
        </is>
      </c>
      <c r="Y220" t="n">
        <v>123</v>
      </c>
      <c r="Z220" t="n">
        <v>64</v>
      </c>
      <c r="AA220" t="n">
        <v>324</v>
      </c>
      <c r="AB220" t="n">
        <v>2</v>
      </c>
      <c r="AC220" t="n">
        <v>4</v>
      </c>
      <c r="AD220" t="n">
        <v>3</v>
      </c>
      <c r="AE220" t="n">
        <v>18</v>
      </c>
      <c r="AF220" t="n">
        <v>0</v>
      </c>
      <c r="AG220" t="n">
        <v>6</v>
      </c>
      <c r="AH220" t="n">
        <v>0</v>
      </c>
      <c r="AI220" t="n">
        <v>4</v>
      </c>
      <c r="AJ220" t="n">
        <v>2</v>
      </c>
      <c r="AK220" t="n">
        <v>7</v>
      </c>
      <c r="AL220" t="n">
        <v>1</v>
      </c>
      <c r="AM220" t="n">
        <v>3</v>
      </c>
      <c r="AN220" t="n">
        <v>0</v>
      </c>
      <c r="AO220" t="n">
        <v>1</v>
      </c>
      <c r="AP220" t="inlineStr">
        <is>
          <t>Yes</t>
        </is>
      </c>
      <c r="AQ220" t="inlineStr">
        <is>
          <t>No</t>
        </is>
      </c>
      <c r="AR220">
        <f>HYPERLINK("http://catalog.hathitrust.org/Record/007678959","HathiTrust Record")</f>
        <v/>
      </c>
      <c r="AS220">
        <f>HYPERLINK("https://creighton-primo.hosted.exlibrisgroup.com/primo-explore/search?tab=default_tab&amp;search_scope=EVERYTHING&amp;vid=01CRU&amp;lang=en_US&amp;offset=0&amp;query=any,contains,991003210229702656","Catalog Record")</f>
        <v/>
      </c>
      <c r="AT220">
        <f>HYPERLINK("http://www.worldcat.org/oclc/736513","WorldCat Record")</f>
        <v/>
      </c>
      <c r="AU220" t="inlineStr">
        <is>
          <t>1862269694:eng</t>
        </is>
      </c>
      <c r="AV220" t="inlineStr">
        <is>
          <t>736513</t>
        </is>
      </c>
      <c r="AW220" t="inlineStr">
        <is>
          <t>991003210229702656</t>
        </is>
      </c>
      <c r="AX220" t="inlineStr">
        <is>
          <t>991003210229702656</t>
        </is>
      </c>
      <c r="AY220" t="inlineStr">
        <is>
          <t>2254765120002656</t>
        </is>
      </c>
      <c r="AZ220" t="inlineStr">
        <is>
          <t>BOOK</t>
        </is>
      </c>
      <c r="BC220" t="inlineStr">
        <is>
          <t>32285003640629</t>
        </is>
      </c>
      <c r="BD220" t="inlineStr">
        <is>
          <t>893686303</t>
        </is>
      </c>
    </row>
    <row r="221">
      <c r="A221" t="inlineStr">
        <is>
          <t>No</t>
        </is>
      </c>
      <c r="B221" t="inlineStr">
        <is>
          <t>QH31.H9 I7</t>
        </is>
      </c>
      <c r="C221" t="inlineStr">
        <is>
          <t>0                      QH 0031000H  9                  I  7</t>
        </is>
      </c>
      <c r="D221" t="inlineStr">
        <is>
          <t>Thomas Henry Huxley.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Irvine, William, 1906-1964.</t>
        </is>
      </c>
      <c r="L221" t="inlineStr">
        <is>
          <t>[London] Published for the British Council by Longmans, Green [1960]</t>
        </is>
      </c>
      <c r="M221" t="inlineStr">
        <is>
          <t>1960</t>
        </is>
      </c>
      <c r="O221" t="inlineStr">
        <is>
          <t>eng</t>
        </is>
      </c>
      <c r="P221" t="inlineStr">
        <is>
          <t>enk</t>
        </is>
      </c>
      <c r="Q221" t="inlineStr">
        <is>
          <t>Bibliographical series of supplements to British book news on writers and their work ; no. 119</t>
        </is>
      </c>
      <c r="R221" t="inlineStr">
        <is>
          <t xml:space="preserve">QH </t>
        </is>
      </c>
      <c r="S221" t="n">
        <v>1</v>
      </c>
      <c r="T221" t="n">
        <v>1</v>
      </c>
      <c r="U221" t="inlineStr">
        <is>
          <t>2008-10-30</t>
        </is>
      </c>
      <c r="V221" t="inlineStr">
        <is>
          <t>2008-10-30</t>
        </is>
      </c>
      <c r="W221" t="inlineStr">
        <is>
          <t>1997-06-27</t>
        </is>
      </c>
      <c r="X221" t="inlineStr">
        <is>
          <t>1997-06-27</t>
        </is>
      </c>
      <c r="Y221" t="n">
        <v>606</v>
      </c>
      <c r="Z221" t="n">
        <v>463</v>
      </c>
      <c r="AA221" t="n">
        <v>472</v>
      </c>
      <c r="AB221" t="n">
        <v>4</v>
      </c>
      <c r="AC221" t="n">
        <v>4</v>
      </c>
      <c r="AD221" t="n">
        <v>26</v>
      </c>
      <c r="AE221" t="n">
        <v>27</v>
      </c>
      <c r="AF221" t="n">
        <v>11</v>
      </c>
      <c r="AG221" t="n">
        <v>11</v>
      </c>
      <c r="AH221" t="n">
        <v>6</v>
      </c>
      <c r="AI221" t="n">
        <v>6</v>
      </c>
      <c r="AJ221" t="n">
        <v>15</v>
      </c>
      <c r="AK221" t="n">
        <v>16</v>
      </c>
      <c r="AL221" t="n">
        <v>3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HYPERLINK("http://catalog.hathitrust.org/Record/001489992","HathiTrust Record")</f>
        <v/>
      </c>
      <c r="AS221">
        <f>HYPERLINK("https://creighton-primo.hosted.exlibrisgroup.com/primo-explore/search?tab=default_tab&amp;search_scope=EVERYTHING&amp;vid=01CRU&amp;lang=en_US&amp;offset=0&amp;query=any,contains,991003543189702656","Catalog Record")</f>
        <v/>
      </c>
      <c r="AT221">
        <f>HYPERLINK("http://www.worldcat.org/oclc/1108478","WorldCat Record")</f>
        <v/>
      </c>
      <c r="AU221" t="inlineStr">
        <is>
          <t>1780885:eng</t>
        </is>
      </c>
      <c r="AV221" t="inlineStr">
        <is>
          <t>1108478</t>
        </is>
      </c>
      <c r="AW221" t="inlineStr">
        <is>
          <t>991003543189702656</t>
        </is>
      </c>
      <c r="AX221" t="inlineStr">
        <is>
          <t>991003543189702656</t>
        </is>
      </c>
      <c r="AY221" t="inlineStr">
        <is>
          <t>2255085300002656</t>
        </is>
      </c>
      <c r="AZ221" t="inlineStr">
        <is>
          <t>BOOK</t>
        </is>
      </c>
      <c r="BC221" t="inlineStr">
        <is>
          <t>32285002865128</t>
        </is>
      </c>
      <c r="BD221" t="inlineStr">
        <is>
          <t>893598687</t>
        </is>
      </c>
    </row>
    <row r="222">
      <c r="A222" t="inlineStr">
        <is>
          <t>No</t>
        </is>
      </c>
      <c r="B222" t="inlineStr">
        <is>
          <t>QH31.K277 A37 1985</t>
        </is>
      </c>
      <c r="C222" t="inlineStr">
        <is>
          <t>0                      QH 0031000K  277                A  37          1985</t>
        </is>
      </c>
      <c r="D222" t="inlineStr">
        <is>
          <t>Radiant science, dark politics : a memoir of the nuclear age / Martin D. Kamen ; foreword by Edwin M. McMillan.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Kamen, Martin David, 1913-2002.</t>
        </is>
      </c>
      <c r="L222" t="inlineStr">
        <is>
          <t>Berkeley : University of California Press, c1985.</t>
        </is>
      </c>
      <c r="M222" t="inlineStr">
        <is>
          <t>1985</t>
        </is>
      </c>
      <c r="O222" t="inlineStr">
        <is>
          <t>eng</t>
        </is>
      </c>
      <c r="P222" t="inlineStr">
        <is>
          <t>cau</t>
        </is>
      </c>
      <c r="R222" t="inlineStr">
        <is>
          <t xml:space="preserve">QH </t>
        </is>
      </c>
      <c r="S222" t="n">
        <v>1</v>
      </c>
      <c r="T222" t="n">
        <v>1</v>
      </c>
      <c r="U222" t="inlineStr">
        <is>
          <t>1992-01-13</t>
        </is>
      </c>
      <c r="V222" t="inlineStr">
        <is>
          <t>1992-01-13</t>
        </is>
      </c>
      <c r="W222" t="inlineStr">
        <is>
          <t>1992-01-13</t>
        </is>
      </c>
      <c r="X222" t="inlineStr">
        <is>
          <t>1992-01-13</t>
        </is>
      </c>
      <c r="Y222" t="n">
        <v>557</v>
      </c>
      <c r="Z222" t="n">
        <v>482</v>
      </c>
      <c r="AA222" t="n">
        <v>499</v>
      </c>
      <c r="AB222" t="n">
        <v>4</v>
      </c>
      <c r="AC222" t="n">
        <v>4</v>
      </c>
      <c r="AD222" t="n">
        <v>17</v>
      </c>
      <c r="AE222" t="n">
        <v>17</v>
      </c>
      <c r="AF222" t="n">
        <v>5</v>
      </c>
      <c r="AG222" t="n">
        <v>5</v>
      </c>
      <c r="AH222" t="n">
        <v>3</v>
      </c>
      <c r="AI222" t="n">
        <v>3</v>
      </c>
      <c r="AJ222" t="n">
        <v>11</v>
      </c>
      <c r="AK222" t="n">
        <v>11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HYPERLINK("http://catalog.hathitrust.org/Record/000413257","HathiTrust Record")</f>
        <v/>
      </c>
      <c r="AS222">
        <f>HYPERLINK("https://creighton-primo.hosted.exlibrisgroup.com/primo-explore/search?tab=default_tab&amp;search_scope=EVERYTHING&amp;vid=01CRU&amp;lang=en_US&amp;offset=0&amp;query=any,contains,991000267099702656","Catalog Record")</f>
        <v/>
      </c>
      <c r="AT222">
        <f>HYPERLINK("http://www.worldcat.org/oclc/9830883","WorldCat Record")</f>
        <v/>
      </c>
      <c r="AU222" t="inlineStr">
        <is>
          <t>364478951:eng</t>
        </is>
      </c>
      <c r="AV222" t="inlineStr">
        <is>
          <t>9830883</t>
        </is>
      </c>
      <c r="AW222" t="inlineStr">
        <is>
          <t>991000267099702656</t>
        </is>
      </c>
      <c r="AX222" t="inlineStr">
        <is>
          <t>991000267099702656</t>
        </is>
      </c>
      <c r="AY222" t="inlineStr">
        <is>
          <t>2255428970002656</t>
        </is>
      </c>
      <c r="AZ222" t="inlineStr">
        <is>
          <t>BOOK</t>
        </is>
      </c>
      <c r="BB222" t="inlineStr">
        <is>
          <t>9780520049291</t>
        </is>
      </c>
      <c r="BC222" t="inlineStr">
        <is>
          <t>32285000913896</t>
        </is>
      </c>
      <c r="BD222" t="inlineStr">
        <is>
          <t>893431830</t>
        </is>
      </c>
    </row>
    <row r="223">
      <c r="A223" t="inlineStr">
        <is>
          <t>No</t>
        </is>
      </c>
      <c r="B223" t="inlineStr">
        <is>
          <t>QH31.K28 K6 1972</t>
        </is>
      </c>
      <c r="C223" t="inlineStr">
        <is>
          <t>0                      QH 0031000K  28                 K  6           1972</t>
        </is>
      </c>
      <c r="D223" t="inlineStr">
        <is>
          <t>The case of the midwife toad.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Koestler, Arthur, 1905-1983.</t>
        </is>
      </c>
      <c r="L223" t="inlineStr">
        <is>
          <t>New York, Random House [1972, c1971]</t>
        </is>
      </c>
      <c r="M223" t="inlineStr">
        <is>
          <t>1972</t>
        </is>
      </c>
      <c r="N223" t="inlineStr">
        <is>
          <t>[1st American ed.]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QH </t>
        </is>
      </c>
      <c r="S223" t="n">
        <v>2</v>
      </c>
      <c r="T223" t="n">
        <v>2</v>
      </c>
      <c r="U223" t="inlineStr">
        <is>
          <t>1997-07-14</t>
        </is>
      </c>
      <c r="V223" t="inlineStr">
        <is>
          <t>1997-07-14</t>
        </is>
      </c>
      <c r="W223" t="inlineStr">
        <is>
          <t>1997-06-27</t>
        </is>
      </c>
      <c r="X223" t="inlineStr">
        <is>
          <t>1997-06-27</t>
        </is>
      </c>
      <c r="Y223" t="n">
        <v>740</v>
      </c>
      <c r="Z223" t="n">
        <v>700</v>
      </c>
      <c r="AA223" t="n">
        <v>945</v>
      </c>
      <c r="AB223" t="n">
        <v>3</v>
      </c>
      <c r="AC223" t="n">
        <v>4</v>
      </c>
      <c r="AD223" t="n">
        <v>17</v>
      </c>
      <c r="AE223" t="n">
        <v>22</v>
      </c>
      <c r="AF223" t="n">
        <v>6</v>
      </c>
      <c r="AG223" t="n">
        <v>7</v>
      </c>
      <c r="AH223" t="n">
        <v>2</v>
      </c>
      <c r="AI223" t="n">
        <v>2</v>
      </c>
      <c r="AJ223" t="n">
        <v>9</v>
      </c>
      <c r="AK223" t="n">
        <v>13</v>
      </c>
      <c r="AL223" t="n">
        <v>2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HYPERLINK("https://creighton-primo.hosted.exlibrisgroup.com/primo-explore/search?tab=default_tab&amp;search_scope=EVERYTHING&amp;vid=01CRU&amp;lang=en_US&amp;offset=0&amp;query=any,contains,991002258049702656","Catalog Record")</f>
        <v/>
      </c>
      <c r="AT223">
        <f>HYPERLINK("http://www.worldcat.org/oclc/302633","WorldCat Record")</f>
        <v/>
      </c>
      <c r="AU223" t="inlineStr">
        <is>
          <t>9349331445:eng</t>
        </is>
      </c>
      <c r="AV223" t="inlineStr">
        <is>
          <t>302633</t>
        </is>
      </c>
      <c r="AW223" t="inlineStr">
        <is>
          <t>991002258049702656</t>
        </is>
      </c>
      <c r="AX223" t="inlineStr">
        <is>
          <t>991002258049702656</t>
        </is>
      </c>
      <c r="AY223" t="inlineStr">
        <is>
          <t>2272183900002656</t>
        </is>
      </c>
      <c r="AZ223" t="inlineStr">
        <is>
          <t>BOOK</t>
        </is>
      </c>
      <c r="BB223" t="inlineStr">
        <is>
          <t>9780394480374</t>
        </is>
      </c>
      <c r="BC223" t="inlineStr">
        <is>
          <t>32285002865144</t>
        </is>
      </c>
      <c r="BD223" t="inlineStr">
        <is>
          <t>893622077</t>
        </is>
      </c>
    </row>
    <row r="224">
      <c r="A224" t="inlineStr">
        <is>
          <t>No</t>
        </is>
      </c>
      <c r="B224" t="inlineStr">
        <is>
          <t>QH31.L15 A32 1980</t>
        </is>
      </c>
      <c r="C224" t="inlineStr">
        <is>
          <t>0                      QH 0031000L  15                 A  32          1980</t>
        </is>
      </c>
      <c r="D224" t="inlineStr">
        <is>
          <t>Assignment, wildlife / Anne LaBastille.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LaBastille, Anne.</t>
        </is>
      </c>
      <c r="L224" t="inlineStr">
        <is>
          <t>New York : Dutton, c1980.</t>
        </is>
      </c>
      <c r="M224" t="inlineStr">
        <is>
          <t>1980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QH </t>
        </is>
      </c>
      <c r="S224" t="n">
        <v>2</v>
      </c>
      <c r="T224" t="n">
        <v>2</v>
      </c>
      <c r="U224" t="inlineStr">
        <is>
          <t>1995-09-28</t>
        </is>
      </c>
      <c r="V224" t="inlineStr">
        <is>
          <t>1995-09-28</t>
        </is>
      </c>
      <c r="W224" t="inlineStr">
        <is>
          <t>1993-03-05</t>
        </is>
      </c>
      <c r="X224" t="inlineStr">
        <is>
          <t>1993-03-05</t>
        </is>
      </c>
      <c r="Y224" t="n">
        <v>330</v>
      </c>
      <c r="Z224" t="n">
        <v>318</v>
      </c>
      <c r="AA224" t="n">
        <v>318</v>
      </c>
      <c r="AB224" t="n">
        <v>3</v>
      </c>
      <c r="AC224" t="n">
        <v>3</v>
      </c>
      <c r="AD224" t="n">
        <v>4</v>
      </c>
      <c r="AE224" t="n">
        <v>4</v>
      </c>
      <c r="AF224" t="n">
        <v>0</v>
      </c>
      <c r="AG224" t="n">
        <v>0</v>
      </c>
      <c r="AH224" t="n">
        <v>1</v>
      </c>
      <c r="AI224" t="n">
        <v>1</v>
      </c>
      <c r="AJ224" t="n">
        <v>0</v>
      </c>
      <c r="AK224" t="n">
        <v>0</v>
      </c>
      <c r="AL224" t="n">
        <v>2</v>
      </c>
      <c r="AM224" t="n">
        <v>2</v>
      </c>
      <c r="AN224" t="n">
        <v>1</v>
      </c>
      <c r="AO224" t="n">
        <v>1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HYPERLINK("https://creighton-primo.hosted.exlibrisgroup.com/primo-explore/search?tab=default_tab&amp;search_scope=EVERYTHING&amp;vid=01CRU&amp;lang=en_US&amp;offset=0&amp;query=any,contains,991004905759702656","Catalog Record")</f>
        <v/>
      </c>
      <c r="AT224">
        <f>HYPERLINK("http://www.worldcat.org/oclc/5946617","WorldCat Record")</f>
        <v/>
      </c>
      <c r="AU224" t="inlineStr">
        <is>
          <t>506763:eng</t>
        </is>
      </c>
      <c r="AV224" t="inlineStr">
        <is>
          <t>5946617</t>
        </is>
      </c>
      <c r="AW224" t="inlineStr">
        <is>
          <t>991004905759702656</t>
        </is>
      </c>
      <c r="AX224" t="inlineStr">
        <is>
          <t>991004905759702656</t>
        </is>
      </c>
      <c r="AY224" t="inlineStr">
        <is>
          <t>2257646190002656</t>
        </is>
      </c>
      <c r="AZ224" t="inlineStr">
        <is>
          <t>BOOK</t>
        </is>
      </c>
      <c r="BB224" t="inlineStr">
        <is>
          <t>9780525059103</t>
        </is>
      </c>
      <c r="BC224" t="inlineStr">
        <is>
          <t>32285001551026</t>
        </is>
      </c>
      <c r="BD224" t="inlineStr">
        <is>
          <t>893600354</t>
        </is>
      </c>
    </row>
    <row r="225">
      <c r="A225" t="inlineStr">
        <is>
          <t>No</t>
        </is>
      </c>
      <c r="B225" t="inlineStr">
        <is>
          <t>QH31.L2 B3613 1982</t>
        </is>
      </c>
      <c r="C225" t="inlineStr">
        <is>
          <t>0                      QH 0031000L  2                  B  3613        1982</t>
        </is>
      </c>
      <c r="D225" t="inlineStr">
        <is>
          <t>Lamarck, the mythical precursor : a study of the relations between science and ideology / Madeleine Barthélemy-Madaule ; English translation by M.H. Shank.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Barthélemy-Madaule, Madeleine.</t>
        </is>
      </c>
      <c r="L225" t="inlineStr">
        <is>
          <t>Cambridge, Mass. : MIT Press, c1982.</t>
        </is>
      </c>
      <c r="M225" t="inlineStr">
        <is>
          <t>1982</t>
        </is>
      </c>
      <c r="O225" t="inlineStr">
        <is>
          <t>eng</t>
        </is>
      </c>
      <c r="P225" t="inlineStr">
        <is>
          <t>mau</t>
        </is>
      </c>
      <c r="R225" t="inlineStr">
        <is>
          <t xml:space="preserve">QH </t>
        </is>
      </c>
      <c r="S225" t="n">
        <v>9</v>
      </c>
      <c r="T225" t="n">
        <v>9</v>
      </c>
      <c r="U225" t="inlineStr">
        <is>
          <t>1998-04-26</t>
        </is>
      </c>
      <c r="V225" t="inlineStr">
        <is>
          <t>1998-04-26</t>
        </is>
      </c>
      <c r="W225" t="inlineStr">
        <is>
          <t>1993-03-05</t>
        </is>
      </c>
      <c r="X225" t="inlineStr">
        <is>
          <t>1993-03-05</t>
        </is>
      </c>
      <c r="Y225" t="n">
        <v>425</v>
      </c>
      <c r="Z225" t="n">
        <v>336</v>
      </c>
      <c r="AA225" t="n">
        <v>338</v>
      </c>
      <c r="AB225" t="n">
        <v>3</v>
      </c>
      <c r="AC225" t="n">
        <v>3</v>
      </c>
      <c r="AD225" t="n">
        <v>21</v>
      </c>
      <c r="AE225" t="n">
        <v>21</v>
      </c>
      <c r="AF225" t="n">
        <v>5</v>
      </c>
      <c r="AG225" t="n">
        <v>5</v>
      </c>
      <c r="AH225" t="n">
        <v>6</v>
      </c>
      <c r="AI225" t="n">
        <v>6</v>
      </c>
      <c r="AJ225" t="n">
        <v>13</v>
      </c>
      <c r="AK225" t="n">
        <v>13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HYPERLINK("http://catalog.hathitrust.org/Record/000190429","HathiTrust Record")</f>
        <v/>
      </c>
      <c r="AS225">
        <f>HYPERLINK("https://creighton-primo.hosted.exlibrisgroup.com/primo-explore/search?tab=default_tab&amp;search_scope=EVERYTHING&amp;vid=01CRU&amp;lang=en_US&amp;offset=0&amp;query=any,contains,991000008659702656","Catalog Record")</f>
        <v/>
      </c>
      <c r="AT225">
        <f>HYPERLINK("http://www.worldcat.org/oclc/8533097","WorldCat Record")</f>
        <v/>
      </c>
      <c r="AU225" t="inlineStr">
        <is>
          <t>422031:eng</t>
        </is>
      </c>
      <c r="AV225" t="inlineStr">
        <is>
          <t>8533097</t>
        </is>
      </c>
      <c r="AW225" t="inlineStr">
        <is>
          <t>991000008659702656</t>
        </is>
      </c>
      <c r="AX225" t="inlineStr">
        <is>
          <t>991000008659702656</t>
        </is>
      </c>
      <c r="AY225" t="inlineStr">
        <is>
          <t>2269388920002656</t>
        </is>
      </c>
      <c r="AZ225" t="inlineStr">
        <is>
          <t>BOOK</t>
        </is>
      </c>
      <c r="BB225" t="inlineStr">
        <is>
          <t>9780262021791</t>
        </is>
      </c>
      <c r="BC225" t="inlineStr">
        <is>
          <t>32285001551034</t>
        </is>
      </c>
      <c r="BD225" t="inlineStr">
        <is>
          <t>893406820</t>
        </is>
      </c>
    </row>
    <row r="226">
      <c r="A226" t="inlineStr">
        <is>
          <t>No</t>
        </is>
      </c>
      <c r="B226" t="inlineStr">
        <is>
          <t>QH31.L2 B87</t>
        </is>
      </c>
      <c r="C226" t="inlineStr">
        <is>
          <t>0                      QH 0031000L  2                  B  87</t>
        </is>
      </c>
      <c r="D226" t="inlineStr">
        <is>
          <t>The spirit of system : Lamarck and evolutionary biology / Richard W. Burkhardt,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Burkhardt, Richard W. (Richard Wellington), 1944-</t>
        </is>
      </c>
      <c r="L226" t="inlineStr">
        <is>
          <t>Cambridge, Mass. : Harvard University Press, 1977.</t>
        </is>
      </c>
      <c r="M226" t="inlineStr">
        <is>
          <t>1977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QH </t>
        </is>
      </c>
      <c r="S226" t="n">
        <v>7</v>
      </c>
      <c r="T226" t="n">
        <v>7</v>
      </c>
      <c r="U226" t="inlineStr">
        <is>
          <t>1996-10-25</t>
        </is>
      </c>
      <c r="V226" t="inlineStr">
        <is>
          <t>1996-10-25</t>
        </is>
      </c>
      <c r="W226" t="inlineStr">
        <is>
          <t>1990-07-11</t>
        </is>
      </c>
      <c r="X226" t="inlineStr">
        <is>
          <t>1990-07-11</t>
        </is>
      </c>
      <c r="Y226" t="n">
        <v>655</v>
      </c>
      <c r="Z226" t="n">
        <v>520</v>
      </c>
      <c r="AA226" t="n">
        <v>581</v>
      </c>
      <c r="AB226" t="n">
        <v>5</v>
      </c>
      <c r="AC226" t="n">
        <v>5</v>
      </c>
      <c r="AD226" t="n">
        <v>21</v>
      </c>
      <c r="AE226" t="n">
        <v>23</v>
      </c>
      <c r="AF226" t="n">
        <v>5</v>
      </c>
      <c r="AG226" t="n">
        <v>7</v>
      </c>
      <c r="AH226" t="n">
        <v>4</v>
      </c>
      <c r="AI226" t="n">
        <v>4</v>
      </c>
      <c r="AJ226" t="n">
        <v>12</v>
      </c>
      <c r="AK226" t="n">
        <v>13</v>
      </c>
      <c r="AL226" t="n">
        <v>4</v>
      </c>
      <c r="AM226" t="n">
        <v>4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HYPERLINK("http://catalog.hathitrust.org/Record/000086591","HathiTrust Record")</f>
        <v/>
      </c>
      <c r="AS226">
        <f>HYPERLINK("https://creighton-primo.hosted.exlibrisgroup.com/primo-explore/search?tab=default_tab&amp;search_scope=EVERYTHING&amp;vid=01CRU&amp;lang=en_US&amp;offset=0&amp;query=any,contains,991004176609702656","Catalog Record")</f>
        <v/>
      </c>
      <c r="AT226">
        <f>HYPERLINK("http://www.worldcat.org/oclc/2597252","WorldCat Record")</f>
        <v/>
      </c>
      <c r="AU226" t="inlineStr">
        <is>
          <t>1089547248:eng</t>
        </is>
      </c>
      <c r="AV226" t="inlineStr">
        <is>
          <t>2597252</t>
        </is>
      </c>
      <c r="AW226" t="inlineStr">
        <is>
          <t>991004176609702656</t>
        </is>
      </c>
      <c r="AX226" t="inlineStr">
        <is>
          <t>991004176609702656</t>
        </is>
      </c>
      <c r="AY226" t="inlineStr">
        <is>
          <t>2268750620002656</t>
        </is>
      </c>
      <c r="AZ226" t="inlineStr">
        <is>
          <t>BOOK</t>
        </is>
      </c>
      <c r="BB226" t="inlineStr">
        <is>
          <t>9780674833173</t>
        </is>
      </c>
      <c r="BC226" t="inlineStr">
        <is>
          <t>32285000209014</t>
        </is>
      </c>
      <c r="BD226" t="inlineStr">
        <is>
          <t>893794565</t>
        </is>
      </c>
    </row>
    <row r="227">
      <c r="A227" t="inlineStr">
        <is>
          <t>No</t>
        </is>
      </c>
      <c r="B227" t="inlineStr">
        <is>
          <t>QH31.L2 C3 1975</t>
        </is>
      </c>
      <c r="C227" t="inlineStr">
        <is>
          <t>0                      QH 0031000L  2                  C  3           1975</t>
        </is>
      </c>
      <c r="D227" t="inlineStr">
        <is>
          <t>Lamarck and modern genetics / by H. Graham Cannon.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Cannon, H. Graham (Herbert Graham), 1897-1963.</t>
        </is>
      </c>
      <c r="L227" t="inlineStr">
        <is>
          <t>Westport, Conn. : Greenwood Press, 1975, c1959.</t>
        </is>
      </c>
      <c r="M227" t="inlineStr">
        <is>
          <t>1975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QH </t>
        </is>
      </c>
      <c r="S227" t="n">
        <v>1</v>
      </c>
      <c r="T227" t="n">
        <v>1</v>
      </c>
      <c r="U227" t="inlineStr">
        <is>
          <t>1998-04-26</t>
        </is>
      </c>
      <c r="V227" t="inlineStr">
        <is>
          <t>1998-04-26</t>
        </is>
      </c>
      <c r="W227" t="inlineStr">
        <is>
          <t>1997-06-27</t>
        </is>
      </c>
      <c r="X227" t="inlineStr">
        <is>
          <t>1997-06-27</t>
        </is>
      </c>
      <c r="Y227" t="n">
        <v>146</v>
      </c>
      <c r="Z227" t="n">
        <v>130</v>
      </c>
      <c r="AA227" t="n">
        <v>287</v>
      </c>
      <c r="AB227" t="n">
        <v>2</v>
      </c>
      <c r="AC227" t="n">
        <v>3</v>
      </c>
      <c r="AD227" t="n">
        <v>2</v>
      </c>
      <c r="AE227" t="n">
        <v>9</v>
      </c>
      <c r="AF227" t="n">
        <v>0</v>
      </c>
      <c r="AG227" t="n">
        <v>0</v>
      </c>
      <c r="AH227" t="n">
        <v>1</v>
      </c>
      <c r="AI227" t="n">
        <v>4</v>
      </c>
      <c r="AJ227" t="n">
        <v>1</v>
      </c>
      <c r="AK227" t="n">
        <v>6</v>
      </c>
      <c r="AL227" t="n">
        <v>1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HYPERLINK("http://catalog.hathitrust.org/Record/102059908","HathiTrust Record")</f>
        <v/>
      </c>
      <c r="AS227">
        <f>HYPERLINK("https://creighton-primo.hosted.exlibrisgroup.com/primo-explore/search?tab=default_tab&amp;search_scope=EVERYTHING&amp;vid=01CRU&amp;lang=en_US&amp;offset=0&amp;query=any,contains,991003746529702656","Catalog Record")</f>
        <v/>
      </c>
      <c r="AT227">
        <f>HYPERLINK("http://www.worldcat.org/oclc/1418716","WorldCat Record")</f>
        <v/>
      </c>
      <c r="AU227" t="inlineStr">
        <is>
          <t>501311:eng</t>
        </is>
      </c>
      <c r="AV227" t="inlineStr">
        <is>
          <t>1418716</t>
        </is>
      </c>
      <c r="AW227" t="inlineStr">
        <is>
          <t>991003746529702656</t>
        </is>
      </c>
      <c r="AX227" t="inlineStr">
        <is>
          <t>991003746529702656</t>
        </is>
      </c>
      <c r="AY227" t="inlineStr">
        <is>
          <t>2261171160002656</t>
        </is>
      </c>
      <c r="AZ227" t="inlineStr">
        <is>
          <t>BOOK</t>
        </is>
      </c>
      <c r="BB227" t="inlineStr">
        <is>
          <t>9780837181738</t>
        </is>
      </c>
      <c r="BC227" t="inlineStr">
        <is>
          <t>32285002865151</t>
        </is>
      </c>
      <c r="BD227" t="inlineStr">
        <is>
          <t>893887835</t>
        </is>
      </c>
    </row>
    <row r="228">
      <c r="A228" t="inlineStr">
        <is>
          <t>No</t>
        </is>
      </c>
      <c r="B228" t="inlineStr">
        <is>
          <t>QH31.L2 J67 1984</t>
        </is>
      </c>
      <c r="C228" t="inlineStr">
        <is>
          <t>0                      QH 0031000L  2                  J  67          1984</t>
        </is>
      </c>
      <c r="D228" t="inlineStr">
        <is>
          <t>Lamarck / L.J. Jordanova.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Jordanova, L. J.</t>
        </is>
      </c>
      <c r="L228" t="inlineStr">
        <is>
          <t>Oxford ; New York : Oxford University Press, 1984.</t>
        </is>
      </c>
      <c r="M228" t="inlineStr">
        <is>
          <t>1984</t>
        </is>
      </c>
      <c r="O228" t="inlineStr">
        <is>
          <t>eng</t>
        </is>
      </c>
      <c r="P228" t="inlineStr">
        <is>
          <t>enk</t>
        </is>
      </c>
      <c r="Q228" t="inlineStr">
        <is>
          <t>Past masters</t>
        </is>
      </c>
      <c r="R228" t="inlineStr">
        <is>
          <t xml:space="preserve">QH </t>
        </is>
      </c>
      <c r="S228" t="n">
        <v>8</v>
      </c>
      <c r="T228" t="n">
        <v>8</v>
      </c>
      <c r="U228" t="inlineStr">
        <is>
          <t>1998-04-26</t>
        </is>
      </c>
      <c r="V228" t="inlineStr">
        <is>
          <t>1998-04-26</t>
        </is>
      </c>
      <c r="W228" t="inlineStr">
        <is>
          <t>1993-03-05</t>
        </is>
      </c>
      <c r="X228" t="inlineStr">
        <is>
          <t>1993-03-05</t>
        </is>
      </c>
      <c r="Y228" t="n">
        <v>570</v>
      </c>
      <c r="Z228" t="n">
        <v>407</v>
      </c>
      <c r="AA228" t="n">
        <v>412</v>
      </c>
      <c r="AB228" t="n">
        <v>4</v>
      </c>
      <c r="AC228" t="n">
        <v>4</v>
      </c>
      <c r="AD228" t="n">
        <v>20</v>
      </c>
      <c r="AE228" t="n">
        <v>20</v>
      </c>
      <c r="AF228" t="n">
        <v>8</v>
      </c>
      <c r="AG228" t="n">
        <v>8</v>
      </c>
      <c r="AH228" t="n">
        <v>5</v>
      </c>
      <c r="AI228" t="n">
        <v>5</v>
      </c>
      <c r="AJ228" t="n">
        <v>9</v>
      </c>
      <c r="AK228" t="n">
        <v>9</v>
      </c>
      <c r="AL228" t="n">
        <v>3</v>
      </c>
      <c r="AM228" t="n">
        <v>3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HYPERLINK("http://catalog.hathitrust.org/Record/000427949","HathiTrust Record")</f>
        <v/>
      </c>
      <c r="AS228">
        <f>HYPERLINK("https://creighton-primo.hosted.exlibrisgroup.com/primo-explore/search?tab=default_tab&amp;search_scope=EVERYTHING&amp;vid=01CRU&amp;lang=en_US&amp;offset=0&amp;query=any,contains,991000391909702656","Catalog Record")</f>
        <v/>
      </c>
      <c r="AT228">
        <f>HYPERLINK("http://www.worldcat.org/oclc/10557941","WorldCat Record")</f>
        <v/>
      </c>
      <c r="AU228" t="inlineStr">
        <is>
          <t>3943640789:eng</t>
        </is>
      </c>
      <c r="AV228" t="inlineStr">
        <is>
          <t>10557941</t>
        </is>
      </c>
      <c r="AW228" t="inlineStr">
        <is>
          <t>991000391909702656</t>
        </is>
      </c>
      <c r="AX228" t="inlineStr">
        <is>
          <t>991000391909702656</t>
        </is>
      </c>
      <c r="AY228" t="inlineStr">
        <is>
          <t>2271566910002656</t>
        </is>
      </c>
      <c r="AZ228" t="inlineStr">
        <is>
          <t>BOOK</t>
        </is>
      </c>
      <c r="BB228" t="inlineStr">
        <is>
          <t>9780192875877</t>
        </is>
      </c>
      <c r="BC228" t="inlineStr">
        <is>
          <t>32285001551042</t>
        </is>
      </c>
      <c r="BD228" t="inlineStr">
        <is>
          <t>893865308</t>
        </is>
      </c>
    </row>
    <row r="229">
      <c r="A229" t="inlineStr">
        <is>
          <t>No</t>
        </is>
      </c>
      <c r="B229" t="inlineStr">
        <is>
          <t>QH31.M45 F6</t>
        </is>
      </c>
      <c r="C229" t="inlineStr">
        <is>
          <t>0                      QH 0031000M  45                 F  6</t>
        </is>
      </c>
      <c r="D229" t="inlineStr">
        <is>
          <t>Mendelism and evolution / by E. B. Ford.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Ford, E. B. (Edmund Brisco), 1901-1988.</t>
        </is>
      </c>
      <c r="L229" t="inlineStr">
        <is>
          <t>[London] : Methuen &amp; Co. Ltd. &amp; Science Paperbacks, [1967, i. e. 1965]</t>
        </is>
      </c>
      <c r="M229" t="inlineStr">
        <is>
          <t>1967</t>
        </is>
      </c>
      <c r="N229" t="inlineStr">
        <is>
          <t>[8th ed]</t>
        </is>
      </c>
      <c r="O229" t="inlineStr">
        <is>
          <t>eng</t>
        </is>
      </c>
      <c r="P229" t="inlineStr">
        <is>
          <t xml:space="preserve">xx </t>
        </is>
      </c>
      <c r="R229" t="inlineStr">
        <is>
          <t xml:space="preserve">QH </t>
        </is>
      </c>
      <c r="S229" t="n">
        <v>12</v>
      </c>
      <c r="T229" t="n">
        <v>12</v>
      </c>
      <c r="U229" t="inlineStr">
        <is>
          <t>1998-09-30</t>
        </is>
      </c>
      <c r="V229" t="inlineStr">
        <is>
          <t>1998-09-30</t>
        </is>
      </c>
      <c r="W229" t="inlineStr">
        <is>
          <t>1992-01-30</t>
        </is>
      </c>
      <c r="X229" t="inlineStr">
        <is>
          <t>1992-01-30</t>
        </is>
      </c>
      <c r="Y229" t="n">
        <v>68</v>
      </c>
      <c r="Z229" t="n">
        <v>61</v>
      </c>
      <c r="AA229" t="n">
        <v>456</v>
      </c>
      <c r="AB229" t="n">
        <v>1</v>
      </c>
      <c r="AC229" t="n">
        <v>6</v>
      </c>
      <c r="AD229" t="n">
        <v>2</v>
      </c>
      <c r="AE229" t="n">
        <v>18</v>
      </c>
      <c r="AF229" t="n">
        <v>2</v>
      </c>
      <c r="AG229" t="n">
        <v>8</v>
      </c>
      <c r="AH229" t="n">
        <v>0</v>
      </c>
      <c r="AI229" t="n">
        <v>2</v>
      </c>
      <c r="AJ229" t="n">
        <v>0</v>
      </c>
      <c r="AK229" t="n">
        <v>7</v>
      </c>
      <c r="AL229" t="n">
        <v>0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HYPERLINK("https://creighton-primo.hosted.exlibrisgroup.com/primo-explore/search?tab=default_tab&amp;search_scope=EVERYTHING&amp;vid=01CRU&amp;lang=en_US&amp;offset=0&amp;query=any,contains,991000964369702656","Catalog Record")</f>
        <v/>
      </c>
      <c r="AT229">
        <f>HYPERLINK("http://www.worldcat.org/oclc/170139","WorldCat Record")</f>
        <v/>
      </c>
      <c r="AU229" t="inlineStr">
        <is>
          <t>58225137:eng</t>
        </is>
      </c>
      <c r="AV229" t="inlineStr">
        <is>
          <t>170139</t>
        </is>
      </c>
      <c r="AW229" t="inlineStr">
        <is>
          <t>991000964369702656</t>
        </is>
      </c>
      <c r="AX229" t="inlineStr">
        <is>
          <t>991000964369702656</t>
        </is>
      </c>
      <c r="AY229" t="inlineStr">
        <is>
          <t>2269450580002656</t>
        </is>
      </c>
      <c r="AZ229" t="inlineStr">
        <is>
          <t>BOOK</t>
        </is>
      </c>
      <c r="BC229" t="inlineStr">
        <is>
          <t>32285000930494</t>
        </is>
      </c>
      <c r="BD229" t="inlineStr">
        <is>
          <t>893690199</t>
        </is>
      </c>
    </row>
    <row r="230">
      <c r="A230" t="inlineStr">
        <is>
          <t>No</t>
        </is>
      </c>
      <c r="B230" t="inlineStr">
        <is>
          <t>QH31.M45 K7</t>
        </is>
      </c>
      <c r="C230" t="inlineStr">
        <is>
          <t>0                      QH 0031000M  45                 K  7</t>
        </is>
      </c>
      <c r="D230" t="inlineStr">
        <is>
          <t>Gregor Johann Mendel 1822-1884 : Texte und Quellen zu seinem Wirken und Leben. Festgabe der Deutschen Akademie der Naturforscher Leopoldina zum Mendel Memorial Symposium 1865-1965, August 1965 in Brünn / Zusammengestellt und kommentiert von Jaroslav Kříženecký. Mit 6 Bildnissen und 20 Abbildungen.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Kříženecký, Jaroslav, 1896-1964, editor.</t>
        </is>
      </c>
      <c r="L230" t="inlineStr">
        <is>
          <t>Leipzig : J.A. Barth, 1965.</t>
        </is>
      </c>
      <c r="M230" t="inlineStr">
        <is>
          <t>1965</t>
        </is>
      </c>
      <c r="O230" t="inlineStr">
        <is>
          <t>ger</t>
        </is>
      </c>
      <c r="P230" t="inlineStr">
        <is>
          <t xml:space="preserve">gw </t>
        </is>
      </c>
      <c r="Q230" t="inlineStr">
        <is>
          <t>Lebensdarstellungen deutscher Naturforscher ; Nr. 11</t>
        </is>
      </c>
      <c r="R230" t="inlineStr">
        <is>
          <t xml:space="preserve">QH </t>
        </is>
      </c>
      <c r="S230" t="n">
        <v>4</v>
      </c>
      <c r="T230" t="n">
        <v>4</v>
      </c>
      <c r="U230" t="inlineStr">
        <is>
          <t>1998-02-15</t>
        </is>
      </c>
      <c r="V230" t="inlineStr">
        <is>
          <t>1998-02-15</t>
        </is>
      </c>
      <c r="W230" t="inlineStr">
        <is>
          <t>1992-09-14</t>
        </is>
      </c>
      <c r="X230" t="inlineStr">
        <is>
          <t>1992-09-14</t>
        </is>
      </c>
      <c r="Y230" t="n">
        <v>72</v>
      </c>
      <c r="Z230" t="n">
        <v>47</v>
      </c>
      <c r="AA230" t="n">
        <v>49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1</v>
      </c>
      <c r="AI230" t="n">
        <v>1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HYPERLINK("http://catalog.hathitrust.org/Record/001490020","HathiTrust Record")</f>
        <v/>
      </c>
      <c r="AS230">
        <f>HYPERLINK("https://creighton-primo.hosted.exlibrisgroup.com/primo-explore/search?tab=default_tab&amp;search_scope=EVERYTHING&amp;vid=01CRU&amp;lang=en_US&amp;offset=0&amp;query=any,contains,991004772429702656","Catalog Record")</f>
        <v/>
      </c>
      <c r="AT230">
        <f>HYPERLINK("http://www.worldcat.org/oclc/5081281","WorldCat Record")</f>
        <v/>
      </c>
      <c r="AU230" t="inlineStr">
        <is>
          <t>9657905537:ger</t>
        </is>
      </c>
      <c r="AV230" t="inlineStr">
        <is>
          <t>5081281</t>
        </is>
      </c>
      <c r="AW230" t="inlineStr">
        <is>
          <t>991004772429702656</t>
        </is>
      </c>
      <c r="AX230" t="inlineStr">
        <is>
          <t>991004772429702656</t>
        </is>
      </c>
      <c r="AY230" t="inlineStr">
        <is>
          <t>2254857410002656</t>
        </is>
      </c>
      <c r="AZ230" t="inlineStr">
        <is>
          <t>BOOK</t>
        </is>
      </c>
      <c r="BC230" t="inlineStr">
        <is>
          <t>32285001300192</t>
        </is>
      </c>
      <c r="BD230" t="inlineStr">
        <is>
          <t>893612758</t>
        </is>
      </c>
    </row>
    <row r="231">
      <c r="A231" t="inlineStr">
        <is>
          <t>No</t>
        </is>
      </c>
      <c r="B231" t="inlineStr">
        <is>
          <t>QH31.M45 O67 1996</t>
        </is>
      </c>
      <c r="C231" t="inlineStr">
        <is>
          <t>0                      QH 0031000M  45                 O  67          1996</t>
        </is>
      </c>
      <c r="D231" t="inlineStr">
        <is>
          <t>Gregor Mendel : the first geneticist / Vítĕzslav Orel ; translated by Stephen Finn.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Orel, Vítězslav.</t>
        </is>
      </c>
      <c r="L231" t="inlineStr">
        <is>
          <t>Oxford ; New York : Oxford University Press, 1996.</t>
        </is>
      </c>
      <c r="M231" t="inlineStr">
        <is>
          <t>1996</t>
        </is>
      </c>
      <c r="N231" t="inlineStr">
        <is>
          <t>1st ed.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QH </t>
        </is>
      </c>
      <c r="S231" t="n">
        <v>10</v>
      </c>
      <c r="T231" t="n">
        <v>10</v>
      </c>
      <c r="U231" t="inlineStr">
        <is>
          <t>1998-09-24</t>
        </is>
      </c>
      <c r="V231" t="inlineStr">
        <is>
          <t>1998-09-24</t>
        </is>
      </c>
      <c r="W231" t="inlineStr">
        <is>
          <t>1996-06-06</t>
        </is>
      </c>
      <c r="X231" t="inlineStr">
        <is>
          <t>1996-06-06</t>
        </is>
      </c>
      <c r="Y231" t="n">
        <v>452</v>
      </c>
      <c r="Z231" t="n">
        <v>350</v>
      </c>
      <c r="AA231" t="n">
        <v>357</v>
      </c>
      <c r="AB231" t="n">
        <v>4</v>
      </c>
      <c r="AC231" t="n">
        <v>4</v>
      </c>
      <c r="AD231" t="n">
        <v>20</v>
      </c>
      <c r="AE231" t="n">
        <v>20</v>
      </c>
      <c r="AF231" t="n">
        <v>4</v>
      </c>
      <c r="AG231" t="n">
        <v>4</v>
      </c>
      <c r="AH231" t="n">
        <v>4</v>
      </c>
      <c r="AI231" t="n">
        <v>4</v>
      </c>
      <c r="AJ231" t="n">
        <v>13</v>
      </c>
      <c r="AK231" t="n">
        <v>13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HYPERLINK("http://catalog.hathitrust.org/Record/003071053","HathiTrust Record")</f>
        <v/>
      </c>
      <c r="AS231">
        <f>HYPERLINK("https://creighton-primo.hosted.exlibrisgroup.com/primo-explore/search?tab=default_tab&amp;search_scope=EVERYTHING&amp;vid=01CRU&amp;lang=en_US&amp;offset=0&amp;query=any,contains,991002368529702656","Catalog Record")</f>
        <v/>
      </c>
      <c r="AT231">
        <f>HYPERLINK("http://www.worldcat.org/oclc/30781002","WorldCat Record")</f>
        <v/>
      </c>
      <c r="AU231" t="inlineStr">
        <is>
          <t>231036398:eng</t>
        </is>
      </c>
      <c r="AV231" t="inlineStr">
        <is>
          <t>30781002</t>
        </is>
      </c>
      <c r="AW231" t="inlineStr">
        <is>
          <t>991002368529702656</t>
        </is>
      </c>
      <c r="AX231" t="inlineStr">
        <is>
          <t>991002368529702656</t>
        </is>
      </c>
      <c r="AY231" t="inlineStr">
        <is>
          <t>2266185420002656</t>
        </is>
      </c>
      <c r="AZ231" t="inlineStr">
        <is>
          <t>BOOK</t>
        </is>
      </c>
      <c r="BB231" t="inlineStr">
        <is>
          <t>9780198547747</t>
        </is>
      </c>
      <c r="BC231" t="inlineStr">
        <is>
          <t>32285002188547</t>
        </is>
      </c>
      <c r="BD231" t="inlineStr">
        <is>
          <t>893779730</t>
        </is>
      </c>
    </row>
    <row r="232">
      <c r="A232" t="inlineStr">
        <is>
          <t>No</t>
        </is>
      </c>
      <c r="B232" t="inlineStr">
        <is>
          <t>QH31.M45 O6813 1984</t>
        </is>
      </c>
      <c r="C232" t="inlineStr">
        <is>
          <t>0                      QH 0031000M  45                 O  6813        1984</t>
        </is>
      </c>
      <c r="D232" t="inlineStr">
        <is>
          <t>Mendel / Vítĕzslav Orel ; translated by Stephen Finn.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Orel, Vítězslav.</t>
        </is>
      </c>
      <c r="L232" t="inlineStr">
        <is>
          <t>Oxford [Oxfordshire] ; New York : Oxford University Press, 1984.</t>
        </is>
      </c>
      <c r="M232" t="inlineStr">
        <is>
          <t>1984</t>
        </is>
      </c>
      <c r="O232" t="inlineStr">
        <is>
          <t>eng</t>
        </is>
      </c>
      <c r="P232" t="inlineStr">
        <is>
          <t>enk</t>
        </is>
      </c>
      <c r="Q232" t="inlineStr">
        <is>
          <t>Past masters</t>
        </is>
      </c>
      <c r="R232" t="inlineStr">
        <is>
          <t xml:space="preserve">QH </t>
        </is>
      </c>
      <c r="S232" t="n">
        <v>14</v>
      </c>
      <c r="T232" t="n">
        <v>14</v>
      </c>
      <c r="U232" t="inlineStr">
        <is>
          <t>1998-09-24</t>
        </is>
      </c>
      <c r="V232" t="inlineStr">
        <is>
          <t>1998-09-24</t>
        </is>
      </c>
      <c r="W232" t="inlineStr">
        <is>
          <t>1992-01-30</t>
        </is>
      </c>
      <c r="X232" t="inlineStr">
        <is>
          <t>1992-01-30</t>
        </is>
      </c>
      <c r="Y232" t="n">
        <v>615</v>
      </c>
      <c r="Z232" t="n">
        <v>488</v>
      </c>
      <c r="AA232" t="n">
        <v>492</v>
      </c>
      <c r="AB232" t="n">
        <v>2</v>
      </c>
      <c r="AC232" t="n">
        <v>2</v>
      </c>
      <c r="AD232" t="n">
        <v>20</v>
      </c>
      <c r="AE232" t="n">
        <v>20</v>
      </c>
      <c r="AF232" t="n">
        <v>10</v>
      </c>
      <c r="AG232" t="n">
        <v>10</v>
      </c>
      <c r="AH232" t="n">
        <v>7</v>
      </c>
      <c r="AI232" t="n">
        <v>7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HYPERLINK("http://catalog.hathitrust.org/Record/000368629","HathiTrust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HYPERLINK("https://creighton-primo.hosted.exlibrisgroup.com/primo-explore/search?tab=default_tab&amp;search_scope=EVERYTHING&amp;vid=01CRU&amp;lang=en_US&amp;offset=0&amp;query=any,contains,991000431309702656","Catalog Record")</f>
        <v/>
      </c>
      <c r="AT232">
        <f>HYPERLINK("http://www.worldcat.org/oclc/10778828","WorldCat Record")</f>
        <v/>
      </c>
      <c r="AU232" t="inlineStr">
        <is>
          <t>3455596:eng</t>
        </is>
      </c>
      <c r="AV232" t="inlineStr">
        <is>
          <t>10778828</t>
        </is>
      </c>
      <c r="AW232" t="inlineStr">
        <is>
          <t>991000431309702656</t>
        </is>
      </c>
      <c r="AX232" t="inlineStr">
        <is>
          <t>991000431309702656</t>
        </is>
      </c>
      <c r="AY232" t="inlineStr">
        <is>
          <t>2267898390002656</t>
        </is>
      </c>
      <c r="AZ232" t="inlineStr">
        <is>
          <t>BOOK</t>
        </is>
      </c>
      <c r="BB232" t="inlineStr">
        <is>
          <t>9780192876249</t>
        </is>
      </c>
      <c r="BC232" t="inlineStr">
        <is>
          <t>32285000930486</t>
        </is>
      </c>
      <c r="BD232" t="inlineStr">
        <is>
          <t>893419447</t>
        </is>
      </c>
    </row>
    <row r="233">
      <c r="A233" t="inlineStr">
        <is>
          <t>No</t>
        </is>
      </c>
      <c r="B233" t="inlineStr">
        <is>
          <t>QH31.M9 A37</t>
        </is>
      </c>
      <c r="C233" t="inlineStr">
        <is>
          <t>0                      QH 0031000M  9                  A  37</t>
        </is>
      </c>
      <c r="D233" t="inlineStr">
        <is>
          <t>The wilderness world of John Muir / with an introduction and interpretive comments by Edwin Way Teale; illustrated by Henry B. Kane.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Muir, John, 1838-1914.</t>
        </is>
      </c>
      <c r="L233" t="inlineStr">
        <is>
          <t>Boston : Houghton Mifflin, [c1954]</t>
        </is>
      </c>
      <c r="M233" t="inlineStr">
        <is>
          <t>1954</t>
        </is>
      </c>
      <c r="O233" t="inlineStr">
        <is>
          <t>eng</t>
        </is>
      </c>
      <c r="P233" t="inlineStr">
        <is>
          <t>mau</t>
        </is>
      </c>
      <c r="R233" t="inlineStr">
        <is>
          <t xml:space="preserve">QH </t>
        </is>
      </c>
      <c r="S233" t="n">
        <v>9</v>
      </c>
      <c r="T233" t="n">
        <v>9</v>
      </c>
      <c r="U233" t="inlineStr">
        <is>
          <t>2010-10-14</t>
        </is>
      </c>
      <c r="V233" t="inlineStr">
        <is>
          <t>2010-10-14</t>
        </is>
      </c>
      <c r="W233" t="inlineStr">
        <is>
          <t>1993-04-27</t>
        </is>
      </c>
      <c r="X233" t="inlineStr">
        <is>
          <t>1993-04-27</t>
        </is>
      </c>
      <c r="Y233" t="n">
        <v>1038</v>
      </c>
      <c r="Z233" t="n">
        <v>1012</v>
      </c>
      <c r="AA233" t="n">
        <v>1235</v>
      </c>
      <c r="AB233" t="n">
        <v>7</v>
      </c>
      <c r="AC233" t="n">
        <v>10</v>
      </c>
      <c r="AD233" t="n">
        <v>27</v>
      </c>
      <c r="AE233" t="n">
        <v>32</v>
      </c>
      <c r="AF233" t="n">
        <v>7</v>
      </c>
      <c r="AG233" t="n">
        <v>9</v>
      </c>
      <c r="AH233" t="n">
        <v>6</v>
      </c>
      <c r="AI233" t="n">
        <v>6</v>
      </c>
      <c r="AJ233" t="n">
        <v>15</v>
      </c>
      <c r="AK233" t="n">
        <v>16</v>
      </c>
      <c r="AL233" t="n">
        <v>5</v>
      </c>
      <c r="AM233" t="n">
        <v>7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HYPERLINK("https://creighton-primo.hosted.exlibrisgroup.com/primo-explore/search?tab=default_tab&amp;search_scope=EVERYTHING&amp;vid=01CRU&amp;lang=en_US&amp;offset=0&amp;query=any,contains,991003638289702656","Catalog Record")</f>
        <v/>
      </c>
      <c r="AT233">
        <f>HYPERLINK("http://www.worldcat.org/oclc/1232774","WorldCat Record")</f>
        <v/>
      </c>
      <c r="AU233" t="inlineStr">
        <is>
          <t>196940211:eng</t>
        </is>
      </c>
      <c r="AV233" t="inlineStr">
        <is>
          <t>1232774</t>
        </is>
      </c>
      <c r="AW233" t="inlineStr">
        <is>
          <t>991003638289702656</t>
        </is>
      </c>
      <c r="AX233" t="inlineStr">
        <is>
          <t>991003638289702656</t>
        </is>
      </c>
      <c r="AY233" t="inlineStr">
        <is>
          <t>2264055280002656</t>
        </is>
      </c>
      <c r="AZ233" t="inlineStr">
        <is>
          <t>BOOK</t>
        </is>
      </c>
      <c r="BC233" t="inlineStr">
        <is>
          <t>32285001627420</t>
        </is>
      </c>
      <c r="BD233" t="inlineStr">
        <is>
          <t>893518702</t>
        </is>
      </c>
    </row>
    <row r="234">
      <c r="A234" t="inlineStr">
        <is>
          <t>No</t>
        </is>
      </c>
      <c r="B234" t="inlineStr">
        <is>
          <t>QH31.M9 A43 1973</t>
        </is>
      </c>
      <c r="C234" t="inlineStr">
        <is>
          <t>0                      QH 0031000M  9                  A  43          1973</t>
        </is>
      </c>
      <c r="D234" t="inlineStr">
        <is>
          <t>Letters to a friend, written to Mrs. Ezra S. Carr, 1866-1879.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Muir, John, 1838-1914.</t>
        </is>
      </c>
      <c r="L234" t="inlineStr">
        <is>
          <t>Dunwoody, Ga. : N. S. Berg, 1973 [c1915]</t>
        </is>
      </c>
      <c r="M234" t="inlineStr">
        <is>
          <t>1973</t>
        </is>
      </c>
      <c r="O234" t="inlineStr">
        <is>
          <t>eng</t>
        </is>
      </c>
      <c r="P234" t="inlineStr">
        <is>
          <t>gau</t>
        </is>
      </c>
      <c r="R234" t="inlineStr">
        <is>
          <t xml:space="preserve">QH </t>
        </is>
      </c>
      <c r="S234" t="n">
        <v>5</v>
      </c>
      <c r="T234" t="n">
        <v>5</v>
      </c>
      <c r="U234" t="inlineStr">
        <is>
          <t>2010-10-14</t>
        </is>
      </c>
      <c r="V234" t="inlineStr">
        <is>
          <t>2010-10-14</t>
        </is>
      </c>
      <c r="W234" t="inlineStr">
        <is>
          <t>1993-05-05</t>
        </is>
      </c>
      <c r="X234" t="inlineStr">
        <is>
          <t>1993-05-05</t>
        </is>
      </c>
      <c r="Y234" t="n">
        <v>88</v>
      </c>
      <c r="Z234" t="n">
        <v>83</v>
      </c>
      <c r="AA234" t="n">
        <v>226</v>
      </c>
      <c r="AB234" t="n">
        <v>1</v>
      </c>
      <c r="AC234" t="n">
        <v>3</v>
      </c>
      <c r="AD234" t="n">
        <v>2</v>
      </c>
      <c r="AE234" t="n">
        <v>8</v>
      </c>
      <c r="AF234" t="n">
        <v>1</v>
      </c>
      <c r="AG234" t="n">
        <v>2</v>
      </c>
      <c r="AH234" t="n">
        <v>0</v>
      </c>
      <c r="AI234" t="n">
        <v>3</v>
      </c>
      <c r="AJ234" t="n">
        <v>2</v>
      </c>
      <c r="AK234" t="n">
        <v>3</v>
      </c>
      <c r="AL234" t="n">
        <v>0</v>
      </c>
      <c r="AM234" t="n">
        <v>2</v>
      </c>
      <c r="AN234" t="n">
        <v>0</v>
      </c>
      <c r="AO234" t="n">
        <v>0</v>
      </c>
      <c r="AP234" t="inlineStr">
        <is>
          <t>Yes</t>
        </is>
      </c>
      <c r="AQ234" t="inlineStr">
        <is>
          <t>No</t>
        </is>
      </c>
      <c r="AR234">
        <f>HYPERLINK("http://catalog.hathitrust.org/Record/000010081","HathiTrust Record")</f>
        <v/>
      </c>
      <c r="AS234">
        <f>HYPERLINK("https://creighton-primo.hosted.exlibrisgroup.com/primo-explore/search?tab=default_tab&amp;search_scope=EVERYTHING&amp;vid=01CRU&amp;lang=en_US&amp;offset=0&amp;query=any,contains,991003168179702656","Catalog Record")</f>
        <v/>
      </c>
      <c r="AT234">
        <f>HYPERLINK("http://www.worldcat.org/oclc/705258","WorldCat Record")</f>
        <v/>
      </c>
      <c r="AU234" t="inlineStr">
        <is>
          <t>1943902:eng</t>
        </is>
      </c>
      <c r="AV234" t="inlineStr">
        <is>
          <t>705258</t>
        </is>
      </c>
      <c r="AW234" t="inlineStr">
        <is>
          <t>991003168179702656</t>
        </is>
      </c>
      <c r="AX234" t="inlineStr">
        <is>
          <t>991003168179702656</t>
        </is>
      </c>
      <c r="AY234" t="inlineStr">
        <is>
          <t>2259083990002656</t>
        </is>
      </c>
      <c r="AZ234" t="inlineStr">
        <is>
          <t>BOOK</t>
        </is>
      </c>
      <c r="BB234" t="inlineStr">
        <is>
          <t>9780910220484</t>
        </is>
      </c>
      <c r="BC234" t="inlineStr">
        <is>
          <t>32285001634772</t>
        </is>
      </c>
      <c r="BD234" t="inlineStr">
        <is>
          <t>893227749</t>
        </is>
      </c>
    </row>
    <row r="235">
      <c r="A235" t="inlineStr">
        <is>
          <t>No</t>
        </is>
      </c>
      <c r="B235" t="inlineStr">
        <is>
          <t>QH31.N3 G38 1989</t>
        </is>
      </c>
      <c r="C235" t="inlineStr">
        <is>
          <t>0                      QH 0031000N  3                  G  38          1989</t>
        </is>
      </c>
      <c r="D235" t="inlineStr">
        <is>
          <t>Mitar y Arvelo Torrealba : figuras del buen recuerdo / por Rafael R. Gavidia y Mario Martínez Angulo.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Gavidia, Rafael R.</t>
        </is>
      </c>
      <c r="L235" t="inlineStr">
        <is>
          <t>[Acarigua, Estado Portuguesa, Venezuela] : Gobernación del Estado Portuguesa, [1989]</t>
        </is>
      </c>
      <c r="M235" t="inlineStr">
        <is>
          <t>1989</t>
        </is>
      </c>
      <c r="O235" t="inlineStr">
        <is>
          <t>spa</t>
        </is>
      </c>
      <c r="P235" t="inlineStr">
        <is>
          <t xml:space="preserve">ve </t>
        </is>
      </c>
      <c r="R235" t="inlineStr">
        <is>
          <t xml:space="preserve">QH </t>
        </is>
      </c>
      <c r="S235" t="n">
        <v>1</v>
      </c>
      <c r="T235" t="n">
        <v>1</v>
      </c>
      <c r="U235" t="inlineStr">
        <is>
          <t>2003-02-10</t>
        </is>
      </c>
      <c r="V235" t="inlineStr">
        <is>
          <t>2003-02-10</t>
        </is>
      </c>
      <c r="W235" t="inlineStr">
        <is>
          <t>2003-02-03</t>
        </is>
      </c>
      <c r="X235" t="inlineStr">
        <is>
          <t>2003-02-03</t>
        </is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HYPERLINK("https://creighton-primo.hosted.exlibrisgroup.com/primo-explore/search?tab=default_tab&amp;search_scope=EVERYTHING&amp;vid=01CRU&amp;lang=en_US&amp;offset=0&amp;query=any,contains,991003986379702656","Catalog Record")</f>
        <v/>
      </c>
      <c r="AT235">
        <f>HYPERLINK("http://www.worldcat.org/oclc/51555821","WorldCat Record")</f>
        <v/>
      </c>
      <c r="AU235" t="inlineStr">
        <is>
          <t>8625409:spa</t>
        </is>
      </c>
      <c r="AV235" t="inlineStr">
        <is>
          <t>51555821</t>
        </is>
      </c>
      <c r="AW235" t="inlineStr">
        <is>
          <t>991003986379702656</t>
        </is>
      </c>
      <c r="AX235" t="inlineStr">
        <is>
          <t>991003986379702656</t>
        </is>
      </c>
      <c r="AY235" t="inlineStr">
        <is>
          <t>2262545530002656</t>
        </is>
      </c>
      <c r="AZ235" t="inlineStr">
        <is>
          <t>BOOK</t>
        </is>
      </c>
      <c r="BB235" t="inlineStr">
        <is>
          <t>9789806029156</t>
        </is>
      </c>
      <c r="BC235" t="inlineStr">
        <is>
          <t>32285004631726</t>
        </is>
      </c>
      <c r="BD235" t="inlineStr">
        <is>
          <t>893599284</t>
        </is>
      </c>
    </row>
    <row r="236">
      <c r="A236" t="inlineStr">
        <is>
          <t>No</t>
        </is>
      </c>
      <c r="B236" t="inlineStr">
        <is>
          <t>QH31.W2 A6</t>
        </is>
      </c>
      <c r="C236" t="inlineStr">
        <is>
          <t>0                      QH 0031000W  2                  A  6</t>
        </is>
      </c>
      <c r="D236" t="inlineStr">
        <is>
          <t>Alfred Russel Wallace; letters and reminiscences, by James Marchant.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Wallace, Alfred Russel, 1823-1913.</t>
        </is>
      </c>
      <c r="L236" t="inlineStr">
        <is>
          <t>New York, Harper [1916]</t>
        </is>
      </c>
      <c r="M236" t="inlineStr">
        <is>
          <t>1916</t>
        </is>
      </c>
      <c r="O236" t="inlineStr">
        <is>
          <t>eng</t>
        </is>
      </c>
      <c r="P236" t="inlineStr">
        <is>
          <t xml:space="preserve">xx </t>
        </is>
      </c>
      <c r="R236" t="inlineStr">
        <is>
          <t xml:space="preserve">QH </t>
        </is>
      </c>
      <c r="S236" t="n">
        <v>1</v>
      </c>
      <c r="T236" t="n">
        <v>1</v>
      </c>
      <c r="U236" t="inlineStr">
        <is>
          <t>2009-11-18</t>
        </is>
      </c>
      <c r="V236" t="inlineStr">
        <is>
          <t>2009-11-18</t>
        </is>
      </c>
      <c r="W236" t="inlineStr">
        <is>
          <t>1997-06-27</t>
        </is>
      </c>
      <c r="X236" t="inlineStr">
        <is>
          <t>1997-06-27</t>
        </is>
      </c>
      <c r="Y236" t="n">
        <v>169</v>
      </c>
      <c r="Z236" t="n">
        <v>159</v>
      </c>
      <c r="AA236" t="n">
        <v>367</v>
      </c>
      <c r="AB236" t="n">
        <v>3</v>
      </c>
      <c r="AC236" t="n">
        <v>4</v>
      </c>
      <c r="AD236" t="n">
        <v>5</v>
      </c>
      <c r="AE236" t="n">
        <v>15</v>
      </c>
      <c r="AF236" t="n">
        <v>2</v>
      </c>
      <c r="AG236" t="n">
        <v>5</v>
      </c>
      <c r="AH236" t="n">
        <v>1</v>
      </c>
      <c r="AI236" t="n">
        <v>3</v>
      </c>
      <c r="AJ236" t="n">
        <v>2</v>
      </c>
      <c r="AK236" t="n">
        <v>8</v>
      </c>
      <c r="AL236" t="n">
        <v>2</v>
      </c>
      <c r="AM236" t="n">
        <v>3</v>
      </c>
      <c r="AN236" t="n">
        <v>0</v>
      </c>
      <c r="AO236" t="n">
        <v>1</v>
      </c>
      <c r="AP236" t="inlineStr">
        <is>
          <t>Yes</t>
        </is>
      </c>
      <c r="AQ236" t="inlineStr">
        <is>
          <t>No</t>
        </is>
      </c>
      <c r="AR236">
        <f>HYPERLINK("http://catalog.hathitrust.org/Record/001490071","HathiTrust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HYPERLINK("https://creighton-primo.hosted.exlibrisgroup.com/primo-explore/search?tab=default_tab&amp;search_scope=EVERYTHING&amp;vid=01CRU&amp;lang=en_US&amp;offset=0&amp;query=any,contains,991000959559702656","Catalog Record")</f>
        <v/>
      </c>
      <c r="AT236">
        <f>HYPERLINK("http://www.worldcat.org/oclc/14792118","WorldCat Record")</f>
        <v/>
      </c>
      <c r="AU236" t="inlineStr">
        <is>
          <t>4162563426:eng</t>
        </is>
      </c>
      <c r="AV236" t="inlineStr">
        <is>
          <t>14792118</t>
        </is>
      </c>
      <c r="AW236" t="inlineStr">
        <is>
          <t>991000959559702656</t>
        </is>
      </c>
      <c r="AX236" t="inlineStr">
        <is>
          <t>991000959559702656</t>
        </is>
      </c>
      <c r="AY236" t="inlineStr">
        <is>
          <t>2261569090002656</t>
        </is>
      </c>
      <c r="AZ236" t="inlineStr">
        <is>
          <t>BOOK</t>
        </is>
      </c>
      <c r="BC236" t="inlineStr">
        <is>
          <t>32285002865219</t>
        </is>
      </c>
      <c r="BD236" t="inlineStr">
        <is>
          <t>893596070</t>
        </is>
      </c>
    </row>
    <row r="237">
      <c r="A237" t="inlineStr">
        <is>
          <t>No</t>
        </is>
      </c>
      <c r="B237" t="inlineStr">
        <is>
          <t>QH31.W2 C5 1983</t>
        </is>
      </c>
      <c r="C237" t="inlineStr">
        <is>
          <t>0                      QH 0031000W  2                  C  5           1983</t>
        </is>
      </c>
      <c r="D237" t="inlineStr">
        <is>
          <t>Alfred Russel Wallace : biologist and social reformer / Harry Clements ; foreword by Richard Clements.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Clements, Harry.</t>
        </is>
      </c>
      <c r="L237" t="inlineStr">
        <is>
          <t>London : Hutchinson, 1983.</t>
        </is>
      </c>
      <c r="M237" t="inlineStr">
        <is>
          <t>1983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QH </t>
        </is>
      </c>
      <c r="S237" t="n">
        <v>1</v>
      </c>
      <c r="T237" t="n">
        <v>1</v>
      </c>
      <c r="U237" t="inlineStr">
        <is>
          <t>2009-12-02</t>
        </is>
      </c>
      <c r="V237" t="inlineStr">
        <is>
          <t>2009-12-02</t>
        </is>
      </c>
      <c r="W237" t="inlineStr">
        <is>
          <t>1993-03-05</t>
        </is>
      </c>
      <c r="X237" t="inlineStr">
        <is>
          <t>1993-03-05</t>
        </is>
      </c>
      <c r="Y237" t="n">
        <v>111</v>
      </c>
      <c r="Z237" t="n">
        <v>71</v>
      </c>
      <c r="AA237" t="n">
        <v>93</v>
      </c>
      <c r="AB237" t="n">
        <v>2</v>
      </c>
      <c r="AC237" t="n">
        <v>2</v>
      </c>
      <c r="AD237" t="n">
        <v>3</v>
      </c>
      <c r="AE237" t="n">
        <v>3</v>
      </c>
      <c r="AF237" t="n">
        <v>0</v>
      </c>
      <c r="AG237" t="n">
        <v>0</v>
      </c>
      <c r="AH237" t="n">
        <v>2</v>
      </c>
      <c r="AI237" t="n">
        <v>2</v>
      </c>
      <c r="AJ237" t="n">
        <v>1</v>
      </c>
      <c r="AK237" t="n">
        <v>1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HYPERLINK("https://creighton-primo.hosted.exlibrisgroup.com/primo-explore/search?tab=default_tab&amp;search_scope=EVERYTHING&amp;vid=01CRU&amp;lang=en_US&amp;offset=0&amp;query=any,contains,991000360479702656","Catalog Record")</f>
        <v/>
      </c>
      <c r="AT237">
        <f>HYPERLINK("http://www.worldcat.org/oclc/10359651","WorldCat Record")</f>
        <v/>
      </c>
      <c r="AU237" t="inlineStr">
        <is>
          <t>203166080:eng</t>
        </is>
      </c>
      <c r="AV237" t="inlineStr">
        <is>
          <t>10359651</t>
        </is>
      </c>
      <c r="AW237" t="inlineStr">
        <is>
          <t>991000360479702656</t>
        </is>
      </c>
      <c r="AX237" t="inlineStr">
        <is>
          <t>991000360479702656</t>
        </is>
      </c>
      <c r="AY237" t="inlineStr">
        <is>
          <t>2261489700002656</t>
        </is>
      </c>
      <c r="AZ237" t="inlineStr">
        <is>
          <t>BOOK</t>
        </is>
      </c>
      <c r="BC237" t="inlineStr">
        <is>
          <t>32285001551091</t>
        </is>
      </c>
      <c r="BD237" t="inlineStr">
        <is>
          <t>893708307</t>
        </is>
      </c>
    </row>
    <row r="238">
      <c r="A238" t="inlineStr">
        <is>
          <t>No</t>
        </is>
      </c>
      <c r="B238" t="inlineStr">
        <is>
          <t>QH31.W2 F52</t>
        </is>
      </c>
      <c r="C238" t="inlineStr">
        <is>
          <t>0                      QH 0031000W  2                  F  52</t>
        </is>
      </c>
      <c r="D238" t="inlineStr">
        <is>
          <t>Alfred Russel Wallace / by Martin Fichman.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Fichman, Martin, 1944-</t>
        </is>
      </c>
      <c r="L238" t="inlineStr">
        <is>
          <t>Boston, MA : Twayne Publishers, 1981.</t>
        </is>
      </c>
      <c r="M238" t="inlineStr">
        <is>
          <t>1981</t>
        </is>
      </c>
      <c r="O238" t="inlineStr">
        <is>
          <t>eng</t>
        </is>
      </c>
      <c r="P238" t="inlineStr">
        <is>
          <t>mau</t>
        </is>
      </c>
      <c r="Q238" t="inlineStr">
        <is>
          <t>Twayne's English authors series ; TEAS 305</t>
        </is>
      </c>
      <c r="R238" t="inlineStr">
        <is>
          <t xml:space="preserve">QH </t>
        </is>
      </c>
      <c r="S238" t="n">
        <v>1</v>
      </c>
      <c r="T238" t="n">
        <v>1</v>
      </c>
      <c r="U238" t="inlineStr">
        <is>
          <t>2009-11-18</t>
        </is>
      </c>
      <c r="V238" t="inlineStr">
        <is>
          <t>2009-11-18</t>
        </is>
      </c>
      <c r="W238" t="inlineStr">
        <is>
          <t>1993-03-05</t>
        </is>
      </c>
      <c r="X238" t="inlineStr">
        <is>
          <t>1993-03-05</t>
        </is>
      </c>
      <c r="Y238" t="n">
        <v>504</v>
      </c>
      <c r="Z238" t="n">
        <v>438</v>
      </c>
      <c r="AA238" t="n">
        <v>445</v>
      </c>
      <c r="AB238" t="n">
        <v>5</v>
      </c>
      <c r="AC238" t="n">
        <v>5</v>
      </c>
      <c r="AD238" t="n">
        <v>19</v>
      </c>
      <c r="AE238" t="n">
        <v>19</v>
      </c>
      <c r="AF238" t="n">
        <v>8</v>
      </c>
      <c r="AG238" t="n">
        <v>8</v>
      </c>
      <c r="AH238" t="n">
        <v>3</v>
      </c>
      <c r="AI238" t="n">
        <v>3</v>
      </c>
      <c r="AJ238" t="n">
        <v>11</v>
      </c>
      <c r="AK238" t="n">
        <v>11</v>
      </c>
      <c r="AL238" t="n">
        <v>4</v>
      </c>
      <c r="AM238" t="n">
        <v>4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HYPERLINK("http://catalog.hathitrust.org/Record/000226164","HathiTrust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HYPERLINK("https://creighton-primo.hosted.exlibrisgroup.com/primo-explore/search?tab=default_tab&amp;search_scope=EVERYTHING&amp;vid=01CRU&amp;lang=en_US&amp;offset=0&amp;query=any,contains,991005102259702656","Catalog Record")</f>
        <v/>
      </c>
      <c r="AT238">
        <f>HYPERLINK("http://www.worldcat.org/oclc/7305915","WorldCat Record")</f>
        <v/>
      </c>
      <c r="AU238" t="inlineStr">
        <is>
          <t>26987515:eng</t>
        </is>
      </c>
      <c r="AV238" t="inlineStr">
        <is>
          <t>7305915</t>
        </is>
      </c>
      <c r="AW238" t="inlineStr">
        <is>
          <t>991005102259702656</t>
        </is>
      </c>
      <c r="AX238" t="inlineStr">
        <is>
          <t>991005102259702656</t>
        </is>
      </c>
      <c r="AY238" t="inlineStr">
        <is>
          <t>2271417910002656</t>
        </is>
      </c>
      <c r="AZ238" t="inlineStr">
        <is>
          <t>BOOK</t>
        </is>
      </c>
      <c r="BB238" t="inlineStr">
        <is>
          <t>9780805767971</t>
        </is>
      </c>
      <c r="BC238" t="inlineStr">
        <is>
          <t>32285001551109</t>
        </is>
      </c>
      <c r="BD238" t="inlineStr">
        <is>
          <t>893783019</t>
        </is>
      </c>
    </row>
    <row r="239">
      <c r="A239" t="inlineStr">
        <is>
          <t>No</t>
        </is>
      </c>
      <c r="B239" t="inlineStr">
        <is>
          <t>QH31.W2 G4</t>
        </is>
      </c>
      <c r="C239" t="inlineStr">
        <is>
          <t>0                      QH 0031000W  2                  G  4</t>
        </is>
      </c>
      <c r="D239" t="inlineStr">
        <is>
          <t>Biologist philosopher: a study of the life and writings of Alfred Russel Wallace.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George, Wilma B.</t>
        </is>
      </c>
      <c r="L239" t="inlineStr">
        <is>
          <t>London, New York, Abelard-Schuman [1964]</t>
        </is>
      </c>
      <c r="M239" t="inlineStr">
        <is>
          <t>1964</t>
        </is>
      </c>
      <c r="O239" t="inlineStr">
        <is>
          <t>eng</t>
        </is>
      </c>
      <c r="P239" t="inlineStr">
        <is>
          <t>enk</t>
        </is>
      </c>
      <c r="Q239" t="inlineStr">
        <is>
          <t>The Life of science library, 43</t>
        </is>
      </c>
      <c r="R239" t="inlineStr">
        <is>
          <t xml:space="preserve">QH </t>
        </is>
      </c>
      <c r="S239" t="n">
        <v>1</v>
      </c>
      <c r="T239" t="n">
        <v>1</v>
      </c>
      <c r="U239" t="inlineStr">
        <is>
          <t>2003-02-09</t>
        </is>
      </c>
      <c r="V239" t="inlineStr">
        <is>
          <t>2003-02-09</t>
        </is>
      </c>
      <c r="W239" t="inlineStr">
        <is>
          <t>1997-06-27</t>
        </is>
      </c>
      <c r="X239" t="inlineStr">
        <is>
          <t>1997-06-27</t>
        </is>
      </c>
      <c r="Y239" t="n">
        <v>555</v>
      </c>
      <c r="Z239" t="n">
        <v>463</v>
      </c>
      <c r="AA239" t="n">
        <v>472</v>
      </c>
      <c r="AB239" t="n">
        <v>3</v>
      </c>
      <c r="AC239" t="n">
        <v>3</v>
      </c>
      <c r="AD239" t="n">
        <v>16</v>
      </c>
      <c r="AE239" t="n">
        <v>16</v>
      </c>
      <c r="AF239" t="n">
        <v>6</v>
      </c>
      <c r="AG239" t="n">
        <v>6</v>
      </c>
      <c r="AH239" t="n">
        <v>2</v>
      </c>
      <c r="AI239" t="n">
        <v>2</v>
      </c>
      <c r="AJ239" t="n">
        <v>10</v>
      </c>
      <c r="AK239" t="n">
        <v>10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HYPERLINK("http://catalog.hathitrust.org/Record/001490072","HathiTrust Record")</f>
        <v/>
      </c>
      <c r="AS239">
        <f>HYPERLINK("https://creighton-primo.hosted.exlibrisgroup.com/primo-explore/search?tab=default_tab&amp;search_scope=EVERYTHING&amp;vid=01CRU&amp;lang=en_US&amp;offset=0&amp;query=any,contains,991003714979702656","Catalog Record")</f>
        <v/>
      </c>
      <c r="AT239">
        <f>HYPERLINK("http://www.worldcat.org/oclc/1358962","WorldCat Record")</f>
        <v/>
      </c>
      <c r="AU239" t="inlineStr">
        <is>
          <t>2259697:eng</t>
        </is>
      </c>
      <c r="AV239" t="inlineStr">
        <is>
          <t>1358962</t>
        </is>
      </c>
      <c r="AW239" t="inlineStr">
        <is>
          <t>991003714979702656</t>
        </is>
      </c>
      <c r="AX239" t="inlineStr">
        <is>
          <t>991003714979702656</t>
        </is>
      </c>
      <c r="AY239" t="inlineStr">
        <is>
          <t>2269326870002656</t>
        </is>
      </c>
      <c r="AZ239" t="inlineStr">
        <is>
          <t>BOOK</t>
        </is>
      </c>
      <c r="BC239" t="inlineStr">
        <is>
          <t>32285002865227</t>
        </is>
      </c>
      <c r="BD239" t="inlineStr">
        <is>
          <t>893781311</t>
        </is>
      </c>
    </row>
    <row r="240">
      <c r="A240" t="inlineStr">
        <is>
          <t>No</t>
        </is>
      </c>
      <c r="B240" t="inlineStr">
        <is>
          <t>QH31.W2 M3</t>
        </is>
      </c>
      <c r="C240" t="inlineStr">
        <is>
          <t>0                      QH 0031000W  2                  M  3</t>
        </is>
      </c>
      <c r="D240" t="inlineStr">
        <is>
          <t>Wallace and natural selection, by H. Lewis McKinney.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McKinney, H. Lewis (Henry Lewis)</t>
        </is>
      </c>
      <c r="L240" t="inlineStr">
        <is>
          <t>New Haven [Conn.] Yale University Press, 1972.</t>
        </is>
      </c>
      <c r="M240" t="inlineStr">
        <is>
          <t>1972</t>
        </is>
      </c>
      <c r="O240" t="inlineStr">
        <is>
          <t>eng</t>
        </is>
      </c>
      <c r="P240" t="inlineStr">
        <is>
          <t>ctu</t>
        </is>
      </c>
      <c r="Q240" t="inlineStr">
        <is>
          <t>Yale studies in the history of science and medicine ; 8</t>
        </is>
      </c>
      <c r="R240" t="inlineStr">
        <is>
          <t xml:space="preserve">QH </t>
        </is>
      </c>
      <c r="S240" t="n">
        <v>2</v>
      </c>
      <c r="T240" t="n">
        <v>2</v>
      </c>
      <c r="U240" t="inlineStr">
        <is>
          <t>1996-09-16</t>
        </is>
      </c>
      <c r="V240" t="inlineStr">
        <is>
          <t>1996-09-16</t>
        </is>
      </c>
      <c r="W240" t="inlineStr">
        <is>
          <t>1996-09-16</t>
        </is>
      </c>
      <c r="X240" t="inlineStr">
        <is>
          <t>1996-09-16</t>
        </is>
      </c>
      <c r="Y240" t="n">
        <v>697</v>
      </c>
      <c r="Z240" t="n">
        <v>584</v>
      </c>
      <c r="AA240" t="n">
        <v>592</v>
      </c>
      <c r="AB240" t="n">
        <v>2</v>
      </c>
      <c r="AC240" t="n">
        <v>2</v>
      </c>
      <c r="AD240" t="n">
        <v>16</v>
      </c>
      <c r="AE240" t="n">
        <v>16</v>
      </c>
      <c r="AF240" t="n">
        <v>5</v>
      </c>
      <c r="AG240" t="n">
        <v>5</v>
      </c>
      <c r="AH240" t="n">
        <v>3</v>
      </c>
      <c r="AI240" t="n">
        <v>3</v>
      </c>
      <c r="AJ240" t="n">
        <v>10</v>
      </c>
      <c r="AK240" t="n">
        <v>10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HYPERLINK("https://creighton-primo.hosted.exlibrisgroup.com/primo-explore/search?tab=default_tab&amp;search_scope=EVERYTHING&amp;vid=01CRU&amp;lang=en_US&amp;offset=0&amp;query=any,contains,991002854129702656","Catalog Record")</f>
        <v/>
      </c>
      <c r="AT240">
        <f>HYPERLINK("http://www.worldcat.org/oclc/488387","WorldCat Record")</f>
        <v/>
      </c>
      <c r="AU240" t="inlineStr">
        <is>
          <t>1575532:eng</t>
        </is>
      </c>
      <c r="AV240" t="inlineStr">
        <is>
          <t>488387</t>
        </is>
      </c>
      <c r="AW240" t="inlineStr">
        <is>
          <t>991002854129702656</t>
        </is>
      </c>
      <c r="AX240" t="inlineStr">
        <is>
          <t>991002854129702656</t>
        </is>
      </c>
      <c r="AY240" t="inlineStr">
        <is>
          <t>2256034920002656</t>
        </is>
      </c>
      <c r="AZ240" t="inlineStr">
        <is>
          <t>BOOK</t>
        </is>
      </c>
      <c r="BB240" t="inlineStr">
        <is>
          <t>9780300015560</t>
        </is>
      </c>
      <c r="BC240" t="inlineStr">
        <is>
          <t>32285002198538</t>
        </is>
      </c>
      <c r="BD240" t="inlineStr">
        <is>
          <t>893604129</t>
        </is>
      </c>
    </row>
    <row r="241">
      <c r="A241" t="inlineStr">
        <is>
          <t>No</t>
        </is>
      </c>
      <c r="B241" t="inlineStr">
        <is>
          <t>QH31.W64 A3 1994</t>
        </is>
      </c>
      <c r="C241" t="inlineStr">
        <is>
          <t>0                      QH 0031000W  64                 A  3           1994</t>
        </is>
      </c>
      <c r="D241" t="inlineStr">
        <is>
          <t>Naturalist / Edward O. Wilson.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Wilson, Edward O.</t>
        </is>
      </c>
      <c r="L241" t="inlineStr">
        <is>
          <t>Washington, D.C. : Island Press/Shearwater Books, c1994.</t>
        </is>
      </c>
      <c r="M241" t="inlineStr">
        <is>
          <t>1994</t>
        </is>
      </c>
      <c r="O241" t="inlineStr">
        <is>
          <t>eng</t>
        </is>
      </c>
      <c r="P241" t="inlineStr">
        <is>
          <t>dcu</t>
        </is>
      </c>
      <c r="R241" t="inlineStr">
        <is>
          <t xml:space="preserve">QH </t>
        </is>
      </c>
      <c r="S241" t="n">
        <v>7</v>
      </c>
      <c r="T241" t="n">
        <v>7</v>
      </c>
      <c r="U241" t="inlineStr">
        <is>
          <t>1999-09-07</t>
        </is>
      </c>
      <c r="V241" t="inlineStr">
        <is>
          <t>1999-09-07</t>
        </is>
      </c>
      <c r="W241" t="inlineStr">
        <is>
          <t>1994-12-21</t>
        </is>
      </c>
      <c r="X241" t="inlineStr">
        <is>
          <t>1994-12-21</t>
        </is>
      </c>
      <c r="Y241" t="n">
        <v>1858</v>
      </c>
      <c r="Z241" t="n">
        <v>1722</v>
      </c>
      <c r="AA241" t="n">
        <v>2119</v>
      </c>
      <c r="AB241" t="n">
        <v>12</v>
      </c>
      <c r="AC241" t="n">
        <v>15</v>
      </c>
      <c r="AD241" t="n">
        <v>49</v>
      </c>
      <c r="AE241" t="n">
        <v>61</v>
      </c>
      <c r="AF241" t="n">
        <v>22</v>
      </c>
      <c r="AG241" t="n">
        <v>26</v>
      </c>
      <c r="AH241" t="n">
        <v>6</v>
      </c>
      <c r="AI241" t="n">
        <v>10</v>
      </c>
      <c r="AJ241" t="n">
        <v>24</v>
      </c>
      <c r="AK241" t="n">
        <v>26</v>
      </c>
      <c r="AL241" t="n">
        <v>8</v>
      </c>
      <c r="AM241" t="n">
        <v>11</v>
      </c>
      <c r="AN241" t="n">
        <v>0</v>
      </c>
      <c r="AO241" t="n">
        <v>1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HYPERLINK("http://catalog.hathitrust.org/Record/002900530","HathiTrust Record")</f>
        <v/>
      </c>
      <c r="AS241">
        <f>HYPERLINK("https://creighton-primo.hosted.exlibrisgroup.com/primo-explore/search?tab=default_tab&amp;search_scope=EVERYTHING&amp;vid=01CRU&amp;lang=en_US&amp;offset=0&amp;query=any,contains,991002353229702656","Catalog Record")</f>
        <v/>
      </c>
      <c r="AT241">
        <f>HYPERLINK("http://www.worldcat.org/oclc/30625079","WorldCat Record")</f>
        <v/>
      </c>
      <c r="AU241" t="inlineStr">
        <is>
          <t>9363128:eng</t>
        </is>
      </c>
      <c r="AV241" t="inlineStr">
        <is>
          <t>30625079</t>
        </is>
      </c>
      <c r="AW241" t="inlineStr">
        <is>
          <t>991002353229702656</t>
        </is>
      </c>
      <c r="AX241" t="inlineStr">
        <is>
          <t>991002353229702656</t>
        </is>
      </c>
      <c r="AY241" t="inlineStr">
        <is>
          <t>2260865630002656</t>
        </is>
      </c>
      <c r="AZ241" t="inlineStr">
        <is>
          <t>BOOK</t>
        </is>
      </c>
      <c r="BB241" t="inlineStr">
        <is>
          <t>9781559632881</t>
        </is>
      </c>
      <c r="BC241" t="inlineStr">
        <is>
          <t>32285001978120</t>
        </is>
      </c>
      <c r="BD241" t="inlineStr">
        <is>
          <t>893697675</t>
        </is>
      </c>
    </row>
    <row r="242">
      <c r="A242" t="inlineStr">
        <is>
          <t>No</t>
        </is>
      </c>
      <c r="B242" t="inlineStr">
        <is>
          <t>QH311 .B33</t>
        </is>
      </c>
      <c r="C242" t="inlineStr">
        <is>
          <t>0                      QH 0311000B  33</t>
        </is>
      </c>
      <c r="D242" t="inlineStr">
        <is>
          <t>A century of Darwin.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Barnett, S. A. (Samuel Anthony), 1915-2003 editor.</t>
        </is>
      </c>
      <c r="L242" t="inlineStr">
        <is>
          <t>Freeport, N.Y. : Books for Libraries Press, [1969, c1958]</t>
        </is>
      </c>
      <c r="M242" t="inlineStr">
        <is>
          <t>1969</t>
        </is>
      </c>
      <c r="O242" t="inlineStr">
        <is>
          <t>eng</t>
        </is>
      </c>
      <c r="P242" t="inlineStr">
        <is>
          <t>nyu</t>
        </is>
      </c>
      <c r="Q242" t="inlineStr">
        <is>
          <t>Essay index reprint series</t>
        </is>
      </c>
      <c r="R242" t="inlineStr">
        <is>
          <t xml:space="preserve">QH </t>
        </is>
      </c>
      <c r="S242" t="n">
        <v>15</v>
      </c>
      <c r="T242" t="n">
        <v>15</v>
      </c>
      <c r="U242" t="inlineStr">
        <is>
          <t>2004-12-06</t>
        </is>
      </c>
      <c r="V242" t="inlineStr">
        <is>
          <t>2004-12-06</t>
        </is>
      </c>
      <c r="W242" t="inlineStr">
        <is>
          <t>1994-10-25</t>
        </is>
      </c>
      <c r="X242" t="inlineStr">
        <is>
          <t>1994-10-25</t>
        </is>
      </c>
      <c r="Y242" t="n">
        <v>271</v>
      </c>
      <c r="Z242" t="n">
        <v>261</v>
      </c>
      <c r="AA242" t="n">
        <v>718</v>
      </c>
      <c r="AB242" t="n">
        <v>3</v>
      </c>
      <c r="AC242" t="n">
        <v>6</v>
      </c>
      <c r="AD242" t="n">
        <v>13</v>
      </c>
      <c r="AE242" t="n">
        <v>33</v>
      </c>
      <c r="AF242" t="n">
        <v>9</v>
      </c>
      <c r="AG242" t="n">
        <v>12</v>
      </c>
      <c r="AH242" t="n">
        <v>1</v>
      </c>
      <c r="AI242" t="n">
        <v>5</v>
      </c>
      <c r="AJ242" t="n">
        <v>3</v>
      </c>
      <c r="AK242" t="n">
        <v>17</v>
      </c>
      <c r="AL242" t="n">
        <v>2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HYPERLINK("https://creighton-primo.hosted.exlibrisgroup.com/primo-explore/search?tab=default_tab&amp;search_scope=EVERYTHING&amp;vid=01CRU&amp;lang=en_US&amp;offset=0&amp;query=any,contains,991000063689702656","Catalog Record")</f>
        <v/>
      </c>
      <c r="AT242">
        <f>HYPERLINK("http://www.worldcat.org/oclc/26072","WorldCat Record")</f>
        <v/>
      </c>
      <c r="AU242" t="inlineStr">
        <is>
          <t>1165567:eng</t>
        </is>
      </c>
      <c r="AV242" t="inlineStr">
        <is>
          <t>26072</t>
        </is>
      </c>
      <c r="AW242" t="inlineStr">
        <is>
          <t>991000063689702656</t>
        </is>
      </c>
      <c r="AX242" t="inlineStr">
        <is>
          <t>991000063689702656</t>
        </is>
      </c>
      <c r="AY242" t="inlineStr">
        <is>
          <t>2265711810002656</t>
        </is>
      </c>
      <c r="AZ242" t="inlineStr">
        <is>
          <t>BOOK</t>
        </is>
      </c>
      <c r="BB242" t="inlineStr">
        <is>
          <t>9780836910193</t>
        </is>
      </c>
      <c r="BC242" t="inlineStr">
        <is>
          <t>32285001963080</t>
        </is>
      </c>
      <c r="BD242" t="inlineStr">
        <is>
          <t>893877766</t>
        </is>
      </c>
    </row>
    <row r="243">
      <c r="A243" t="inlineStr">
        <is>
          <t>No</t>
        </is>
      </c>
      <c r="B243" t="inlineStr">
        <is>
          <t>QH311 .B49 1993</t>
        </is>
      </c>
      <c r="C243" t="inlineStr">
        <is>
          <t>0                      QH 0311000B  49          1993</t>
        </is>
      </c>
      <c r="D243" t="inlineStr">
        <is>
          <t>The Biological century : Friday evening talks at the Marine Biological Laboratory / edited by Robert B. Barlow, Jr. ... [et al.].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Woods Hole, Mass. : The Laboratory ; Cambridge, Mass. : Distributed by Harvard University Press, c1993.</t>
        </is>
      </c>
      <c r="M243" t="inlineStr">
        <is>
          <t>1993</t>
        </is>
      </c>
      <c r="O243" t="inlineStr">
        <is>
          <t>eng</t>
        </is>
      </c>
      <c r="P243" t="inlineStr">
        <is>
          <t>mau</t>
        </is>
      </c>
      <c r="R243" t="inlineStr">
        <is>
          <t xml:space="preserve">QH </t>
        </is>
      </c>
      <c r="S243" t="n">
        <v>1</v>
      </c>
      <c r="T243" t="n">
        <v>1</v>
      </c>
      <c r="U243" t="inlineStr">
        <is>
          <t>1994-08-26</t>
        </is>
      </c>
      <c r="V243" t="inlineStr">
        <is>
          <t>1994-08-26</t>
        </is>
      </c>
      <c r="W243" t="inlineStr">
        <is>
          <t>1994-08-02</t>
        </is>
      </c>
      <c r="X243" t="inlineStr">
        <is>
          <t>1994-08-02</t>
        </is>
      </c>
      <c r="Y243" t="n">
        <v>295</v>
      </c>
      <c r="Z243" t="n">
        <v>254</v>
      </c>
      <c r="AA243" t="n">
        <v>255</v>
      </c>
      <c r="AB243" t="n">
        <v>3</v>
      </c>
      <c r="AC243" t="n">
        <v>3</v>
      </c>
      <c r="AD243" t="n">
        <v>10</v>
      </c>
      <c r="AE243" t="n">
        <v>10</v>
      </c>
      <c r="AF243" t="n">
        <v>3</v>
      </c>
      <c r="AG243" t="n">
        <v>3</v>
      </c>
      <c r="AH243" t="n">
        <v>4</v>
      </c>
      <c r="AI243" t="n">
        <v>4</v>
      </c>
      <c r="AJ243" t="n">
        <v>5</v>
      </c>
      <c r="AK243" t="n">
        <v>5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HYPERLINK("http://catalog.hathitrust.org/Record/002783890","HathiTrust Record")</f>
        <v/>
      </c>
      <c r="AS243">
        <f>HYPERLINK("https://creighton-primo.hosted.exlibrisgroup.com/primo-explore/search?tab=default_tab&amp;search_scope=EVERYTHING&amp;vid=01CRU&amp;lang=en_US&amp;offset=0&amp;query=any,contains,991002109289702656","Catalog Record")</f>
        <v/>
      </c>
      <c r="AT243">
        <f>HYPERLINK("http://www.worldcat.org/oclc/27035329","WorldCat Record")</f>
        <v/>
      </c>
      <c r="AU243" t="inlineStr">
        <is>
          <t>836881669:eng</t>
        </is>
      </c>
      <c r="AV243" t="inlineStr">
        <is>
          <t>27035329</t>
        </is>
      </c>
      <c r="AW243" t="inlineStr">
        <is>
          <t>991002109289702656</t>
        </is>
      </c>
      <c r="AX243" t="inlineStr">
        <is>
          <t>991002109289702656</t>
        </is>
      </c>
      <c r="AY243" t="inlineStr">
        <is>
          <t>2270365800002656</t>
        </is>
      </c>
      <c r="AZ243" t="inlineStr">
        <is>
          <t>BOOK</t>
        </is>
      </c>
      <c r="BB243" t="inlineStr">
        <is>
          <t>9780674074033</t>
        </is>
      </c>
      <c r="BC243" t="inlineStr">
        <is>
          <t>32285001940260</t>
        </is>
      </c>
      <c r="BD243" t="inlineStr">
        <is>
          <t>893510305</t>
        </is>
      </c>
    </row>
    <row r="244">
      <c r="A244" t="inlineStr">
        <is>
          <t>No</t>
        </is>
      </c>
      <c r="B244" t="inlineStr">
        <is>
          <t>QH311 .D38 1986</t>
        </is>
      </c>
      <c r="C244" t="inlineStr">
        <is>
          <t>0                      QH 0311000D  38          1986</t>
        </is>
      </c>
      <c r="D244" t="inlineStr">
        <is>
          <t>Storm over biology : essays on science, sentiment, and public policy / Bernard D. Davis.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Davis, Bernard D., 1916-1994.</t>
        </is>
      </c>
      <c r="L244" t="inlineStr">
        <is>
          <t>Buffalo, N.Y. : Prometheus Books, 1986.</t>
        </is>
      </c>
      <c r="M244" t="inlineStr">
        <is>
          <t>1986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QH </t>
        </is>
      </c>
      <c r="S244" t="n">
        <v>1</v>
      </c>
      <c r="T244" t="n">
        <v>1</v>
      </c>
      <c r="U244" t="inlineStr">
        <is>
          <t>2001-03-16</t>
        </is>
      </c>
      <c r="V244" t="inlineStr">
        <is>
          <t>2001-03-16</t>
        </is>
      </c>
      <c r="W244" t="inlineStr">
        <is>
          <t>1993-03-17</t>
        </is>
      </c>
      <c r="X244" t="inlineStr">
        <is>
          <t>1993-03-17</t>
        </is>
      </c>
      <c r="Y244" t="n">
        <v>424</v>
      </c>
      <c r="Z244" t="n">
        <v>368</v>
      </c>
      <c r="AA244" t="n">
        <v>379</v>
      </c>
      <c r="AB244" t="n">
        <v>2</v>
      </c>
      <c r="AC244" t="n">
        <v>2</v>
      </c>
      <c r="AD244" t="n">
        <v>11</v>
      </c>
      <c r="AE244" t="n">
        <v>11</v>
      </c>
      <c r="AF244" t="n">
        <v>5</v>
      </c>
      <c r="AG244" t="n">
        <v>5</v>
      </c>
      <c r="AH244" t="n">
        <v>2</v>
      </c>
      <c r="AI244" t="n">
        <v>2</v>
      </c>
      <c r="AJ244" t="n">
        <v>7</v>
      </c>
      <c r="AK244" t="n">
        <v>7</v>
      </c>
      <c r="AL244" t="n">
        <v>1</v>
      </c>
      <c r="AM244" t="n">
        <v>1</v>
      </c>
      <c r="AN244" t="n">
        <v>1</v>
      </c>
      <c r="AO244" t="n">
        <v>1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HYPERLINK("http://catalog.hathitrust.org/Record/000433069","HathiTrust Record")</f>
        <v/>
      </c>
      <c r="AS244">
        <f>HYPERLINK("https://creighton-primo.hosted.exlibrisgroup.com/primo-explore/search?tab=default_tab&amp;search_scope=EVERYTHING&amp;vid=01CRU&amp;lang=en_US&amp;offset=0&amp;query=any,contains,991000814499702656","Catalog Record")</f>
        <v/>
      </c>
      <c r="AT244">
        <f>HYPERLINK("http://www.worldcat.org/oclc/15053102","WorldCat Record")</f>
        <v/>
      </c>
      <c r="AU244" t="inlineStr">
        <is>
          <t>835843676:eng</t>
        </is>
      </c>
      <c r="AV244" t="inlineStr">
        <is>
          <t>15053102</t>
        </is>
      </c>
      <c r="AW244" t="inlineStr">
        <is>
          <t>991000814499702656</t>
        </is>
      </c>
      <c r="AX244" t="inlineStr">
        <is>
          <t>991000814499702656</t>
        </is>
      </c>
      <c r="AY244" t="inlineStr">
        <is>
          <t>2260510960002656</t>
        </is>
      </c>
      <c r="AZ244" t="inlineStr">
        <is>
          <t>BOOK</t>
        </is>
      </c>
      <c r="BB244" t="inlineStr">
        <is>
          <t>9780879753245</t>
        </is>
      </c>
      <c r="BC244" t="inlineStr">
        <is>
          <t>32285001552578</t>
        </is>
      </c>
      <c r="BD244" t="inlineStr">
        <is>
          <t>893595910</t>
        </is>
      </c>
    </row>
    <row r="245">
      <c r="A245" t="inlineStr">
        <is>
          <t>No</t>
        </is>
      </c>
      <c r="B245" t="inlineStr">
        <is>
          <t>QH311 .D4 1986</t>
        </is>
      </c>
      <c r="C245" t="inlineStr">
        <is>
          <t>0                      QH 0311000D  4           1986</t>
        </is>
      </c>
      <c r="D245" t="inlineStr">
        <is>
          <t>Defining biology : lectures from the 1890s / edited by Jane Maienschein.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Cambridge, Mass. : Harvard University Press, 1986.</t>
        </is>
      </c>
      <c r="M245" t="inlineStr">
        <is>
          <t>1986</t>
        </is>
      </c>
      <c r="O245" t="inlineStr">
        <is>
          <t>eng</t>
        </is>
      </c>
      <c r="P245" t="inlineStr">
        <is>
          <t>mau</t>
        </is>
      </c>
      <c r="R245" t="inlineStr">
        <is>
          <t xml:space="preserve">QH </t>
        </is>
      </c>
      <c r="S245" t="n">
        <v>7</v>
      </c>
      <c r="T245" t="n">
        <v>7</v>
      </c>
      <c r="U245" t="inlineStr">
        <is>
          <t>1996-09-22</t>
        </is>
      </c>
      <c r="V245" t="inlineStr">
        <is>
          <t>1996-09-22</t>
        </is>
      </c>
      <c r="W245" t="inlineStr">
        <is>
          <t>1993-01-21</t>
        </is>
      </c>
      <c r="X245" t="inlineStr">
        <is>
          <t>1993-01-21</t>
        </is>
      </c>
      <c r="Y245" t="n">
        <v>416</v>
      </c>
      <c r="Z245" t="n">
        <v>359</v>
      </c>
      <c r="AA245" t="n">
        <v>365</v>
      </c>
      <c r="AB245" t="n">
        <v>4</v>
      </c>
      <c r="AC245" t="n">
        <v>4</v>
      </c>
      <c r="AD245" t="n">
        <v>13</v>
      </c>
      <c r="AE245" t="n">
        <v>13</v>
      </c>
      <c r="AF245" t="n">
        <v>2</v>
      </c>
      <c r="AG245" t="n">
        <v>2</v>
      </c>
      <c r="AH245" t="n">
        <v>3</v>
      </c>
      <c r="AI245" t="n">
        <v>3</v>
      </c>
      <c r="AJ245" t="n">
        <v>7</v>
      </c>
      <c r="AK245" t="n">
        <v>7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HYPERLINK("http://catalog.hathitrust.org/Record/000554714","HathiTrust Record")</f>
        <v/>
      </c>
      <c r="AS245">
        <f>HYPERLINK("https://creighton-primo.hosted.exlibrisgroup.com/primo-explore/search?tab=default_tab&amp;search_scope=EVERYTHING&amp;vid=01CRU&amp;lang=en_US&amp;offset=0&amp;query=any,contains,991000784639702656","Catalog Record")</f>
        <v/>
      </c>
      <c r="AT245">
        <f>HYPERLINK("http://www.worldcat.org/oclc/13122861","WorldCat Record")</f>
        <v/>
      </c>
      <c r="AU245" t="inlineStr">
        <is>
          <t>836618061:eng</t>
        </is>
      </c>
      <c r="AV245" t="inlineStr">
        <is>
          <t>13122861</t>
        </is>
      </c>
      <c r="AW245" t="inlineStr">
        <is>
          <t>991000784639702656</t>
        </is>
      </c>
      <c r="AX245" t="inlineStr">
        <is>
          <t>991000784639702656</t>
        </is>
      </c>
      <c r="AY245" t="inlineStr">
        <is>
          <t>2255073840002656</t>
        </is>
      </c>
      <c r="AZ245" t="inlineStr">
        <is>
          <t>BOOK</t>
        </is>
      </c>
      <c r="BB245" t="inlineStr">
        <is>
          <t>9780674196155</t>
        </is>
      </c>
      <c r="BC245" t="inlineStr">
        <is>
          <t>32285001476760</t>
        </is>
      </c>
      <c r="BD245" t="inlineStr">
        <is>
          <t>893690029</t>
        </is>
      </c>
    </row>
    <row r="246">
      <c r="A246" t="inlineStr">
        <is>
          <t>No</t>
        </is>
      </c>
      <c r="B246" t="inlineStr">
        <is>
          <t>QH311 .G68 1987</t>
        </is>
      </c>
      <c r="C246" t="inlineStr">
        <is>
          <t>0                      QH 0311000G  68          1987</t>
        </is>
      </c>
      <c r="D246" t="inlineStr">
        <is>
          <t>An urchin in the storm : essays about books and ideas / by Stephen Jay Gould.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Gould, Stephen Jay.</t>
        </is>
      </c>
      <c r="L246" t="inlineStr">
        <is>
          <t>New York : W.W. Norton, 1987.</t>
        </is>
      </c>
      <c r="M246" t="inlineStr">
        <is>
          <t>1987</t>
        </is>
      </c>
      <c r="N246" t="inlineStr">
        <is>
          <t>1st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QH </t>
        </is>
      </c>
      <c r="S246" t="n">
        <v>4</v>
      </c>
      <c r="T246" t="n">
        <v>4</v>
      </c>
      <c r="U246" t="inlineStr">
        <is>
          <t>2001-04-17</t>
        </is>
      </c>
      <c r="V246" t="inlineStr">
        <is>
          <t>2001-04-17</t>
        </is>
      </c>
      <c r="W246" t="inlineStr">
        <is>
          <t>1993-03-17</t>
        </is>
      </c>
      <c r="X246" t="inlineStr">
        <is>
          <t>1993-03-17</t>
        </is>
      </c>
      <c r="Y246" t="n">
        <v>1093</v>
      </c>
      <c r="Z246" t="n">
        <v>994</v>
      </c>
      <c r="AA246" t="n">
        <v>1098</v>
      </c>
      <c r="AB246" t="n">
        <v>6</v>
      </c>
      <c r="AC246" t="n">
        <v>7</v>
      </c>
      <c r="AD246" t="n">
        <v>37</v>
      </c>
      <c r="AE246" t="n">
        <v>38</v>
      </c>
      <c r="AF246" t="n">
        <v>14</v>
      </c>
      <c r="AG246" t="n">
        <v>15</v>
      </c>
      <c r="AH246" t="n">
        <v>7</v>
      </c>
      <c r="AI246" t="n">
        <v>8</v>
      </c>
      <c r="AJ246" t="n">
        <v>20</v>
      </c>
      <c r="AK246" t="n">
        <v>20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HYPERLINK("https://creighton-primo.hosted.exlibrisgroup.com/primo-explore/search?tab=default_tab&amp;search_scope=EVERYTHING&amp;vid=01CRU&amp;lang=en_US&amp;offset=0&amp;query=any,contains,991001112489702656","Catalog Record")</f>
        <v/>
      </c>
      <c r="AT246">
        <f>HYPERLINK("http://www.worldcat.org/oclc/16472146","WorldCat Record")</f>
        <v/>
      </c>
      <c r="AU246" t="inlineStr">
        <is>
          <t>12323414:eng</t>
        </is>
      </c>
      <c r="AV246" t="inlineStr">
        <is>
          <t>16472146</t>
        </is>
      </c>
      <c r="AW246" t="inlineStr">
        <is>
          <t>991001112489702656</t>
        </is>
      </c>
      <c r="AX246" t="inlineStr">
        <is>
          <t>991001112489702656</t>
        </is>
      </c>
      <c r="AY246" t="inlineStr">
        <is>
          <t>2265588070002656</t>
        </is>
      </c>
      <c r="AZ246" t="inlineStr">
        <is>
          <t>BOOK</t>
        </is>
      </c>
      <c r="BB246" t="inlineStr">
        <is>
          <t>9780393024920</t>
        </is>
      </c>
      <c r="BC246" t="inlineStr">
        <is>
          <t>32285001552586</t>
        </is>
      </c>
      <c r="BD246" t="inlineStr">
        <is>
          <t>893528666</t>
        </is>
      </c>
    </row>
    <row r="247">
      <c r="A247" t="inlineStr">
        <is>
          <t>No</t>
        </is>
      </c>
      <c r="B247" t="inlineStr">
        <is>
          <t>QH311 .H318 1985</t>
        </is>
      </c>
      <c r="C247" t="inlineStr">
        <is>
          <t>0                      QH 0311000H  318         1985</t>
        </is>
      </c>
      <c r="D247" t="inlineStr">
        <is>
          <t>On being the right size and other essays / J.B.S. Haldane ; edited by John Maynard Smith.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Haldane, J. B. S. (John Burdon Sanderson), 1892-1964.</t>
        </is>
      </c>
      <c r="L247" t="inlineStr">
        <is>
          <t>Oxford ; New York : Oxford University Press, 1985.</t>
        </is>
      </c>
      <c r="M247" t="inlineStr">
        <is>
          <t>1985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QH </t>
        </is>
      </c>
      <c r="S247" t="n">
        <v>6</v>
      </c>
      <c r="T247" t="n">
        <v>6</v>
      </c>
      <c r="U247" t="inlineStr">
        <is>
          <t>1996-02-25</t>
        </is>
      </c>
      <c r="V247" t="inlineStr">
        <is>
          <t>1996-02-25</t>
        </is>
      </c>
      <c r="W247" t="inlineStr">
        <is>
          <t>1993-03-17</t>
        </is>
      </c>
      <c r="X247" t="inlineStr">
        <is>
          <t>1993-03-17</t>
        </is>
      </c>
      <c r="Y247" t="n">
        <v>388</v>
      </c>
      <c r="Z247" t="n">
        <v>266</v>
      </c>
      <c r="AA247" t="n">
        <v>268</v>
      </c>
      <c r="AB247" t="n">
        <v>4</v>
      </c>
      <c r="AC247" t="n">
        <v>4</v>
      </c>
      <c r="AD247" t="n">
        <v>10</v>
      </c>
      <c r="AE247" t="n">
        <v>10</v>
      </c>
      <c r="AF247" t="n">
        <v>3</v>
      </c>
      <c r="AG247" t="n">
        <v>3</v>
      </c>
      <c r="AH247" t="n">
        <v>2</v>
      </c>
      <c r="AI247" t="n">
        <v>2</v>
      </c>
      <c r="AJ247" t="n">
        <v>6</v>
      </c>
      <c r="AK247" t="n">
        <v>6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HYPERLINK("http://catalog.hathitrust.org/Record/000609641","HathiTrust Record")</f>
        <v/>
      </c>
      <c r="AS247">
        <f>HYPERLINK("https://creighton-primo.hosted.exlibrisgroup.com/primo-explore/search?tab=default_tab&amp;search_scope=EVERYTHING&amp;vid=01CRU&amp;lang=en_US&amp;offset=0&amp;query=any,contains,991000479699702656","Catalog Record")</f>
        <v/>
      </c>
      <c r="AT247">
        <f>HYPERLINK("http://www.worldcat.org/oclc/11044998","WorldCat Record")</f>
        <v/>
      </c>
      <c r="AU247" t="inlineStr">
        <is>
          <t>4086907:eng</t>
        </is>
      </c>
      <c r="AV247" t="inlineStr">
        <is>
          <t>11044998</t>
        </is>
      </c>
      <c r="AW247" t="inlineStr">
        <is>
          <t>991000479699702656</t>
        </is>
      </c>
      <c r="AX247" t="inlineStr">
        <is>
          <t>991000479699702656</t>
        </is>
      </c>
      <c r="AY247" t="inlineStr">
        <is>
          <t>2260963520002656</t>
        </is>
      </c>
      <c r="AZ247" t="inlineStr">
        <is>
          <t>BOOK</t>
        </is>
      </c>
      <c r="BB247" t="inlineStr">
        <is>
          <t>9780192860453</t>
        </is>
      </c>
      <c r="BC247" t="inlineStr">
        <is>
          <t>32285001552594</t>
        </is>
      </c>
      <c r="BD247" t="inlineStr">
        <is>
          <t>893595582</t>
        </is>
      </c>
    </row>
    <row r="248">
      <c r="A248" t="inlineStr">
        <is>
          <t>No</t>
        </is>
      </c>
      <c r="B248" t="inlineStr">
        <is>
          <t>QH311 .L645 1989</t>
        </is>
      </c>
      <c r="C248" t="inlineStr">
        <is>
          <t>0                      QH 0311000L  645         1989</t>
        </is>
      </c>
      <c r="D248" t="inlineStr">
        <is>
          <t>Life at the edge : readings from Scientific American magazine / edited by James L. Gould, Carol Grant Gould.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Freeman, c1989.</t>
        </is>
      </c>
      <c r="M248" t="inlineStr">
        <is>
          <t>1989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QH </t>
        </is>
      </c>
      <c r="S248" t="n">
        <v>10</v>
      </c>
      <c r="T248" t="n">
        <v>10</v>
      </c>
      <c r="U248" t="inlineStr">
        <is>
          <t>2001-04-17</t>
        </is>
      </c>
      <c r="V248" t="inlineStr">
        <is>
          <t>2001-04-17</t>
        </is>
      </c>
      <c r="W248" t="inlineStr">
        <is>
          <t>1992-02-13</t>
        </is>
      </c>
      <c r="X248" t="inlineStr">
        <is>
          <t>1992-02-13</t>
        </is>
      </c>
      <c r="Y248" t="n">
        <v>645</v>
      </c>
      <c r="Z248" t="n">
        <v>526</v>
      </c>
      <c r="AA248" t="n">
        <v>545</v>
      </c>
      <c r="AB248" t="n">
        <v>6</v>
      </c>
      <c r="AC248" t="n">
        <v>6</v>
      </c>
      <c r="AD248" t="n">
        <v>10</v>
      </c>
      <c r="AE248" t="n">
        <v>10</v>
      </c>
      <c r="AF248" t="n">
        <v>0</v>
      </c>
      <c r="AG248" t="n">
        <v>0</v>
      </c>
      <c r="AH248" t="n">
        <v>1</v>
      </c>
      <c r="AI248" t="n">
        <v>1</v>
      </c>
      <c r="AJ248" t="n">
        <v>6</v>
      </c>
      <c r="AK248" t="n">
        <v>6</v>
      </c>
      <c r="AL248" t="n">
        <v>3</v>
      </c>
      <c r="AM248" t="n">
        <v>3</v>
      </c>
      <c r="AN248" t="n">
        <v>1</v>
      </c>
      <c r="AO248" t="n">
        <v>1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HYPERLINK("https://creighton-primo.hosted.exlibrisgroup.com/primo-explore/search?tab=default_tab&amp;search_scope=EVERYTHING&amp;vid=01CRU&amp;lang=en_US&amp;offset=0&amp;query=any,contains,991001410729702656","Catalog Record")</f>
        <v/>
      </c>
      <c r="AT248">
        <f>HYPERLINK("http://www.worldcat.org/oclc/18907097","WorldCat Record")</f>
        <v/>
      </c>
      <c r="AU248" t="inlineStr">
        <is>
          <t>836759939:eng</t>
        </is>
      </c>
      <c r="AV248" t="inlineStr">
        <is>
          <t>18907097</t>
        </is>
      </c>
      <c r="AW248" t="inlineStr">
        <is>
          <t>991001410729702656</t>
        </is>
      </c>
      <c r="AX248" t="inlineStr">
        <is>
          <t>991001410729702656</t>
        </is>
      </c>
      <c r="AY248" t="inlineStr">
        <is>
          <t>2256887390002656</t>
        </is>
      </c>
      <c r="AZ248" t="inlineStr">
        <is>
          <t>BOOK</t>
        </is>
      </c>
      <c r="BB248" t="inlineStr">
        <is>
          <t>9780716720119</t>
        </is>
      </c>
      <c r="BC248" t="inlineStr">
        <is>
          <t>32285000935022</t>
        </is>
      </c>
      <c r="BD248" t="inlineStr">
        <is>
          <t>893426587</t>
        </is>
      </c>
    </row>
    <row r="249">
      <c r="A249" t="inlineStr">
        <is>
          <t>No</t>
        </is>
      </c>
      <c r="B249" t="inlineStr">
        <is>
          <t>QH311 .M37 1997</t>
        </is>
      </c>
      <c r="C249" t="inlineStr">
        <is>
          <t>0                      QH 0311000M  37          1997</t>
        </is>
      </c>
      <c r="D249" t="inlineStr">
        <is>
          <t>Slanted truths : essays on Gaia, symbiosis, and evolution / Lynn Margulis, Dorion Sagan ; foreword by Philip and Phylis Morrison.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Margulis, Lynn, 1938-2011.</t>
        </is>
      </c>
      <c r="L249" t="inlineStr">
        <is>
          <t>New York : Copernicus, c1997.</t>
        </is>
      </c>
      <c r="M249" t="inlineStr">
        <is>
          <t>1997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QH </t>
        </is>
      </c>
      <c r="S249" t="n">
        <v>4</v>
      </c>
      <c r="T249" t="n">
        <v>4</v>
      </c>
      <c r="U249" t="inlineStr">
        <is>
          <t>2001-02-15</t>
        </is>
      </c>
      <c r="V249" t="inlineStr">
        <is>
          <t>2001-02-15</t>
        </is>
      </c>
      <c r="W249" t="inlineStr">
        <is>
          <t>1999-04-26</t>
        </is>
      </c>
      <c r="X249" t="inlineStr">
        <is>
          <t>1999-04-26</t>
        </is>
      </c>
      <c r="Y249" t="n">
        <v>642</v>
      </c>
      <c r="Z249" t="n">
        <v>528</v>
      </c>
      <c r="AA249" t="n">
        <v>552</v>
      </c>
      <c r="AB249" t="n">
        <v>5</v>
      </c>
      <c r="AC249" t="n">
        <v>5</v>
      </c>
      <c r="AD249" t="n">
        <v>24</v>
      </c>
      <c r="AE249" t="n">
        <v>26</v>
      </c>
      <c r="AF249" t="n">
        <v>5</v>
      </c>
      <c r="AG249" t="n">
        <v>6</v>
      </c>
      <c r="AH249" t="n">
        <v>6</v>
      </c>
      <c r="AI249" t="n">
        <v>6</v>
      </c>
      <c r="AJ249" t="n">
        <v>16</v>
      </c>
      <c r="AK249" t="n">
        <v>18</v>
      </c>
      <c r="AL249" t="n">
        <v>4</v>
      </c>
      <c r="AM249" t="n">
        <v>4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HYPERLINK("http://catalog.hathitrust.org/Record/003945211","HathiTrust Record")</f>
        <v/>
      </c>
      <c r="AS249">
        <f>HYPERLINK("https://creighton-primo.hosted.exlibrisgroup.com/primo-explore/search?tab=default_tab&amp;search_scope=EVERYTHING&amp;vid=01CRU&amp;lang=en_US&amp;offset=0&amp;query=any,contains,991005425739702656","Catalog Record")</f>
        <v/>
      </c>
      <c r="AT249">
        <f>HYPERLINK("http://www.worldcat.org/oclc/36284061","WorldCat Record")</f>
        <v/>
      </c>
      <c r="AU249" t="inlineStr">
        <is>
          <t>341010406:eng</t>
        </is>
      </c>
      <c r="AV249" t="inlineStr">
        <is>
          <t>36284061</t>
        </is>
      </c>
      <c r="AW249" t="inlineStr">
        <is>
          <t>991005425739702656</t>
        </is>
      </c>
      <c r="AX249" t="inlineStr">
        <is>
          <t>991005425739702656</t>
        </is>
      </c>
      <c r="AY249" t="inlineStr">
        <is>
          <t>2270946810002656</t>
        </is>
      </c>
      <c r="AZ249" t="inlineStr">
        <is>
          <t>BOOK</t>
        </is>
      </c>
      <c r="BB249" t="inlineStr">
        <is>
          <t>9780387949277</t>
        </is>
      </c>
      <c r="BC249" t="inlineStr">
        <is>
          <t>32285003555868</t>
        </is>
      </c>
      <c r="BD249" t="inlineStr">
        <is>
          <t>893418932</t>
        </is>
      </c>
    </row>
    <row r="250">
      <c r="A250" t="inlineStr">
        <is>
          <t>No</t>
        </is>
      </c>
      <c r="B250" t="inlineStr">
        <is>
          <t>QH311 .M42 1981</t>
        </is>
      </c>
      <c r="C250" t="inlineStr">
        <is>
          <t>0                      QH 0311000M  42          1981</t>
        </is>
      </c>
      <c r="D250" t="inlineStr">
        <is>
          <t>The uniqueness of the individual / by P.B. Medawar.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Medawar, P. B. (Peter Brian), 1915-1987.</t>
        </is>
      </c>
      <c r="L250" t="inlineStr">
        <is>
          <t>New York : Dover Publications, 1981.</t>
        </is>
      </c>
      <c r="M250" t="inlineStr">
        <is>
          <t>1981</t>
        </is>
      </c>
      <c r="N250" t="inlineStr">
        <is>
          <t>2nd rev. ed.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QH </t>
        </is>
      </c>
      <c r="S250" t="n">
        <v>6</v>
      </c>
      <c r="T250" t="n">
        <v>6</v>
      </c>
      <c r="U250" t="inlineStr">
        <is>
          <t>1997-02-23</t>
        </is>
      </c>
      <c r="V250" t="inlineStr">
        <is>
          <t>1997-02-23</t>
        </is>
      </c>
      <c r="W250" t="inlineStr">
        <is>
          <t>1991-12-19</t>
        </is>
      </c>
      <c r="X250" t="inlineStr">
        <is>
          <t>1991-12-19</t>
        </is>
      </c>
      <c r="Y250" t="n">
        <v>145</v>
      </c>
      <c r="Z250" t="n">
        <v>112</v>
      </c>
      <c r="AA250" t="n">
        <v>518</v>
      </c>
      <c r="AB250" t="n">
        <v>1</v>
      </c>
      <c r="AC250" t="n">
        <v>5</v>
      </c>
      <c r="AD250" t="n">
        <v>2</v>
      </c>
      <c r="AE250" t="n">
        <v>21</v>
      </c>
      <c r="AF250" t="n">
        <v>2</v>
      </c>
      <c r="AG250" t="n">
        <v>8</v>
      </c>
      <c r="AH250" t="n">
        <v>1</v>
      </c>
      <c r="AI250" t="n">
        <v>5</v>
      </c>
      <c r="AJ250" t="n">
        <v>1</v>
      </c>
      <c r="AK250" t="n">
        <v>12</v>
      </c>
      <c r="AL250" t="n">
        <v>0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HYPERLINK("https://creighton-primo.hosted.exlibrisgroup.com/primo-explore/search?tab=default_tab&amp;search_scope=EVERYTHING&amp;vid=01CRU&amp;lang=en_US&amp;offset=0&amp;query=any,contains,991005199449702656","Catalog Record")</f>
        <v/>
      </c>
      <c r="AT250">
        <f>HYPERLINK("http://www.worldcat.org/oclc/8060942","WorldCat Record")</f>
        <v/>
      </c>
      <c r="AU250" t="inlineStr">
        <is>
          <t>494513:eng</t>
        </is>
      </c>
      <c r="AV250" t="inlineStr">
        <is>
          <t>8060942</t>
        </is>
      </c>
      <c r="AW250" t="inlineStr">
        <is>
          <t>991005199449702656</t>
        </is>
      </c>
      <c r="AX250" t="inlineStr">
        <is>
          <t>991005199449702656</t>
        </is>
      </c>
      <c r="AY250" t="inlineStr">
        <is>
          <t>2263017870002656</t>
        </is>
      </c>
      <c r="AZ250" t="inlineStr">
        <is>
          <t>BOOK</t>
        </is>
      </c>
      <c r="BB250" t="inlineStr">
        <is>
          <t>9780486240428</t>
        </is>
      </c>
      <c r="BC250" t="inlineStr">
        <is>
          <t>32285000861616</t>
        </is>
      </c>
      <c r="BD250" t="inlineStr">
        <is>
          <t>893418536</t>
        </is>
      </c>
    </row>
    <row r="251">
      <c r="A251" t="inlineStr">
        <is>
          <t>No</t>
        </is>
      </c>
      <c r="B251" t="inlineStr">
        <is>
          <t>QH311 .R723</t>
        </is>
      </c>
      <c r="C251" t="inlineStr">
        <is>
          <t>0                      QH 0311000R  723</t>
        </is>
      </c>
      <c r="D251" t="inlineStr">
        <is>
          <t>Can man be modified? Translated from the French by Jonathan Griffin.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Rostand, Jean, 1894-1977.</t>
        </is>
      </c>
      <c r="L251" t="inlineStr">
        <is>
          <t>New York, Basic Books, 1959.</t>
        </is>
      </c>
      <c r="M251" t="inlineStr">
        <is>
          <t>1959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QH </t>
        </is>
      </c>
      <c r="S251" t="n">
        <v>1</v>
      </c>
      <c r="T251" t="n">
        <v>1</v>
      </c>
      <c r="U251" t="inlineStr">
        <is>
          <t>2003-11-20</t>
        </is>
      </c>
      <c r="V251" t="inlineStr">
        <is>
          <t>2003-11-20</t>
        </is>
      </c>
      <c r="W251" t="inlineStr">
        <is>
          <t>1997-06-30</t>
        </is>
      </c>
      <c r="X251" t="inlineStr">
        <is>
          <t>1997-06-30</t>
        </is>
      </c>
      <c r="Y251" t="n">
        <v>427</v>
      </c>
      <c r="Z251" t="n">
        <v>390</v>
      </c>
      <c r="AA251" t="n">
        <v>420</v>
      </c>
      <c r="AB251" t="n">
        <v>3</v>
      </c>
      <c r="AC251" t="n">
        <v>3</v>
      </c>
      <c r="AD251" t="n">
        <v>21</v>
      </c>
      <c r="AE251" t="n">
        <v>21</v>
      </c>
      <c r="AF251" t="n">
        <v>6</v>
      </c>
      <c r="AG251" t="n">
        <v>6</v>
      </c>
      <c r="AH251" t="n">
        <v>6</v>
      </c>
      <c r="AI251" t="n">
        <v>6</v>
      </c>
      <c r="AJ251" t="n">
        <v>11</v>
      </c>
      <c r="AK251" t="n">
        <v>11</v>
      </c>
      <c r="AL251" t="n">
        <v>2</v>
      </c>
      <c r="AM251" t="n">
        <v>2</v>
      </c>
      <c r="AN251" t="n">
        <v>1</v>
      </c>
      <c r="AO251" t="n">
        <v>1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HYPERLINK("http://catalog.hathitrust.org/Record/001491220","HathiTrust Record")</f>
        <v/>
      </c>
      <c r="AS251">
        <f>HYPERLINK("https://creighton-primo.hosted.exlibrisgroup.com/primo-explore/search?tab=default_tab&amp;search_scope=EVERYTHING&amp;vid=01CRU&amp;lang=en_US&amp;offset=0&amp;query=any,contains,991002835599702656","Catalog Record")</f>
        <v/>
      </c>
      <c r="AT251">
        <f>HYPERLINK("http://www.worldcat.org/oclc/479790","WorldCat Record")</f>
        <v/>
      </c>
      <c r="AU251" t="inlineStr">
        <is>
          <t>181366186:eng</t>
        </is>
      </c>
      <c r="AV251" t="inlineStr">
        <is>
          <t>479790</t>
        </is>
      </c>
      <c r="AW251" t="inlineStr">
        <is>
          <t>991002835599702656</t>
        </is>
      </c>
      <c r="AX251" t="inlineStr">
        <is>
          <t>991002835599702656</t>
        </is>
      </c>
      <c r="AY251" t="inlineStr">
        <is>
          <t>2263718890002656</t>
        </is>
      </c>
      <c r="AZ251" t="inlineStr">
        <is>
          <t>BOOK</t>
        </is>
      </c>
      <c r="BC251" t="inlineStr">
        <is>
          <t>32285002867637</t>
        </is>
      </c>
      <c r="BD251" t="inlineStr">
        <is>
          <t>893704586</t>
        </is>
      </c>
    </row>
    <row r="252">
      <c r="A252" t="inlineStr">
        <is>
          <t>No</t>
        </is>
      </c>
      <c r="B252" t="inlineStr">
        <is>
          <t>QH311 .T77</t>
        </is>
      </c>
      <c r="C252" t="inlineStr">
        <is>
          <t>0                      QH 0311000T  77</t>
        </is>
      </c>
      <c r="D252" t="inlineStr">
        <is>
          <t>Topics in the study of life : the BIO source book / consultants: Vincent G. Dethier [and others]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Harper &amp; Row, [1971]</t>
        </is>
      </c>
      <c r="M252" t="inlineStr">
        <is>
          <t>1971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QH </t>
        </is>
      </c>
      <c r="S252" t="n">
        <v>4</v>
      </c>
      <c r="T252" t="n">
        <v>4</v>
      </c>
      <c r="U252" t="inlineStr">
        <is>
          <t>1996-09-21</t>
        </is>
      </c>
      <c r="V252" t="inlineStr">
        <is>
          <t>1996-09-21</t>
        </is>
      </c>
      <c r="W252" t="inlineStr">
        <is>
          <t>1994-11-04</t>
        </is>
      </c>
      <c r="X252" t="inlineStr">
        <is>
          <t>1994-11-04</t>
        </is>
      </c>
      <c r="Y252" t="n">
        <v>195</v>
      </c>
      <c r="Z252" t="n">
        <v>151</v>
      </c>
      <c r="AA252" t="n">
        <v>152</v>
      </c>
      <c r="AB252" t="n">
        <v>1</v>
      </c>
      <c r="AC252" t="n">
        <v>1</v>
      </c>
      <c r="AD252" t="n">
        <v>2</v>
      </c>
      <c r="AE252" t="n">
        <v>2</v>
      </c>
      <c r="AF252" t="n">
        <v>0</v>
      </c>
      <c r="AG252" t="n">
        <v>0</v>
      </c>
      <c r="AH252" t="n">
        <v>1</v>
      </c>
      <c r="AI252" t="n">
        <v>1</v>
      </c>
      <c r="AJ252" t="n">
        <v>2</v>
      </c>
      <c r="AK252" t="n">
        <v>2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HYPERLINK("https://creighton-primo.hosted.exlibrisgroup.com/primo-explore/search?tab=default_tab&amp;search_scope=EVERYTHING&amp;vid=01CRU&amp;lang=en_US&amp;offset=0&amp;query=any,contains,991000749999702656","Catalog Record")</f>
        <v/>
      </c>
      <c r="AT252">
        <f>HYPERLINK("http://www.worldcat.org/oclc/130057","WorldCat Record")</f>
        <v/>
      </c>
      <c r="AU252" t="inlineStr">
        <is>
          <t>1263522:eng</t>
        </is>
      </c>
      <c r="AV252" t="inlineStr">
        <is>
          <t>130057</t>
        </is>
      </c>
      <c r="AW252" t="inlineStr">
        <is>
          <t>991000749999702656</t>
        </is>
      </c>
      <c r="AX252" t="inlineStr">
        <is>
          <t>991000749999702656</t>
        </is>
      </c>
      <c r="AY252" t="inlineStr">
        <is>
          <t>2254912130002656</t>
        </is>
      </c>
      <c r="AZ252" t="inlineStr">
        <is>
          <t>BOOK</t>
        </is>
      </c>
      <c r="BC252" t="inlineStr">
        <is>
          <t>32285001964179</t>
        </is>
      </c>
      <c r="BD252" t="inlineStr">
        <is>
          <t>893413644</t>
        </is>
      </c>
    </row>
    <row r="253">
      <c r="A253" t="inlineStr">
        <is>
          <t>No</t>
        </is>
      </c>
      <c r="B253" t="inlineStr">
        <is>
          <t>QH313 .A78 1987</t>
        </is>
      </c>
      <c r="C253" t="inlineStr">
        <is>
          <t>0                      QH 0313000A  78          1987</t>
        </is>
      </c>
      <c r="D253" t="inlineStr">
        <is>
          <t>The new biology : discovering the wisdom in nature / Robert Augros and George Stanciu ; illustrations by Michael Augros.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Augros, Robert M., 1943-</t>
        </is>
      </c>
      <c r="L253" t="inlineStr">
        <is>
          <t>Boston : New Science Library ; [New York] : Distributed in the United States by Random House, 1987.</t>
        </is>
      </c>
      <c r="M253" t="inlineStr">
        <is>
          <t>1987</t>
        </is>
      </c>
      <c r="N253" t="inlineStr">
        <is>
          <t>1st ed.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QH </t>
        </is>
      </c>
      <c r="S253" t="n">
        <v>6</v>
      </c>
      <c r="T253" t="n">
        <v>6</v>
      </c>
      <c r="U253" t="inlineStr">
        <is>
          <t>1996-09-22</t>
        </is>
      </c>
      <c r="V253" t="inlineStr">
        <is>
          <t>1996-09-22</t>
        </is>
      </c>
      <c r="W253" t="inlineStr">
        <is>
          <t>1993-03-22</t>
        </is>
      </c>
      <c r="X253" t="inlineStr">
        <is>
          <t>1993-03-22</t>
        </is>
      </c>
      <c r="Y253" t="n">
        <v>557</v>
      </c>
      <c r="Z253" t="n">
        <v>505</v>
      </c>
      <c r="AA253" t="n">
        <v>532</v>
      </c>
      <c r="AB253" t="n">
        <v>2</v>
      </c>
      <c r="AC253" t="n">
        <v>2</v>
      </c>
      <c r="AD253" t="n">
        <v>13</v>
      </c>
      <c r="AE253" t="n">
        <v>13</v>
      </c>
      <c r="AF253" t="n">
        <v>4</v>
      </c>
      <c r="AG253" t="n">
        <v>4</v>
      </c>
      <c r="AH253" t="n">
        <v>5</v>
      </c>
      <c r="AI253" t="n">
        <v>5</v>
      </c>
      <c r="AJ253" t="n">
        <v>10</v>
      </c>
      <c r="AK253" t="n">
        <v>10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HYPERLINK("http://catalog.hathitrust.org/Record/000831813","HathiTrust Record")</f>
        <v/>
      </c>
      <c r="AS253">
        <f>HYPERLINK("https://creighton-primo.hosted.exlibrisgroup.com/primo-explore/search?tab=default_tab&amp;search_scope=EVERYTHING&amp;vid=01CRU&amp;lang=en_US&amp;offset=0&amp;query=any,contains,991000955449702656","Catalog Record")</f>
        <v/>
      </c>
      <c r="AT253">
        <f>HYPERLINK("http://www.worldcat.org/oclc/14717222","WorldCat Record")</f>
        <v/>
      </c>
      <c r="AU253" t="inlineStr">
        <is>
          <t>8509359:eng</t>
        </is>
      </c>
      <c r="AV253" t="inlineStr">
        <is>
          <t>14717222</t>
        </is>
      </c>
      <c r="AW253" t="inlineStr">
        <is>
          <t>991000955449702656</t>
        </is>
      </c>
      <c r="AX253" t="inlineStr">
        <is>
          <t>991000955449702656</t>
        </is>
      </c>
      <c r="AY253" t="inlineStr">
        <is>
          <t>2256892750002656</t>
        </is>
      </c>
      <c r="AZ253" t="inlineStr">
        <is>
          <t>BOOK</t>
        </is>
      </c>
      <c r="BB253" t="inlineStr">
        <is>
          <t>9780877733645</t>
        </is>
      </c>
      <c r="BC253" t="inlineStr">
        <is>
          <t>32285001552602</t>
        </is>
      </c>
      <c r="BD253" t="inlineStr">
        <is>
          <t>893231574</t>
        </is>
      </c>
    </row>
    <row r="254">
      <c r="A254" t="inlineStr">
        <is>
          <t>No</t>
        </is>
      </c>
      <c r="B254" t="inlineStr">
        <is>
          <t>QH313 .B54 1994</t>
        </is>
      </c>
      <c r="C254" t="inlineStr">
        <is>
          <t>0                      QH 0313000B  54          1994</t>
        </is>
      </c>
      <c r="D254" t="inlineStr">
        <is>
          <t>Biodiversity and ecosystem function / Ernst-Detlef Schulze, Harold A. Mooney, eds.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Berlin ; New York : Springer-Verlag, c1994.</t>
        </is>
      </c>
      <c r="M254" t="inlineStr">
        <is>
          <t>1994</t>
        </is>
      </c>
      <c r="O254" t="inlineStr">
        <is>
          <t>eng</t>
        </is>
      </c>
      <c r="P254" t="inlineStr">
        <is>
          <t xml:space="preserve">gw </t>
        </is>
      </c>
      <c r="Q254" t="inlineStr">
        <is>
          <t>Ecological studies ; v. 99</t>
        </is>
      </c>
      <c r="R254" t="inlineStr">
        <is>
          <t xml:space="preserve">QH </t>
        </is>
      </c>
      <c r="S254" t="n">
        <v>3</v>
      </c>
      <c r="T254" t="n">
        <v>3</v>
      </c>
      <c r="U254" t="inlineStr">
        <is>
          <t>1996-10-02</t>
        </is>
      </c>
      <c r="V254" t="inlineStr">
        <is>
          <t>1996-10-02</t>
        </is>
      </c>
      <c r="W254" t="inlineStr">
        <is>
          <t>1996-04-10</t>
        </is>
      </c>
      <c r="X254" t="inlineStr">
        <is>
          <t>1996-04-10</t>
        </is>
      </c>
      <c r="Y254" t="n">
        <v>228</v>
      </c>
      <c r="Z254" t="n">
        <v>136</v>
      </c>
      <c r="AA254" t="n">
        <v>298</v>
      </c>
      <c r="AB254" t="n">
        <v>2</v>
      </c>
      <c r="AC254" t="n">
        <v>2</v>
      </c>
      <c r="AD254" t="n">
        <v>6</v>
      </c>
      <c r="AE254" t="n">
        <v>11</v>
      </c>
      <c r="AF254" t="n">
        <v>2</v>
      </c>
      <c r="AG254" t="n">
        <v>3</v>
      </c>
      <c r="AH254" t="n">
        <v>0</v>
      </c>
      <c r="AI254" t="n">
        <v>3</v>
      </c>
      <c r="AJ254" t="n">
        <v>3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HYPERLINK("https://creighton-primo.hosted.exlibrisgroup.com/primo-explore/search?tab=default_tab&amp;search_scope=EVERYTHING&amp;vid=01CRU&amp;lang=en_US&amp;offset=0&amp;query=any,contains,991002352629702656","Catalog Record")</f>
        <v/>
      </c>
      <c r="AT254">
        <f>HYPERLINK("http://www.worldcat.org/oclc/30624686","WorldCat Record")</f>
        <v/>
      </c>
      <c r="AU254" t="inlineStr">
        <is>
          <t>10201309170:eng</t>
        </is>
      </c>
      <c r="AV254" t="inlineStr">
        <is>
          <t>30624686</t>
        </is>
      </c>
      <c r="AW254" t="inlineStr">
        <is>
          <t>991002352629702656</t>
        </is>
      </c>
      <c r="AX254" t="inlineStr">
        <is>
          <t>991002352629702656</t>
        </is>
      </c>
      <c r="AY254" t="inlineStr">
        <is>
          <t>2260201860002656</t>
        </is>
      </c>
      <c r="AZ254" t="inlineStr">
        <is>
          <t>BOOK</t>
        </is>
      </c>
      <c r="BB254" t="inlineStr">
        <is>
          <t>9780387558042</t>
        </is>
      </c>
      <c r="BC254" t="inlineStr">
        <is>
          <t>32285002151198</t>
        </is>
      </c>
      <c r="BD254" t="inlineStr">
        <is>
          <t>893716338</t>
        </is>
      </c>
    </row>
    <row r="255">
      <c r="A255" t="inlineStr">
        <is>
          <t>No</t>
        </is>
      </c>
      <c r="B255" t="inlineStr">
        <is>
          <t>QH313 .C74 1991</t>
        </is>
      </c>
      <c r="C255" t="inlineStr">
        <is>
          <t>0                      QH 0313000C  74          1991</t>
        </is>
      </c>
      <c r="D255" t="inlineStr">
        <is>
          <t>An introduction to evolutionary ecology / Andrew Cockburn ; illustrated by Karina Hansen.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Cockburn, Andrew, 1954-</t>
        </is>
      </c>
      <c r="L255" t="inlineStr">
        <is>
          <t>Oxford ; Boston : Blackwell Scientific, 1991.</t>
        </is>
      </c>
      <c r="M255" t="inlineStr">
        <is>
          <t>1991</t>
        </is>
      </c>
      <c r="O255" t="inlineStr">
        <is>
          <t>eng</t>
        </is>
      </c>
      <c r="P255" t="inlineStr">
        <is>
          <t>enk</t>
        </is>
      </c>
      <c r="R255" t="inlineStr">
        <is>
          <t xml:space="preserve">QH </t>
        </is>
      </c>
      <c r="S255" t="n">
        <v>11</v>
      </c>
      <c r="T255" t="n">
        <v>11</v>
      </c>
      <c r="U255" t="inlineStr">
        <is>
          <t>1996-02-22</t>
        </is>
      </c>
      <c r="V255" t="inlineStr">
        <is>
          <t>1996-02-22</t>
        </is>
      </c>
      <c r="W255" t="inlineStr">
        <is>
          <t>1992-01-28</t>
        </is>
      </c>
      <c r="X255" t="inlineStr">
        <is>
          <t>1992-01-28</t>
        </is>
      </c>
      <c r="Y255" t="n">
        <v>605</v>
      </c>
      <c r="Z255" t="n">
        <v>413</v>
      </c>
      <c r="AA255" t="n">
        <v>419</v>
      </c>
      <c r="AB255" t="n">
        <v>2</v>
      </c>
      <c r="AC255" t="n">
        <v>2</v>
      </c>
      <c r="AD255" t="n">
        <v>16</v>
      </c>
      <c r="AE255" t="n">
        <v>16</v>
      </c>
      <c r="AF255" t="n">
        <v>6</v>
      </c>
      <c r="AG255" t="n">
        <v>6</v>
      </c>
      <c r="AH255" t="n">
        <v>4</v>
      </c>
      <c r="AI255" t="n">
        <v>4</v>
      </c>
      <c r="AJ255" t="n">
        <v>9</v>
      </c>
      <c r="AK255" t="n">
        <v>9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HYPERLINK("https://creighton-primo.hosted.exlibrisgroup.com/primo-explore/search?tab=default_tab&amp;search_scope=EVERYTHING&amp;vid=01CRU&amp;lang=en_US&amp;offset=0&amp;query=any,contains,991001826739702656","Catalog Record")</f>
        <v/>
      </c>
      <c r="AT255">
        <f>HYPERLINK("http://www.worldcat.org/oclc/22953013","WorldCat Record")</f>
        <v/>
      </c>
      <c r="AU255" t="inlineStr">
        <is>
          <t>144047486:eng</t>
        </is>
      </c>
      <c r="AV255" t="inlineStr">
        <is>
          <t>22953013</t>
        </is>
      </c>
      <c r="AW255" t="inlineStr">
        <is>
          <t>991001826739702656</t>
        </is>
      </c>
      <c r="AX255" t="inlineStr">
        <is>
          <t>991001826739702656</t>
        </is>
      </c>
      <c r="AY255" t="inlineStr">
        <is>
          <t>2263137910002656</t>
        </is>
      </c>
      <c r="AZ255" t="inlineStr">
        <is>
          <t>BOOK</t>
        </is>
      </c>
      <c r="BB255" t="inlineStr">
        <is>
          <t>9780632027293</t>
        </is>
      </c>
      <c r="BC255" t="inlineStr">
        <is>
          <t>32285000867928</t>
        </is>
      </c>
      <c r="BD255" t="inlineStr">
        <is>
          <t>893232298</t>
        </is>
      </c>
    </row>
    <row r="256">
      <c r="A256" t="inlineStr">
        <is>
          <t>No</t>
        </is>
      </c>
      <c r="B256" t="inlineStr">
        <is>
          <t>QH313 .I53</t>
        </is>
      </c>
      <c r="C256" t="inlineStr">
        <is>
          <t>0                      QH 0313000I  53</t>
        </is>
      </c>
      <c r="D256" t="inlineStr">
        <is>
          <t>Incredible life : a handbook of biological mysteries / compiled by William R. Corliss ; illustrated by John C. Holden.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Glen Arm, MD : Sourcebook Project, c1981.</t>
        </is>
      </c>
      <c r="M256" t="inlineStr">
        <is>
          <t>1981</t>
        </is>
      </c>
      <c r="O256" t="inlineStr">
        <is>
          <t>eng</t>
        </is>
      </c>
      <c r="P256" t="inlineStr">
        <is>
          <t>mdu</t>
        </is>
      </c>
      <c r="Q256" t="inlineStr">
        <is>
          <t>Handbook series (Sourcebook Project)</t>
        </is>
      </c>
      <c r="R256" t="inlineStr">
        <is>
          <t xml:space="preserve">QH </t>
        </is>
      </c>
      <c r="S256" t="n">
        <v>6</v>
      </c>
      <c r="T256" t="n">
        <v>6</v>
      </c>
      <c r="U256" t="inlineStr">
        <is>
          <t>2010-06-24</t>
        </is>
      </c>
      <c r="V256" t="inlineStr">
        <is>
          <t>2010-06-24</t>
        </is>
      </c>
      <c r="W256" t="inlineStr">
        <is>
          <t>1993-03-22</t>
        </is>
      </c>
      <c r="X256" t="inlineStr">
        <is>
          <t>1993-03-22</t>
        </is>
      </c>
      <c r="Y256" t="n">
        <v>298</v>
      </c>
      <c r="Z256" t="n">
        <v>265</v>
      </c>
      <c r="AA256" t="n">
        <v>268</v>
      </c>
      <c r="AB256" t="n">
        <v>2</v>
      </c>
      <c r="AC256" t="n">
        <v>2</v>
      </c>
      <c r="AD256" t="n">
        <v>3</v>
      </c>
      <c r="AE256" t="n">
        <v>3</v>
      </c>
      <c r="AF256" t="n">
        <v>2</v>
      </c>
      <c r="AG256" t="n">
        <v>2</v>
      </c>
      <c r="AH256" t="n">
        <v>0</v>
      </c>
      <c r="AI256" t="n">
        <v>0</v>
      </c>
      <c r="AJ256" t="n">
        <v>2</v>
      </c>
      <c r="AK256" t="n">
        <v>2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HYPERLINK("http://catalog.hathitrust.org/Record/006812095","HathiTrust Record")</f>
        <v/>
      </c>
      <c r="AS256">
        <f>HYPERLINK("https://creighton-primo.hosted.exlibrisgroup.com/primo-explore/search?tab=default_tab&amp;search_scope=EVERYTHING&amp;vid=01CRU&amp;lang=en_US&amp;offset=0&amp;query=any,contains,991005111919702656","Catalog Record")</f>
        <v/>
      </c>
      <c r="AT256">
        <f>HYPERLINK("http://www.worldcat.org/oclc/7449344","WorldCat Record")</f>
        <v/>
      </c>
      <c r="AU256" t="inlineStr">
        <is>
          <t>560064:eng</t>
        </is>
      </c>
      <c r="AV256" t="inlineStr">
        <is>
          <t>7449344</t>
        </is>
      </c>
      <c r="AW256" t="inlineStr">
        <is>
          <t>991005111919702656</t>
        </is>
      </c>
      <c r="AX256" t="inlineStr">
        <is>
          <t>991005111919702656</t>
        </is>
      </c>
      <c r="AY256" t="inlineStr">
        <is>
          <t>2258105930002656</t>
        </is>
      </c>
      <c r="AZ256" t="inlineStr">
        <is>
          <t>BOOK</t>
        </is>
      </c>
      <c r="BB256" t="inlineStr">
        <is>
          <t>9780915554072</t>
        </is>
      </c>
      <c r="BC256" t="inlineStr">
        <is>
          <t>32285001552610</t>
        </is>
      </c>
      <c r="BD256" t="inlineStr">
        <is>
          <t>893789456</t>
        </is>
      </c>
    </row>
    <row r="257">
      <c r="A257" t="inlineStr">
        <is>
          <t>No</t>
        </is>
      </c>
      <c r="B257" t="inlineStr">
        <is>
          <t>QH313 .S585 1993</t>
        </is>
      </c>
      <c r="C257" t="inlineStr">
        <is>
          <t>0                      QH 0313000S  585         1993</t>
        </is>
      </c>
      <c r="D257" t="inlineStr">
        <is>
          <t>Games of life : explorations in ecology, evolution, and behaviour / Karl Sigmund.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Sigmund, Karl, 1945-</t>
        </is>
      </c>
      <c r="L257" t="inlineStr">
        <is>
          <t>Oxford [England] ; New York : Oxford University Press, 1993.</t>
        </is>
      </c>
      <c r="M257" t="inlineStr">
        <is>
          <t>1993</t>
        </is>
      </c>
      <c r="O257" t="inlineStr">
        <is>
          <t>eng</t>
        </is>
      </c>
      <c r="P257" t="inlineStr">
        <is>
          <t>enk</t>
        </is>
      </c>
      <c r="R257" t="inlineStr">
        <is>
          <t xml:space="preserve">QH </t>
        </is>
      </c>
      <c r="S257" t="n">
        <v>3</v>
      </c>
      <c r="T257" t="n">
        <v>3</v>
      </c>
      <c r="U257" t="inlineStr">
        <is>
          <t>2010-03-26</t>
        </is>
      </c>
      <c r="V257" t="inlineStr">
        <is>
          <t>2010-03-26</t>
        </is>
      </c>
      <c r="W257" t="inlineStr">
        <is>
          <t>2007-04-09</t>
        </is>
      </c>
      <c r="X257" t="inlineStr">
        <is>
          <t>2007-04-09</t>
        </is>
      </c>
      <c r="Y257" t="n">
        <v>384</v>
      </c>
      <c r="Z257" t="n">
        <v>264</v>
      </c>
      <c r="AA257" t="n">
        <v>394</v>
      </c>
      <c r="AB257" t="n">
        <v>3</v>
      </c>
      <c r="AC257" t="n">
        <v>3</v>
      </c>
      <c r="AD257" t="n">
        <v>14</v>
      </c>
      <c r="AE257" t="n">
        <v>17</v>
      </c>
      <c r="AF257" t="n">
        <v>3</v>
      </c>
      <c r="AG257" t="n">
        <v>6</v>
      </c>
      <c r="AH257" t="n">
        <v>5</v>
      </c>
      <c r="AI257" t="n">
        <v>6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HYPERLINK("http://catalog.hathitrust.org/Record/002708556","HathiTrust Record")</f>
        <v/>
      </c>
      <c r="AS257">
        <f>HYPERLINK("https://creighton-primo.hosted.exlibrisgroup.com/primo-explore/search?tab=default_tab&amp;search_scope=EVERYTHING&amp;vid=01CRU&amp;lang=en_US&amp;offset=0&amp;query=any,contains,991005057419702656","Catalog Record")</f>
        <v/>
      </c>
      <c r="AT257">
        <f>HYPERLINK("http://www.worldcat.org/oclc/27431864","WorldCat Record")</f>
        <v/>
      </c>
      <c r="AU257" t="inlineStr">
        <is>
          <t>836922133:eng</t>
        </is>
      </c>
      <c r="AV257" t="inlineStr">
        <is>
          <t>27431864</t>
        </is>
      </c>
      <c r="AW257" t="inlineStr">
        <is>
          <t>991005057419702656</t>
        </is>
      </c>
      <c r="AX257" t="inlineStr">
        <is>
          <t>991005057419702656</t>
        </is>
      </c>
      <c r="AY257" t="inlineStr">
        <is>
          <t>2264445180002656</t>
        </is>
      </c>
      <c r="AZ257" t="inlineStr">
        <is>
          <t>BOOK</t>
        </is>
      </c>
      <c r="BB257" t="inlineStr">
        <is>
          <t>9780198546658</t>
        </is>
      </c>
      <c r="BC257" t="inlineStr">
        <is>
          <t>32285005285381</t>
        </is>
      </c>
      <c r="BD257" t="inlineStr">
        <is>
          <t>893520343</t>
        </is>
      </c>
    </row>
    <row r="258">
      <c r="A258" t="inlineStr">
        <is>
          <t>No</t>
        </is>
      </c>
      <c r="B258" t="inlineStr">
        <is>
          <t>QH313 .S97 1992</t>
        </is>
      </c>
      <c r="C258" t="inlineStr">
        <is>
          <t>0                      QH 0313000S  97          1992</t>
        </is>
      </c>
      <c r="D258" t="inlineStr">
        <is>
          <t>Systematics, ecology, and the biodiversity crisis / edited by Niles Eldredge.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Columbia University Press, c1992.</t>
        </is>
      </c>
      <c r="M258" t="inlineStr">
        <is>
          <t>1992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QH </t>
        </is>
      </c>
      <c r="S258" t="n">
        <v>14</v>
      </c>
      <c r="T258" t="n">
        <v>14</v>
      </c>
      <c r="U258" t="inlineStr">
        <is>
          <t>1996-09-26</t>
        </is>
      </c>
      <c r="V258" t="inlineStr">
        <is>
          <t>1996-09-26</t>
        </is>
      </c>
      <c r="W258" t="inlineStr">
        <is>
          <t>1994-05-19</t>
        </is>
      </c>
      <c r="X258" t="inlineStr">
        <is>
          <t>1994-05-19</t>
        </is>
      </c>
      <c r="Y258" t="n">
        <v>570</v>
      </c>
      <c r="Z258" t="n">
        <v>432</v>
      </c>
      <c r="AA258" t="n">
        <v>432</v>
      </c>
      <c r="AB258" t="n">
        <v>3</v>
      </c>
      <c r="AC258" t="n">
        <v>3</v>
      </c>
      <c r="AD258" t="n">
        <v>23</v>
      </c>
      <c r="AE258" t="n">
        <v>23</v>
      </c>
      <c r="AF258" t="n">
        <v>9</v>
      </c>
      <c r="AG258" t="n">
        <v>9</v>
      </c>
      <c r="AH258" t="n">
        <v>5</v>
      </c>
      <c r="AI258" t="n">
        <v>5</v>
      </c>
      <c r="AJ258" t="n">
        <v>12</v>
      </c>
      <c r="AK258" t="n">
        <v>12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HYPERLINK("https://creighton-primo.hosted.exlibrisgroup.com/primo-explore/search?tab=default_tab&amp;search_scope=EVERYTHING&amp;vid=01CRU&amp;lang=en_US&amp;offset=0&amp;query=any,contains,991001975469702656","Catalog Record")</f>
        <v/>
      </c>
      <c r="AT258">
        <f>HYPERLINK("http://www.worldcat.org/oclc/25049339","WorldCat Record")</f>
        <v/>
      </c>
      <c r="AU258" t="inlineStr">
        <is>
          <t>1061936:eng</t>
        </is>
      </c>
      <c r="AV258" t="inlineStr">
        <is>
          <t>25049339</t>
        </is>
      </c>
      <c r="AW258" t="inlineStr">
        <is>
          <t>991001975469702656</t>
        </is>
      </c>
      <c r="AX258" t="inlineStr">
        <is>
          <t>991001975469702656</t>
        </is>
      </c>
      <c r="AY258" t="inlineStr">
        <is>
          <t>2264111430002656</t>
        </is>
      </c>
      <c r="AZ258" t="inlineStr">
        <is>
          <t>BOOK</t>
        </is>
      </c>
      <c r="BB258" t="inlineStr">
        <is>
          <t>9780231075282</t>
        </is>
      </c>
      <c r="BC258" t="inlineStr">
        <is>
          <t>32285001897320</t>
        </is>
      </c>
      <c r="BD258" t="inlineStr">
        <is>
          <t>893250671</t>
        </is>
      </c>
    </row>
    <row r="259">
      <c r="A259" t="inlineStr">
        <is>
          <t>No</t>
        </is>
      </c>
      <c r="B259" t="inlineStr">
        <is>
          <t>QH313 .W55 1992</t>
        </is>
      </c>
      <c r="C259" t="inlineStr">
        <is>
          <t>0                      QH 0313000W  55          1992</t>
        </is>
      </c>
      <c r="D259" t="inlineStr">
        <is>
          <t>The diversity of life / Edward O. Wilson.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Wilson, Edward O.</t>
        </is>
      </c>
      <c r="L259" t="inlineStr">
        <is>
          <t>Cambridge, Mass. : Belknap Press of Harvard University Press,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mau</t>
        </is>
      </c>
      <c r="Q259" t="inlineStr">
        <is>
          <t>Questions of science</t>
        </is>
      </c>
      <c r="R259" t="inlineStr">
        <is>
          <t xml:space="preserve">QH </t>
        </is>
      </c>
      <c r="S259" t="n">
        <v>25</v>
      </c>
      <c r="T259" t="n">
        <v>25</v>
      </c>
      <c r="U259" t="inlineStr">
        <is>
          <t>1997-02-24</t>
        </is>
      </c>
      <c r="V259" t="inlineStr">
        <is>
          <t>1997-02-24</t>
        </is>
      </c>
      <c r="W259" t="inlineStr">
        <is>
          <t>1993-12-14</t>
        </is>
      </c>
      <c r="X259" t="inlineStr">
        <is>
          <t>1993-12-14</t>
        </is>
      </c>
      <c r="Y259" t="n">
        <v>2187</v>
      </c>
      <c r="Z259" t="n">
        <v>1991</v>
      </c>
      <c r="AA259" t="n">
        <v>2546</v>
      </c>
      <c r="AB259" t="n">
        <v>14</v>
      </c>
      <c r="AC259" t="n">
        <v>17</v>
      </c>
      <c r="AD259" t="n">
        <v>53</v>
      </c>
      <c r="AE259" t="n">
        <v>61</v>
      </c>
      <c r="AF259" t="n">
        <v>22</v>
      </c>
      <c r="AG259" t="n">
        <v>26</v>
      </c>
      <c r="AH259" t="n">
        <v>8</v>
      </c>
      <c r="AI259" t="n">
        <v>11</v>
      </c>
      <c r="AJ259" t="n">
        <v>23</v>
      </c>
      <c r="AK259" t="n">
        <v>26</v>
      </c>
      <c r="AL259" t="n">
        <v>10</v>
      </c>
      <c r="AM259" t="n">
        <v>11</v>
      </c>
      <c r="AN259" t="n">
        <v>1</v>
      </c>
      <c r="AO259" t="n">
        <v>1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HYPERLINK("http://catalog.hathitrust.org/Record/002575089","HathiTrust Record")</f>
        <v/>
      </c>
      <c r="AS259">
        <f>HYPERLINK("https://creighton-primo.hosted.exlibrisgroup.com/primo-explore/search?tab=default_tab&amp;search_scope=EVERYTHING&amp;vid=01CRU&amp;lang=en_US&amp;offset=0&amp;query=any,contains,991002006049702656","Catalog Record")</f>
        <v/>
      </c>
      <c r="AT259">
        <f>HYPERLINK("http://www.worldcat.org/oclc/25508994","WorldCat Record")</f>
        <v/>
      </c>
      <c r="AU259" t="inlineStr">
        <is>
          <t>6408408:eng</t>
        </is>
      </c>
      <c r="AV259" t="inlineStr">
        <is>
          <t>25508994</t>
        </is>
      </c>
      <c r="AW259" t="inlineStr">
        <is>
          <t>991002006049702656</t>
        </is>
      </c>
      <c r="AX259" t="inlineStr">
        <is>
          <t>991002006049702656</t>
        </is>
      </c>
      <c r="AY259" t="inlineStr">
        <is>
          <t>2272365580002656</t>
        </is>
      </c>
      <c r="AZ259" t="inlineStr">
        <is>
          <t>BOOK</t>
        </is>
      </c>
      <c r="BB259" t="inlineStr">
        <is>
          <t>9780674212985</t>
        </is>
      </c>
      <c r="BC259" t="inlineStr">
        <is>
          <t>32285001816015</t>
        </is>
      </c>
      <c r="BD259" t="inlineStr">
        <is>
          <t>893316261</t>
        </is>
      </c>
    </row>
    <row r="260">
      <c r="A260" t="inlineStr">
        <is>
          <t>No</t>
        </is>
      </c>
      <c r="B260" t="inlineStr">
        <is>
          <t>QH314 .C43 2007</t>
        </is>
      </c>
      <c r="C260" t="inlineStr">
        <is>
          <t>0                      QH 0314000C  43          2007</t>
        </is>
      </c>
      <c r="D260" t="inlineStr">
        <is>
          <t>The Chicago guide to landing a job in academic biology / C. Ray Chandler, Lorne M. Wolfe, &amp; Daniel E. L. Promislow.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Chandler, C. Ray.</t>
        </is>
      </c>
      <c r="L260" t="inlineStr">
        <is>
          <t>Chicago : The University of Chicago Press, c2007.</t>
        </is>
      </c>
      <c r="M260" t="inlineStr">
        <is>
          <t>2007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QH </t>
        </is>
      </c>
      <c r="S260" t="n">
        <v>1</v>
      </c>
      <c r="T260" t="n">
        <v>1</v>
      </c>
      <c r="U260" t="inlineStr">
        <is>
          <t>2007-10-25</t>
        </is>
      </c>
      <c r="V260" t="inlineStr">
        <is>
          <t>2007-10-25</t>
        </is>
      </c>
      <c r="W260" t="inlineStr">
        <is>
          <t>2007-10-25</t>
        </is>
      </c>
      <c r="X260" t="inlineStr">
        <is>
          <t>2007-10-25</t>
        </is>
      </c>
      <c r="Y260" t="n">
        <v>244</v>
      </c>
      <c r="Z260" t="n">
        <v>202</v>
      </c>
      <c r="AA260" t="n">
        <v>895</v>
      </c>
      <c r="AB260" t="n">
        <v>3</v>
      </c>
      <c r="AC260" t="n">
        <v>23</v>
      </c>
      <c r="AD260" t="n">
        <v>13</v>
      </c>
      <c r="AE260" t="n">
        <v>24</v>
      </c>
      <c r="AF260" t="n">
        <v>5</v>
      </c>
      <c r="AG260" t="n">
        <v>7</v>
      </c>
      <c r="AH260" t="n">
        <v>3</v>
      </c>
      <c r="AI260" t="n">
        <v>3</v>
      </c>
      <c r="AJ260" t="n">
        <v>6</v>
      </c>
      <c r="AK260" t="n">
        <v>7</v>
      </c>
      <c r="AL260" t="n">
        <v>2</v>
      </c>
      <c r="AM260" t="n">
        <v>11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HYPERLINK("https://creighton-primo.hosted.exlibrisgroup.com/primo-explore/search?tab=default_tab&amp;search_scope=EVERYTHING&amp;vid=01CRU&amp;lang=en_US&amp;offset=0&amp;query=any,contains,991005120929702656","Catalog Record")</f>
        <v/>
      </c>
      <c r="AT260">
        <f>HYPERLINK("http://www.worldcat.org/oclc/71322244","WorldCat Record")</f>
        <v/>
      </c>
      <c r="AU260" t="inlineStr">
        <is>
          <t>58273737:eng</t>
        </is>
      </c>
      <c r="AV260" t="inlineStr">
        <is>
          <t>71322244</t>
        </is>
      </c>
      <c r="AW260" t="inlineStr">
        <is>
          <t>991005120929702656</t>
        </is>
      </c>
      <c r="AX260" t="inlineStr">
        <is>
          <t>991005120929702656</t>
        </is>
      </c>
      <c r="AY260" t="inlineStr">
        <is>
          <t>2265340170002656</t>
        </is>
      </c>
      <c r="AZ260" t="inlineStr">
        <is>
          <t>BOOK</t>
        </is>
      </c>
      <c r="BB260" t="inlineStr">
        <is>
          <t>9780226101293</t>
        </is>
      </c>
      <c r="BC260" t="inlineStr">
        <is>
          <t>32285005361224</t>
        </is>
      </c>
      <c r="BD260" t="inlineStr">
        <is>
          <t>893719803</t>
        </is>
      </c>
    </row>
    <row r="261">
      <c r="A261" t="inlineStr">
        <is>
          <t>No</t>
        </is>
      </c>
      <c r="B261" t="inlineStr">
        <is>
          <t>QH314 .J36 1985</t>
        </is>
      </c>
      <c r="C261" t="inlineStr">
        <is>
          <t>0                      QH 0314000J  36          1985</t>
        </is>
      </c>
      <c r="D261" t="inlineStr">
        <is>
          <t>On becoming a biologist / John Janovy, Jr.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Janovy, John, Jr., 1937-</t>
        </is>
      </c>
      <c r="L261" t="inlineStr">
        <is>
          <t>New York : Harper &amp; Row, c1985.</t>
        </is>
      </c>
      <c r="M261" t="inlineStr">
        <is>
          <t>1985</t>
        </is>
      </c>
      <c r="N261" t="inlineStr">
        <is>
          <t>1st ed.</t>
        </is>
      </c>
      <c r="O261" t="inlineStr">
        <is>
          <t>eng</t>
        </is>
      </c>
      <c r="P261" t="inlineStr">
        <is>
          <t>nyu</t>
        </is>
      </c>
      <c r="Q261" t="inlineStr">
        <is>
          <t>The Harper &amp; Row series on the professions</t>
        </is>
      </c>
      <c r="R261" t="inlineStr">
        <is>
          <t xml:space="preserve">QH </t>
        </is>
      </c>
      <c r="S261" t="n">
        <v>7</v>
      </c>
      <c r="T261" t="n">
        <v>7</v>
      </c>
      <c r="U261" t="inlineStr">
        <is>
          <t>2009-04-14</t>
        </is>
      </c>
      <c r="V261" t="inlineStr">
        <is>
          <t>2009-04-14</t>
        </is>
      </c>
      <c r="W261" t="inlineStr">
        <is>
          <t>1992-02-01</t>
        </is>
      </c>
      <c r="X261" t="inlineStr">
        <is>
          <t>1992-02-01</t>
        </is>
      </c>
      <c r="Y261" t="n">
        <v>788</v>
      </c>
      <c r="Z261" t="n">
        <v>752</v>
      </c>
      <c r="AA261" t="n">
        <v>800</v>
      </c>
      <c r="AB261" t="n">
        <v>12</v>
      </c>
      <c r="AC261" t="n">
        <v>13</v>
      </c>
      <c r="AD261" t="n">
        <v>28</v>
      </c>
      <c r="AE261" t="n">
        <v>29</v>
      </c>
      <c r="AF261" t="n">
        <v>12</v>
      </c>
      <c r="AG261" t="n">
        <v>12</v>
      </c>
      <c r="AH261" t="n">
        <v>6</v>
      </c>
      <c r="AI261" t="n">
        <v>6</v>
      </c>
      <c r="AJ261" t="n">
        <v>12</v>
      </c>
      <c r="AK261" t="n">
        <v>12</v>
      </c>
      <c r="AL261" t="n">
        <v>5</v>
      </c>
      <c r="AM261" t="n">
        <v>6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HYPERLINK("http://catalog.hathitrust.org/Record/000476864","HathiTrust Record")</f>
        <v/>
      </c>
      <c r="AS261">
        <f>HYPERLINK("https://creighton-primo.hosted.exlibrisgroup.com/primo-explore/search?tab=default_tab&amp;search_scope=EVERYTHING&amp;vid=01CRU&amp;lang=en_US&amp;offset=0&amp;query=any,contains,991000747449702656","Catalog Record")</f>
        <v/>
      </c>
      <c r="AT261">
        <f>HYPERLINK("http://www.worldcat.org/oclc/12879355","WorldCat Record")</f>
        <v/>
      </c>
      <c r="AU261" t="inlineStr">
        <is>
          <t>5645963:eng</t>
        </is>
      </c>
      <c r="AV261" t="inlineStr">
        <is>
          <t>12879355</t>
        </is>
      </c>
      <c r="AW261" t="inlineStr">
        <is>
          <t>991000747449702656</t>
        </is>
      </c>
      <c r="AX261" t="inlineStr">
        <is>
          <t>991000747449702656</t>
        </is>
      </c>
      <c r="AY261" t="inlineStr">
        <is>
          <t>2255226970002656</t>
        </is>
      </c>
      <c r="AZ261" t="inlineStr">
        <is>
          <t>BOOK</t>
        </is>
      </c>
      <c r="BB261" t="inlineStr">
        <is>
          <t>9780060154677</t>
        </is>
      </c>
      <c r="BC261" t="inlineStr">
        <is>
          <t>32285000933282</t>
        </is>
      </c>
      <c r="BD261" t="inlineStr">
        <is>
          <t>893714861</t>
        </is>
      </c>
    </row>
    <row r="262">
      <c r="A262" t="inlineStr">
        <is>
          <t>No</t>
        </is>
      </c>
      <c r="B262" t="inlineStr">
        <is>
          <t>QH315 .A33</t>
        </is>
      </c>
      <c r="C262" t="inlineStr">
        <is>
          <t>0                      QH 0315000A  33</t>
        </is>
      </c>
      <c r="D262" t="inlineStr">
        <is>
          <t>Biology, psychology, and medicine, by Moritmer J. Adler and V. J. McGill. Pref. by Franz Alexander.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Adler, Mortimer Jerome, 1902-2001.</t>
        </is>
      </c>
      <c r="L262" t="inlineStr">
        <is>
          <t>Chicago, Encyclopædia Britannica [1963]</t>
        </is>
      </c>
      <c r="M262" t="inlineStr">
        <is>
          <t>1963</t>
        </is>
      </c>
      <c r="O262" t="inlineStr">
        <is>
          <t>eng</t>
        </is>
      </c>
      <c r="P262" t="inlineStr">
        <is>
          <t>ilu</t>
        </is>
      </c>
      <c r="Q262" t="inlineStr">
        <is>
          <t>The Great ideas program, 9</t>
        </is>
      </c>
      <c r="R262" t="inlineStr">
        <is>
          <t xml:space="preserve">QH </t>
        </is>
      </c>
      <c r="S262" t="n">
        <v>3</v>
      </c>
      <c r="T262" t="n">
        <v>3</v>
      </c>
      <c r="U262" t="inlineStr">
        <is>
          <t>1999-11-16</t>
        </is>
      </c>
      <c r="V262" t="inlineStr">
        <is>
          <t>1999-11-16</t>
        </is>
      </c>
      <c r="W262" t="inlineStr">
        <is>
          <t>1997-07-01</t>
        </is>
      </c>
      <c r="X262" t="inlineStr">
        <is>
          <t>1997-07-01</t>
        </is>
      </c>
      <c r="Y262" t="n">
        <v>564</v>
      </c>
      <c r="Z262" t="n">
        <v>493</v>
      </c>
      <c r="AA262" t="n">
        <v>501</v>
      </c>
      <c r="AB262" t="n">
        <v>7</v>
      </c>
      <c r="AC262" t="n">
        <v>7</v>
      </c>
      <c r="AD262" t="n">
        <v>18</v>
      </c>
      <c r="AE262" t="n">
        <v>18</v>
      </c>
      <c r="AF262" t="n">
        <v>6</v>
      </c>
      <c r="AG262" t="n">
        <v>6</v>
      </c>
      <c r="AH262" t="n">
        <v>2</v>
      </c>
      <c r="AI262" t="n">
        <v>2</v>
      </c>
      <c r="AJ262" t="n">
        <v>9</v>
      </c>
      <c r="AK262" t="n">
        <v>9</v>
      </c>
      <c r="AL262" t="n">
        <v>2</v>
      </c>
      <c r="AM262" t="n">
        <v>2</v>
      </c>
      <c r="AN262" t="n">
        <v>2</v>
      </c>
      <c r="AO262" t="n">
        <v>2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HYPERLINK("http://catalog.hathitrust.org/Record/102102017","HathiTrust Record")</f>
        <v/>
      </c>
      <c r="AS262">
        <f>HYPERLINK("https://creighton-primo.hosted.exlibrisgroup.com/primo-explore/search?tab=default_tab&amp;search_scope=EVERYTHING&amp;vid=01CRU&amp;lang=en_US&amp;offset=0&amp;query=any,contains,991003307679702656","Catalog Record")</f>
        <v/>
      </c>
      <c r="AT262">
        <f>HYPERLINK("http://www.worldcat.org/oclc/831222","WorldCat Record")</f>
        <v/>
      </c>
      <c r="AU262" t="inlineStr">
        <is>
          <t>47765532:eng</t>
        </is>
      </c>
      <c r="AV262" t="inlineStr">
        <is>
          <t>831222</t>
        </is>
      </c>
      <c r="AW262" t="inlineStr">
        <is>
          <t>991003307679702656</t>
        </is>
      </c>
      <c r="AX262" t="inlineStr">
        <is>
          <t>991003307679702656</t>
        </is>
      </c>
      <c r="AY262" t="inlineStr">
        <is>
          <t>2271923420002656</t>
        </is>
      </c>
      <c r="AZ262" t="inlineStr">
        <is>
          <t>BOOK</t>
        </is>
      </c>
      <c r="BC262" t="inlineStr">
        <is>
          <t>32285002867686</t>
        </is>
      </c>
      <c r="BD262" t="inlineStr">
        <is>
          <t>893686429</t>
        </is>
      </c>
    </row>
    <row r="263">
      <c r="A263" t="inlineStr">
        <is>
          <t>No</t>
        </is>
      </c>
      <c r="B263" t="inlineStr">
        <is>
          <t>QH315 .M6 1962</t>
        </is>
      </c>
      <c r="C263" t="inlineStr">
        <is>
          <t>0                      QH 0315000M  6           1962</t>
        </is>
      </c>
      <c r="D263" t="inlineStr">
        <is>
          <t>Methods and materials for teaching the biological sciences : a text and source book for teachers in training and in service / [by] David F. Miller [and] Glenn W. Blaydes.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Miller, David F. (David Franklin), 1892-1976.</t>
        </is>
      </c>
      <c r="L263" t="inlineStr">
        <is>
          <t>New York : McGraw-Hill, 1962.</t>
        </is>
      </c>
      <c r="M263" t="inlineStr">
        <is>
          <t>1962</t>
        </is>
      </c>
      <c r="N263" t="inlineStr">
        <is>
          <t>2d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QH </t>
        </is>
      </c>
      <c r="S263" t="n">
        <v>3</v>
      </c>
      <c r="T263" t="n">
        <v>3</v>
      </c>
      <c r="U263" t="inlineStr">
        <is>
          <t>1996-09-15</t>
        </is>
      </c>
      <c r="V263" t="inlineStr">
        <is>
          <t>1996-09-15</t>
        </is>
      </c>
      <c r="W263" t="inlineStr">
        <is>
          <t>1995-03-10</t>
        </is>
      </c>
      <c r="X263" t="inlineStr">
        <is>
          <t>1995-03-10</t>
        </is>
      </c>
      <c r="Y263" t="n">
        <v>504</v>
      </c>
      <c r="Z263" t="n">
        <v>418</v>
      </c>
      <c r="AA263" t="n">
        <v>420</v>
      </c>
      <c r="AB263" t="n">
        <v>3</v>
      </c>
      <c r="AC263" t="n">
        <v>3</v>
      </c>
      <c r="AD263" t="n">
        <v>11</v>
      </c>
      <c r="AE263" t="n">
        <v>11</v>
      </c>
      <c r="AF263" t="n">
        <v>2</v>
      </c>
      <c r="AG263" t="n">
        <v>2</v>
      </c>
      <c r="AH263" t="n">
        <v>1</v>
      </c>
      <c r="AI263" t="n">
        <v>1</v>
      </c>
      <c r="AJ263" t="n">
        <v>9</v>
      </c>
      <c r="AK263" t="n">
        <v>9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HYPERLINK("http://catalog.hathitrust.org/Record/001491232","HathiTrust Record")</f>
        <v/>
      </c>
      <c r="AS263">
        <f>HYPERLINK("https://creighton-primo.hosted.exlibrisgroup.com/primo-explore/search?tab=default_tab&amp;search_scope=EVERYTHING&amp;vid=01CRU&amp;lang=en_US&amp;offset=0&amp;query=any,contains,991001213889702656","Catalog Record")</f>
        <v/>
      </c>
      <c r="AT263">
        <f>HYPERLINK("http://www.worldcat.org/oclc/193384","WorldCat Record")</f>
        <v/>
      </c>
      <c r="AU263" t="inlineStr">
        <is>
          <t>457765538:eng</t>
        </is>
      </c>
      <c r="AV263" t="inlineStr">
        <is>
          <t>193384</t>
        </is>
      </c>
      <c r="AW263" t="inlineStr">
        <is>
          <t>991001213889702656</t>
        </is>
      </c>
      <c r="AX263" t="inlineStr">
        <is>
          <t>991001213889702656</t>
        </is>
      </c>
      <c r="AY263" t="inlineStr">
        <is>
          <t>2270822490002656</t>
        </is>
      </c>
      <c r="AZ263" t="inlineStr">
        <is>
          <t>BOOK</t>
        </is>
      </c>
      <c r="BC263" t="inlineStr">
        <is>
          <t>32285002011830</t>
        </is>
      </c>
      <c r="BD263" t="inlineStr">
        <is>
          <t>893872373</t>
        </is>
      </c>
    </row>
    <row r="264">
      <c r="A264" t="inlineStr">
        <is>
          <t>No</t>
        </is>
      </c>
      <c r="B264" t="inlineStr">
        <is>
          <t>QH315 .V6</t>
        </is>
      </c>
      <c r="C264" t="inlineStr">
        <is>
          <t>0                      QH 0315000V  6</t>
        </is>
      </c>
      <c r="D264" t="inlineStr">
        <is>
          <t>Biology as inquiry : a book of teaching methods / [by] Burton E. Voss [and] Stanley B. Brown.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Voss, Burton E. (Burton Elmer), 1927-</t>
        </is>
      </c>
      <c r="L264" t="inlineStr">
        <is>
          <t>Saint Louis : Mosby, 1968.</t>
        </is>
      </c>
      <c r="M264" t="inlineStr">
        <is>
          <t>1968</t>
        </is>
      </c>
      <c r="O264" t="inlineStr">
        <is>
          <t>eng</t>
        </is>
      </c>
      <c r="P264" t="inlineStr">
        <is>
          <t>mou</t>
        </is>
      </c>
      <c r="R264" t="inlineStr">
        <is>
          <t xml:space="preserve">QH </t>
        </is>
      </c>
      <c r="S264" t="n">
        <v>2</v>
      </c>
      <c r="T264" t="n">
        <v>2</v>
      </c>
      <c r="U264" t="inlineStr">
        <is>
          <t>1996-09-24</t>
        </is>
      </c>
      <c r="V264" t="inlineStr">
        <is>
          <t>1996-09-24</t>
        </is>
      </c>
      <c r="W264" t="inlineStr">
        <is>
          <t>1992-09-16</t>
        </is>
      </c>
      <c r="X264" t="inlineStr">
        <is>
          <t>1992-09-16</t>
        </is>
      </c>
      <c r="Y264" t="n">
        <v>451</v>
      </c>
      <c r="Z264" t="n">
        <v>392</v>
      </c>
      <c r="AA264" t="n">
        <v>394</v>
      </c>
      <c r="AB264" t="n">
        <v>4</v>
      </c>
      <c r="AC264" t="n">
        <v>4</v>
      </c>
      <c r="AD264" t="n">
        <v>14</v>
      </c>
      <c r="AE264" t="n">
        <v>14</v>
      </c>
      <c r="AF264" t="n">
        <v>6</v>
      </c>
      <c r="AG264" t="n">
        <v>6</v>
      </c>
      <c r="AH264" t="n">
        <v>1</v>
      </c>
      <c r="AI264" t="n">
        <v>1</v>
      </c>
      <c r="AJ264" t="n">
        <v>6</v>
      </c>
      <c r="AK264" t="n">
        <v>6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HYPERLINK("http://catalog.hathitrust.org/Record/001491241","HathiTrust Record")</f>
        <v/>
      </c>
      <c r="AS264">
        <f>HYPERLINK("https://creighton-primo.hosted.exlibrisgroup.com/primo-explore/search?tab=default_tab&amp;search_scope=EVERYTHING&amp;vid=01CRU&amp;lang=en_US&amp;offset=0&amp;query=any,contains,991002784679702656","Catalog Record")</f>
        <v/>
      </c>
      <c r="AT264">
        <f>HYPERLINK("http://www.worldcat.org/oclc/441207","WorldCat Record")</f>
        <v/>
      </c>
      <c r="AU264" t="inlineStr">
        <is>
          <t>1568203:eng</t>
        </is>
      </c>
      <c r="AV264" t="inlineStr">
        <is>
          <t>441207</t>
        </is>
      </c>
      <c r="AW264" t="inlineStr">
        <is>
          <t>991002784679702656</t>
        </is>
      </c>
      <c r="AX264" t="inlineStr">
        <is>
          <t>991002784679702656</t>
        </is>
      </c>
      <c r="AY264" t="inlineStr">
        <is>
          <t>2257208140002656</t>
        </is>
      </c>
      <c r="AZ264" t="inlineStr">
        <is>
          <t>BOOK</t>
        </is>
      </c>
      <c r="BC264" t="inlineStr">
        <is>
          <t>32285001300465</t>
        </is>
      </c>
      <c r="BD264" t="inlineStr">
        <is>
          <t>893892998</t>
        </is>
      </c>
    </row>
    <row r="265">
      <c r="A265" t="inlineStr">
        <is>
          <t>No</t>
        </is>
      </c>
      <c r="B265" t="inlineStr">
        <is>
          <t>QH316 .R46 1978</t>
        </is>
      </c>
      <c r="C265" t="inlineStr">
        <is>
          <t>0                      QH 0316000R  46          1978</t>
        </is>
      </c>
      <c r="D265" t="inlineStr">
        <is>
          <t>The biology problem solver / staff of Research and Education Association ; M. Fogiel, director.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Research and Education Association.</t>
        </is>
      </c>
      <c r="L265" t="inlineStr">
        <is>
          <t>New York : REA, c1978.</t>
        </is>
      </c>
      <c r="M265" t="inlineStr">
        <is>
          <t>1978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QH </t>
        </is>
      </c>
      <c r="S265" t="n">
        <v>14</v>
      </c>
      <c r="T265" t="n">
        <v>14</v>
      </c>
      <c r="U265" t="inlineStr">
        <is>
          <t>1996-09-26</t>
        </is>
      </c>
      <c r="V265" t="inlineStr">
        <is>
          <t>1996-09-26</t>
        </is>
      </c>
      <c r="W265" t="inlineStr">
        <is>
          <t>1995-01-25</t>
        </is>
      </c>
      <c r="X265" t="inlineStr">
        <is>
          <t>1995-01-25</t>
        </is>
      </c>
      <c r="Y265" t="n">
        <v>178</v>
      </c>
      <c r="Z265" t="n">
        <v>169</v>
      </c>
      <c r="AA265" t="n">
        <v>314</v>
      </c>
      <c r="AB265" t="n">
        <v>3</v>
      </c>
      <c r="AC265" t="n">
        <v>4</v>
      </c>
      <c r="AD265" t="n">
        <v>6</v>
      </c>
      <c r="AE265" t="n">
        <v>9</v>
      </c>
      <c r="AF265" t="n">
        <v>3</v>
      </c>
      <c r="AG265" t="n">
        <v>5</v>
      </c>
      <c r="AH265" t="n">
        <v>0</v>
      </c>
      <c r="AI265" t="n">
        <v>0</v>
      </c>
      <c r="AJ265" t="n">
        <v>4</v>
      </c>
      <c r="AK265" t="n">
        <v>5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HYPERLINK("https://creighton-primo.hosted.exlibrisgroup.com/primo-explore/search?tab=default_tab&amp;search_scope=EVERYTHING&amp;vid=01CRU&amp;lang=en_US&amp;offset=0&amp;query=any,contains,991004674959702656","Catalog Record")</f>
        <v/>
      </c>
      <c r="AT265">
        <f>HYPERLINK("http://www.worldcat.org/oclc/4530385","WorldCat Record")</f>
        <v/>
      </c>
      <c r="AU265" t="inlineStr">
        <is>
          <t>429018670:eng</t>
        </is>
      </c>
      <c r="AV265" t="inlineStr">
        <is>
          <t>4530385</t>
        </is>
      </c>
      <c r="AW265" t="inlineStr">
        <is>
          <t>991004674959702656</t>
        </is>
      </c>
      <c r="AX265" t="inlineStr">
        <is>
          <t>991004674959702656</t>
        </is>
      </c>
      <c r="AY265" t="inlineStr">
        <is>
          <t>2257684640002656</t>
        </is>
      </c>
      <c r="AZ265" t="inlineStr">
        <is>
          <t>BOOK</t>
        </is>
      </c>
      <c r="BB265" t="inlineStr">
        <is>
          <t>9780878915149</t>
        </is>
      </c>
      <c r="BC265" t="inlineStr">
        <is>
          <t>32285001779163</t>
        </is>
      </c>
      <c r="BD265" t="inlineStr">
        <is>
          <t>893253979</t>
        </is>
      </c>
    </row>
    <row r="266">
      <c r="A266" t="inlineStr">
        <is>
          <t>No</t>
        </is>
      </c>
      <c r="B266" t="inlineStr">
        <is>
          <t>QH316.5 .A47 1976</t>
        </is>
      </c>
      <c r="C266" t="inlineStr">
        <is>
          <t>0                      QH 0316500A  47          1976</t>
        </is>
      </c>
      <c r="D266" t="inlineStr">
        <is>
          <t>Research problems in biology : investigations for students / [compiled by] Biological Sciences Curriculum Study.</t>
        </is>
      </c>
      <c r="E266" t="inlineStr">
        <is>
          <t>V.2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Biological Sciences Curriculum Study.</t>
        </is>
      </c>
      <c r="L266" t="inlineStr">
        <is>
          <t>New York : Oxford University Press, 1976.</t>
        </is>
      </c>
      <c r="M266" t="inlineStr">
        <is>
          <t>1976</t>
        </is>
      </c>
      <c r="N266" t="inlineStr">
        <is>
          <t>2d ed.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QH </t>
        </is>
      </c>
      <c r="S266" t="n">
        <v>1</v>
      </c>
      <c r="T266" t="n">
        <v>3</v>
      </c>
      <c r="U266" t="inlineStr">
        <is>
          <t>1994-10-08</t>
        </is>
      </c>
      <c r="V266" t="inlineStr">
        <is>
          <t>1994-10-08</t>
        </is>
      </c>
      <c r="W266" t="inlineStr">
        <is>
          <t>1993-01-05</t>
        </is>
      </c>
      <c r="X266" t="inlineStr">
        <is>
          <t>1993-01-05</t>
        </is>
      </c>
      <c r="Y266" t="n">
        <v>309</v>
      </c>
      <c r="Z266" t="n">
        <v>285</v>
      </c>
      <c r="AA266" t="n">
        <v>467</v>
      </c>
      <c r="AB266" t="n">
        <v>2</v>
      </c>
      <c r="AC266" t="n">
        <v>5</v>
      </c>
      <c r="AD266" t="n">
        <v>8</v>
      </c>
      <c r="AE266" t="n">
        <v>15</v>
      </c>
      <c r="AF266" t="n">
        <v>4</v>
      </c>
      <c r="AG266" t="n">
        <v>4</v>
      </c>
      <c r="AH266" t="n">
        <v>0</v>
      </c>
      <c r="AI266" t="n">
        <v>1</v>
      </c>
      <c r="AJ266" t="n">
        <v>6</v>
      </c>
      <c r="AK266" t="n">
        <v>9</v>
      </c>
      <c r="AL266" t="n">
        <v>1</v>
      </c>
      <c r="AM266" t="n">
        <v>4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6">
        <f>HYPERLINK("http://www.worldcat.org/oclc/2125623","WorldCat Record")</f>
        <v/>
      </c>
      <c r="AU266" t="inlineStr">
        <is>
          <t>1909311216:eng</t>
        </is>
      </c>
      <c r="AV266" t="inlineStr">
        <is>
          <t>2125623</t>
        </is>
      </c>
      <c r="AW266" t="inlineStr">
        <is>
          <t>991004022919702656</t>
        </is>
      </c>
      <c r="AX266" t="inlineStr">
        <is>
          <t>991004022919702656</t>
        </is>
      </c>
      <c r="AY266" t="inlineStr">
        <is>
          <t>2269604410002656</t>
        </is>
      </c>
      <c r="AZ266" t="inlineStr">
        <is>
          <t>BOOK</t>
        </is>
      </c>
      <c r="BC266" t="inlineStr">
        <is>
          <t>32285001471837</t>
        </is>
      </c>
      <c r="BD266" t="inlineStr">
        <is>
          <t>893324834</t>
        </is>
      </c>
    </row>
    <row r="267">
      <c r="A267" t="inlineStr">
        <is>
          <t>No</t>
        </is>
      </c>
      <c r="B267" t="inlineStr">
        <is>
          <t>QH316.5 .A47 1976</t>
        </is>
      </c>
      <c r="C267" t="inlineStr">
        <is>
          <t>0                      QH 0316500A  47          1976</t>
        </is>
      </c>
      <c r="D267" t="inlineStr">
        <is>
          <t>Research problems in biology : investigations for students / [compiled by] Biological Sciences Curriculum Study.</t>
        </is>
      </c>
      <c r="E267" t="inlineStr">
        <is>
          <t>V.1</t>
        </is>
      </c>
      <c r="F267" t="inlineStr">
        <is>
          <t>Yes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K267" t="inlineStr">
        <is>
          <t>Biological Sciences Curriculum Study.</t>
        </is>
      </c>
      <c r="L267" t="inlineStr">
        <is>
          <t>New York : Oxford University Press, 1976.</t>
        </is>
      </c>
      <c r="M267" t="inlineStr">
        <is>
          <t>1976</t>
        </is>
      </c>
      <c r="N267" t="inlineStr">
        <is>
          <t>2d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QH </t>
        </is>
      </c>
      <c r="S267" t="n">
        <v>1</v>
      </c>
      <c r="T267" t="n">
        <v>3</v>
      </c>
      <c r="U267" t="inlineStr">
        <is>
          <t>1994-10-08</t>
        </is>
      </c>
      <c r="V267" t="inlineStr">
        <is>
          <t>1994-10-08</t>
        </is>
      </c>
      <c r="W267" t="inlineStr">
        <is>
          <t>1993-01-05</t>
        </is>
      </c>
      <c r="X267" t="inlineStr">
        <is>
          <t>1993-01-05</t>
        </is>
      </c>
      <c r="Y267" t="n">
        <v>309</v>
      </c>
      <c r="Z267" t="n">
        <v>285</v>
      </c>
      <c r="AA267" t="n">
        <v>467</v>
      </c>
      <c r="AB267" t="n">
        <v>2</v>
      </c>
      <c r="AC267" t="n">
        <v>5</v>
      </c>
      <c r="AD267" t="n">
        <v>8</v>
      </c>
      <c r="AE267" t="n">
        <v>15</v>
      </c>
      <c r="AF267" t="n">
        <v>4</v>
      </c>
      <c r="AG267" t="n">
        <v>4</v>
      </c>
      <c r="AH267" t="n">
        <v>0</v>
      </c>
      <c r="AI267" t="n">
        <v>1</v>
      </c>
      <c r="AJ267" t="n">
        <v>6</v>
      </c>
      <c r="AK267" t="n">
        <v>9</v>
      </c>
      <c r="AL267" t="n">
        <v>1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7">
        <f>HYPERLINK("http://www.worldcat.org/oclc/2125623","WorldCat Record")</f>
        <v/>
      </c>
      <c r="AU267" t="inlineStr">
        <is>
          <t>1909311216:eng</t>
        </is>
      </c>
      <c r="AV267" t="inlineStr">
        <is>
          <t>2125623</t>
        </is>
      </c>
      <c r="AW267" t="inlineStr">
        <is>
          <t>991004022919702656</t>
        </is>
      </c>
      <c r="AX267" t="inlineStr">
        <is>
          <t>991004022919702656</t>
        </is>
      </c>
      <c r="AY267" t="inlineStr">
        <is>
          <t>2269604410002656</t>
        </is>
      </c>
      <c r="AZ267" t="inlineStr">
        <is>
          <t>BOOK</t>
        </is>
      </c>
      <c r="BC267" t="inlineStr">
        <is>
          <t>32285001471829</t>
        </is>
      </c>
      <c r="BD267" t="inlineStr">
        <is>
          <t>893318703</t>
        </is>
      </c>
    </row>
    <row r="268">
      <c r="A268" t="inlineStr">
        <is>
          <t>No</t>
        </is>
      </c>
      <c r="B268" t="inlineStr">
        <is>
          <t>QH316.5 .A47 1976</t>
        </is>
      </c>
      <c r="C268" t="inlineStr">
        <is>
          <t>0                      QH 0316500A  47          1976</t>
        </is>
      </c>
      <c r="D268" t="inlineStr">
        <is>
          <t>Research problems in biology : investigations for students / [compiled by] Biological Sciences Curriculum Study.</t>
        </is>
      </c>
      <c r="E268" t="inlineStr">
        <is>
          <t>V.3</t>
        </is>
      </c>
      <c r="F268" t="inlineStr">
        <is>
          <t>Yes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Biological Sciences Curriculum Study.</t>
        </is>
      </c>
      <c r="L268" t="inlineStr">
        <is>
          <t>New York : Oxford University Press, 1976.</t>
        </is>
      </c>
      <c r="M268" t="inlineStr">
        <is>
          <t>1976</t>
        </is>
      </c>
      <c r="N268" t="inlineStr">
        <is>
          <t>2d ed.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QH </t>
        </is>
      </c>
      <c r="S268" t="n">
        <v>1</v>
      </c>
      <c r="T268" t="n">
        <v>3</v>
      </c>
      <c r="U268" t="inlineStr">
        <is>
          <t>1994-10-08</t>
        </is>
      </c>
      <c r="V268" t="inlineStr">
        <is>
          <t>1994-10-08</t>
        </is>
      </c>
      <c r="W268" t="inlineStr">
        <is>
          <t>1993-01-05</t>
        </is>
      </c>
      <c r="X268" t="inlineStr">
        <is>
          <t>1993-01-05</t>
        </is>
      </c>
      <c r="Y268" t="n">
        <v>309</v>
      </c>
      <c r="Z268" t="n">
        <v>285</v>
      </c>
      <c r="AA268" t="n">
        <v>467</v>
      </c>
      <c r="AB268" t="n">
        <v>2</v>
      </c>
      <c r="AC268" t="n">
        <v>5</v>
      </c>
      <c r="AD268" t="n">
        <v>8</v>
      </c>
      <c r="AE268" t="n">
        <v>15</v>
      </c>
      <c r="AF268" t="n">
        <v>4</v>
      </c>
      <c r="AG268" t="n">
        <v>4</v>
      </c>
      <c r="AH268" t="n">
        <v>0</v>
      </c>
      <c r="AI268" t="n">
        <v>1</v>
      </c>
      <c r="AJ268" t="n">
        <v>6</v>
      </c>
      <c r="AK268" t="n">
        <v>9</v>
      </c>
      <c r="AL268" t="n">
        <v>1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8">
        <f>HYPERLINK("http://www.worldcat.org/oclc/2125623","WorldCat Record")</f>
        <v/>
      </c>
      <c r="AU268" t="inlineStr">
        <is>
          <t>1909311216:eng</t>
        </is>
      </c>
      <c r="AV268" t="inlineStr">
        <is>
          <t>2125623</t>
        </is>
      </c>
      <c r="AW268" t="inlineStr">
        <is>
          <t>991004022919702656</t>
        </is>
      </c>
      <c r="AX268" t="inlineStr">
        <is>
          <t>991004022919702656</t>
        </is>
      </c>
      <c r="AY268" t="inlineStr">
        <is>
          <t>2269604410002656</t>
        </is>
      </c>
      <c r="AZ268" t="inlineStr">
        <is>
          <t>BOOK</t>
        </is>
      </c>
      <c r="BC268" t="inlineStr">
        <is>
          <t>32285001471845</t>
        </is>
      </c>
      <c r="BD268" t="inlineStr">
        <is>
          <t>893349520</t>
        </is>
      </c>
    </row>
    <row r="269">
      <c r="A269" t="inlineStr">
        <is>
          <t>No</t>
        </is>
      </c>
      <c r="B269" t="inlineStr">
        <is>
          <t>QH318 .W66 1982</t>
        </is>
      </c>
      <c r="C269" t="inlineStr">
        <is>
          <t>0                      QH 0318000W  66          1982</t>
        </is>
      </c>
      <c r="D269" t="inlineStr">
        <is>
          <t>Scientific illustration : a guide to biological, zoological, and medical rendering techniques, design, printing, and display / Phyllis Wood.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Wood, Phyllis.</t>
        </is>
      </c>
      <c r="L269" t="inlineStr">
        <is>
          <t>New York : Van Nostrand Reinhold Co., 1982, c1979.</t>
        </is>
      </c>
      <c r="M269" t="inlineStr">
        <is>
          <t>1982</t>
        </is>
      </c>
      <c r="O269" t="inlineStr">
        <is>
          <t>eng</t>
        </is>
      </c>
      <c r="P269" t="inlineStr">
        <is>
          <t>nyu</t>
        </is>
      </c>
      <c r="R269" t="inlineStr">
        <is>
          <t xml:space="preserve">QH </t>
        </is>
      </c>
      <c r="S269" t="n">
        <v>2</v>
      </c>
      <c r="T269" t="n">
        <v>2</v>
      </c>
      <c r="U269" t="inlineStr">
        <is>
          <t>1994-03-22</t>
        </is>
      </c>
      <c r="V269" t="inlineStr">
        <is>
          <t>1994-03-22</t>
        </is>
      </c>
      <c r="W269" t="inlineStr">
        <is>
          <t>1990-07-26</t>
        </is>
      </c>
      <c r="X269" t="inlineStr">
        <is>
          <t>1990-07-26</t>
        </is>
      </c>
      <c r="Y269" t="n">
        <v>145</v>
      </c>
      <c r="Z269" t="n">
        <v>128</v>
      </c>
      <c r="AA269" t="n">
        <v>1004</v>
      </c>
      <c r="AB269" t="n">
        <v>2</v>
      </c>
      <c r="AC269" t="n">
        <v>8</v>
      </c>
      <c r="AD269" t="n">
        <v>4</v>
      </c>
      <c r="AE269" t="n">
        <v>23</v>
      </c>
      <c r="AF269" t="n">
        <v>1</v>
      </c>
      <c r="AG269" t="n">
        <v>9</v>
      </c>
      <c r="AH269" t="n">
        <v>1</v>
      </c>
      <c r="AI269" t="n">
        <v>1</v>
      </c>
      <c r="AJ269" t="n">
        <v>1</v>
      </c>
      <c r="AK269" t="n">
        <v>9</v>
      </c>
      <c r="AL269" t="n">
        <v>1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HYPERLINK("http://catalog.hathitrust.org/Record/000310944","HathiTrust Record")</f>
        <v/>
      </c>
      <c r="AS269">
        <f>HYPERLINK("https://creighton-primo.hosted.exlibrisgroup.com/primo-explore/search?tab=default_tab&amp;search_scope=EVERYTHING&amp;vid=01CRU&amp;lang=en_US&amp;offset=0&amp;query=any,contains,991000021949702656","Catalog Record")</f>
        <v/>
      </c>
      <c r="AT269">
        <f>HYPERLINK("http://www.worldcat.org/oclc/8576985","WorldCat Record")</f>
        <v/>
      </c>
      <c r="AU269" t="inlineStr">
        <is>
          <t>482181:eng</t>
        </is>
      </c>
      <c r="AV269" t="inlineStr">
        <is>
          <t>8576985</t>
        </is>
      </c>
      <c r="AW269" t="inlineStr">
        <is>
          <t>991000021949702656</t>
        </is>
      </c>
      <c r="AX269" t="inlineStr">
        <is>
          <t>991000021949702656</t>
        </is>
      </c>
      <c r="AY269" t="inlineStr">
        <is>
          <t>2257985840002656</t>
        </is>
      </c>
      <c r="AZ269" t="inlineStr">
        <is>
          <t>BOOK</t>
        </is>
      </c>
      <c r="BB269" t="inlineStr">
        <is>
          <t>9780442293079</t>
        </is>
      </c>
      <c r="BC269" t="inlineStr">
        <is>
          <t>32285000240688</t>
        </is>
      </c>
      <c r="BD269" t="inlineStr">
        <is>
          <t>893802416</t>
        </is>
      </c>
    </row>
    <row r="270">
      <c r="A270" t="inlineStr">
        <is>
          <t>No</t>
        </is>
      </c>
      <c r="B270" t="inlineStr">
        <is>
          <t>QH318.5 .F68 1990</t>
        </is>
      </c>
      <c r="C270" t="inlineStr">
        <is>
          <t>0                      QH 0318500F  68          1990</t>
        </is>
      </c>
      <c r="D270" t="inlineStr">
        <is>
          <t>Practical statistics for field biology / Jim Fowler and Louis Cohen.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Fowler, Jim, 1943-</t>
        </is>
      </c>
      <c r="L270" t="inlineStr">
        <is>
          <t>Milton Keynes [England] ; Philadelphia : Open University Press, 1990.</t>
        </is>
      </c>
      <c r="M270" t="inlineStr">
        <is>
          <t>1990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QH </t>
        </is>
      </c>
      <c r="S270" t="n">
        <v>17</v>
      </c>
      <c r="T270" t="n">
        <v>17</v>
      </c>
      <c r="U270" t="inlineStr">
        <is>
          <t>2005-03-25</t>
        </is>
      </c>
      <c r="V270" t="inlineStr">
        <is>
          <t>2005-03-25</t>
        </is>
      </c>
      <c r="W270" t="inlineStr">
        <is>
          <t>1991-05-01</t>
        </is>
      </c>
      <c r="X270" t="inlineStr">
        <is>
          <t>1991-05-01</t>
        </is>
      </c>
      <c r="Y270" t="n">
        <v>171</v>
      </c>
      <c r="Z270" t="n">
        <v>87</v>
      </c>
      <c r="AA270" t="n">
        <v>269</v>
      </c>
      <c r="AB270" t="n">
        <v>1</v>
      </c>
      <c r="AC270" t="n">
        <v>3</v>
      </c>
      <c r="AD270" t="n">
        <v>3</v>
      </c>
      <c r="AE270" t="n">
        <v>12</v>
      </c>
      <c r="AF270" t="n">
        <v>1</v>
      </c>
      <c r="AG270" t="n">
        <v>6</v>
      </c>
      <c r="AH270" t="n">
        <v>0</v>
      </c>
      <c r="AI270" t="n">
        <v>2</v>
      </c>
      <c r="AJ270" t="n">
        <v>2</v>
      </c>
      <c r="AK270" t="n">
        <v>4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HYPERLINK("http://catalog.hathitrust.org/Record/007175535","HathiTrust Record")</f>
        <v/>
      </c>
      <c r="AS270">
        <f>HYPERLINK("https://creighton-primo.hosted.exlibrisgroup.com/primo-explore/search?tab=default_tab&amp;search_scope=EVERYTHING&amp;vid=01CRU&amp;lang=en_US&amp;offset=0&amp;query=any,contains,991001859049702656","Catalog Record")</f>
        <v/>
      </c>
      <c r="AT270">
        <f>HYPERLINK("http://www.worldcat.org/oclc/23356561","WorldCat Record")</f>
        <v/>
      </c>
      <c r="AU270" t="inlineStr">
        <is>
          <t>139061356:eng</t>
        </is>
      </c>
      <c r="AV270" t="inlineStr">
        <is>
          <t>23356561</t>
        </is>
      </c>
      <c r="AW270" t="inlineStr">
        <is>
          <t>991001859049702656</t>
        </is>
      </c>
      <c r="AX270" t="inlineStr">
        <is>
          <t>991001859049702656</t>
        </is>
      </c>
      <c r="AY270" t="inlineStr">
        <is>
          <t>2257069560002656</t>
        </is>
      </c>
      <c r="AZ270" t="inlineStr">
        <is>
          <t>BOOK</t>
        </is>
      </c>
      <c r="BB270" t="inlineStr">
        <is>
          <t>9780335092079</t>
        </is>
      </c>
      <c r="BC270" t="inlineStr">
        <is>
          <t>32285000570696</t>
        </is>
      </c>
      <c r="BD270" t="inlineStr">
        <is>
          <t>893703391</t>
        </is>
      </c>
    </row>
    <row r="271">
      <c r="A271" t="inlineStr">
        <is>
          <t>No</t>
        </is>
      </c>
      <c r="B271" t="inlineStr">
        <is>
          <t>QH318.5 .K6</t>
        </is>
      </c>
      <c r="C271" t="inlineStr">
        <is>
          <t>0                      QH 0318500K  6</t>
        </is>
      </c>
      <c r="D271" t="inlineStr">
        <is>
          <t>Biological techniques; collecting, preserving, and illustrating plants and animals [by] Jens W. Knudsen.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Knudsen, Jens W.</t>
        </is>
      </c>
      <c r="L271" t="inlineStr">
        <is>
          <t>New York, Harper &amp; Row [1966]</t>
        </is>
      </c>
      <c r="M271" t="inlineStr">
        <is>
          <t>1966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QH </t>
        </is>
      </c>
      <c r="S271" t="n">
        <v>2</v>
      </c>
      <c r="T271" t="n">
        <v>2</v>
      </c>
      <c r="U271" t="inlineStr">
        <is>
          <t>1998-05-01</t>
        </is>
      </c>
      <c r="V271" t="inlineStr">
        <is>
          <t>1998-05-01</t>
        </is>
      </c>
      <c r="W271" t="inlineStr">
        <is>
          <t>1997-07-01</t>
        </is>
      </c>
      <c r="X271" t="inlineStr">
        <is>
          <t>1997-07-01</t>
        </is>
      </c>
      <c r="Y271" t="n">
        <v>862</v>
      </c>
      <c r="Z271" t="n">
        <v>743</v>
      </c>
      <c r="AA271" t="n">
        <v>752</v>
      </c>
      <c r="AB271" t="n">
        <v>6</v>
      </c>
      <c r="AC271" t="n">
        <v>6</v>
      </c>
      <c r="AD271" t="n">
        <v>20</v>
      </c>
      <c r="AE271" t="n">
        <v>20</v>
      </c>
      <c r="AF271" t="n">
        <v>7</v>
      </c>
      <c r="AG271" t="n">
        <v>7</v>
      </c>
      <c r="AH271" t="n">
        <v>4</v>
      </c>
      <c r="AI271" t="n">
        <v>4</v>
      </c>
      <c r="AJ271" t="n">
        <v>10</v>
      </c>
      <c r="AK271" t="n">
        <v>10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HYPERLINK("https://creighton-primo.hosted.exlibrisgroup.com/primo-explore/search?tab=default_tab&amp;search_scope=EVERYTHING&amp;vid=01CRU&amp;lang=en_US&amp;offset=0&amp;query=any,contains,991003595179702656","Catalog Record")</f>
        <v/>
      </c>
      <c r="AT271">
        <f>HYPERLINK("http://www.worldcat.org/oclc/1175578","WorldCat Record")</f>
        <v/>
      </c>
      <c r="AU271" t="inlineStr">
        <is>
          <t>2120762:eng</t>
        </is>
      </c>
      <c r="AV271" t="inlineStr">
        <is>
          <t>1175578</t>
        </is>
      </c>
      <c r="AW271" t="inlineStr">
        <is>
          <t>991003595179702656</t>
        </is>
      </c>
      <c r="AX271" t="inlineStr">
        <is>
          <t>991003595179702656</t>
        </is>
      </c>
      <c r="AY271" t="inlineStr">
        <is>
          <t>2271883120002656</t>
        </is>
      </c>
      <c r="AZ271" t="inlineStr">
        <is>
          <t>BOOK</t>
        </is>
      </c>
      <c r="BC271" t="inlineStr">
        <is>
          <t>32285002867900</t>
        </is>
      </c>
      <c r="BD271" t="inlineStr">
        <is>
          <t>893234325</t>
        </is>
      </c>
    </row>
    <row r="272">
      <c r="A272" t="inlineStr">
        <is>
          <t>No</t>
        </is>
      </c>
      <c r="B272" t="inlineStr">
        <is>
          <t>QH323.5 .A83</t>
        </is>
      </c>
      <c r="C272" t="inlineStr">
        <is>
          <t>0                      QH 0323500A  83</t>
        </is>
      </c>
      <c r="D272" t="inlineStr">
        <is>
          <t>The logit transformation with special reference to its uses in bioassay / [by] Winifred D. Ashton.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Ashton, Winifred D. (Winifred Diana)</t>
        </is>
      </c>
      <c r="L272" t="inlineStr">
        <is>
          <t>New York : Hafner Pub. Co., 1972.</t>
        </is>
      </c>
      <c r="M272" t="inlineStr">
        <is>
          <t>1972</t>
        </is>
      </c>
      <c r="O272" t="inlineStr">
        <is>
          <t>eng</t>
        </is>
      </c>
      <c r="P272" t="inlineStr">
        <is>
          <t>nyu</t>
        </is>
      </c>
      <c r="Q272" t="inlineStr">
        <is>
          <t>Griffin's statistical monographs &amp; courses ; no. 32</t>
        </is>
      </c>
      <c r="R272" t="inlineStr">
        <is>
          <t xml:space="preserve">QH </t>
        </is>
      </c>
      <c r="S272" t="n">
        <v>3</v>
      </c>
      <c r="T272" t="n">
        <v>3</v>
      </c>
      <c r="U272" t="inlineStr">
        <is>
          <t>1995-09-19</t>
        </is>
      </c>
      <c r="V272" t="inlineStr">
        <is>
          <t>1995-09-19</t>
        </is>
      </c>
      <c r="W272" t="inlineStr">
        <is>
          <t>1992-12-18</t>
        </is>
      </c>
      <c r="X272" t="inlineStr">
        <is>
          <t>1992-12-18</t>
        </is>
      </c>
      <c r="Y272" t="n">
        <v>126</v>
      </c>
      <c r="Z272" t="n">
        <v>110</v>
      </c>
      <c r="AA272" t="n">
        <v>156</v>
      </c>
      <c r="AB272" t="n">
        <v>1</v>
      </c>
      <c r="AC272" t="n">
        <v>2</v>
      </c>
      <c r="AD272" t="n">
        <v>3</v>
      </c>
      <c r="AE272" t="n">
        <v>6</v>
      </c>
      <c r="AF272" t="n">
        <v>0</v>
      </c>
      <c r="AG272" t="n">
        <v>0</v>
      </c>
      <c r="AH272" t="n">
        <v>1</v>
      </c>
      <c r="AI272" t="n">
        <v>3</v>
      </c>
      <c r="AJ272" t="n">
        <v>3</v>
      </c>
      <c r="AK272" t="n">
        <v>4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HYPERLINK("http://catalog.hathitrust.org/Record/009492815","HathiTrust Record")</f>
        <v/>
      </c>
      <c r="AS272">
        <f>HYPERLINK("https://creighton-primo.hosted.exlibrisgroup.com/primo-explore/search?tab=default_tab&amp;search_scope=EVERYTHING&amp;vid=01CRU&amp;lang=en_US&amp;offset=0&amp;query=any,contains,991003033959702656","Catalog Record")</f>
        <v/>
      </c>
      <c r="AT272">
        <f>HYPERLINK("http://www.worldcat.org/oclc/596680","WorldCat Record")</f>
        <v/>
      </c>
      <c r="AU272" t="inlineStr">
        <is>
          <t>1810604:eng</t>
        </is>
      </c>
      <c r="AV272" t="inlineStr">
        <is>
          <t>596680</t>
        </is>
      </c>
      <c r="AW272" t="inlineStr">
        <is>
          <t>991003033959702656</t>
        </is>
      </c>
      <c r="AX272" t="inlineStr">
        <is>
          <t>991003033959702656</t>
        </is>
      </c>
      <c r="AY272" t="inlineStr">
        <is>
          <t>2270924280002656</t>
        </is>
      </c>
      <c r="AZ272" t="inlineStr">
        <is>
          <t>BOOK</t>
        </is>
      </c>
      <c r="BC272" t="inlineStr">
        <is>
          <t>32285001443844</t>
        </is>
      </c>
      <c r="BD272" t="inlineStr">
        <is>
          <t>893692323</t>
        </is>
      </c>
    </row>
    <row r="273">
      <c r="A273" t="inlineStr">
        <is>
          <t>No</t>
        </is>
      </c>
      <c r="B273" t="inlineStr">
        <is>
          <t>QH323.5 .B33 1995</t>
        </is>
      </c>
      <c r="C273" t="inlineStr">
        <is>
          <t>0                      QH 0323500B  33          1995</t>
        </is>
      </c>
      <c r="D273" t="inlineStr">
        <is>
          <t>Statistical methods in biology / Norman T.J. Bailey.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0</t>
        </is>
      </c>
      <c r="K273" t="inlineStr">
        <is>
          <t>Bailey, Norman T. J.</t>
        </is>
      </c>
      <c r="L273" t="inlineStr">
        <is>
          <t>Cambridge [England] ; New York : Cambridge University Press, 1995.</t>
        </is>
      </c>
      <c r="M273" t="inlineStr">
        <is>
          <t>1995</t>
        </is>
      </c>
      <c r="N273" t="inlineStr">
        <is>
          <t>3rd ed.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QH </t>
        </is>
      </c>
      <c r="S273" t="n">
        <v>10</v>
      </c>
      <c r="T273" t="n">
        <v>10</v>
      </c>
      <c r="U273" t="inlineStr">
        <is>
          <t>2002-03-28</t>
        </is>
      </c>
      <c r="V273" t="inlineStr">
        <is>
          <t>2002-03-28</t>
        </is>
      </c>
      <c r="W273" t="inlineStr">
        <is>
          <t>1996-06-26</t>
        </is>
      </c>
      <c r="X273" t="inlineStr">
        <is>
          <t>1996-06-26</t>
        </is>
      </c>
      <c r="Y273" t="n">
        <v>617</v>
      </c>
      <c r="Z273" t="n">
        <v>417</v>
      </c>
      <c r="AA273" t="n">
        <v>901</v>
      </c>
      <c r="AB273" t="n">
        <v>4</v>
      </c>
      <c r="AC273" t="n">
        <v>7</v>
      </c>
      <c r="AD273" t="n">
        <v>20</v>
      </c>
      <c r="AE273" t="n">
        <v>38</v>
      </c>
      <c r="AF273" t="n">
        <v>6</v>
      </c>
      <c r="AG273" t="n">
        <v>13</v>
      </c>
      <c r="AH273" t="n">
        <v>5</v>
      </c>
      <c r="AI273" t="n">
        <v>10</v>
      </c>
      <c r="AJ273" t="n">
        <v>12</v>
      </c>
      <c r="AK273" t="n">
        <v>18</v>
      </c>
      <c r="AL273" t="n">
        <v>3</v>
      </c>
      <c r="AM273" t="n">
        <v>6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HYPERLINK("https://creighton-primo.hosted.exlibrisgroup.com/primo-explore/search?tab=default_tab&amp;search_scope=EVERYTHING&amp;vid=01CRU&amp;lang=en_US&amp;offset=0&amp;query=any,contains,991002306209702656","Catalog Record")</f>
        <v/>
      </c>
      <c r="AT273">
        <f>HYPERLINK("http://www.worldcat.org/oclc/29910350","WorldCat Record")</f>
        <v/>
      </c>
      <c r="AU273" t="inlineStr">
        <is>
          <t>487985:eng</t>
        </is>
      </c>
      <c r="AV273" t="inlineStr">
        <is>
          <t>29910350</t>
        </is>
      </c>
      <c r="AW273" t="inlineStr">
        <is>
          <t>991002306209702656</t>
        </is>
      </c>
      <c r="AX273" t="inlineStr">
        <is>
          <t>991002306209702656</t>
        </is>
      </c>
      <c r="AY273" t="inlineStr">
        <is>
          <t>2272090730002656</t>
        </is>
      </c>
      <c r="AZ273" t="inlineStr">
        <is>
          <t>BOOK</t>
        </is>
      </c>
      <c r="BB273" t="inlineStr">
        <is>
          <t>9780521469838</t>
        </is>
      </c>
      <c r="BC273" t="inlineStr">
        <is>
          <t>32285002173820</t>
        </is>
      </c>
      <c r="BD273" t="inlineStr">
        <is>
          <t>893257119</t>
        </is>
      </c>
    </row>
    <row r="274">
      <c r="A274" t="inlineStr">
        <is>
          <t>No</t>
        </is>
      </c>
      <c r="B274" t="inlineStr">
        <is>
          <t>QH323.5 .C35 1989</t>
        </is>
      </c>
      <c r="C274" t="inlineStr">
        <is>
          <t>0                      QH 0323500C  35          1989</t>
        </is>
      </c>
      <c r="D274" t="inlineStr">
        <is>
          <t>Statistics for biologists / R.C. Campbell.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Campbell, R. C. (Richard Colin)</t>
        </is>
      </c>
      <c r="L274" t="inlineStr">
        <is>
          <t>Cambridge [Cambridgeshire] ; New York : Cambridge University Press, 1989.</t>
        </is>
      </c>
      <c r="M274" t="inlineStr">
        <is>
          <t>1989</t>
        </is>
      </c>
      <c r="N274" t="inlineStr">
        <is>
          <t>3rd ed.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QH </t>
        </is>
      </c>
      <c r="S274" t="n">
        <v>13</v>
      </c>
      <c r="T274" t="n">
        <v>13</v>
      </c>
      <c r="U274" t="inlineStr">
        <is>
          <t>2005-03-25</t>
        </is>
      </c>
      <c r="V274" t="inlineStr">
        <is>
          <t>2005-03-25</t>
        </is>
      </c>
      <c r="W274" t="inlineStr">
        <is>
          <t>1989-10-19</t>
        </is>
      </c>
      <c r="X274" t="inlineStr">
        <is>
          <t>1989-10-19</t>
        </is>
      </c>
      <c r="Y274" t="n">
        <v>590</v>
      </c>
      <c r="Z274" t="n">
        <v>408</v>
      </c>
      <c r="AA274" t="n">
        <v>746</v>
      </c>
      <c r="AB274" t="n">
        <v>5</v>
      </c>
      <c r="AC274" t="n">
        <v>6</v>
      </c>
      <c r="AD274" t="n">
        <v>13</v>
      </c>
      <c r="AE274" t="n">
        <v>26</v>
      </c>
      <c r="AF274" t="n">
        <v>2</v>
      </c>
      <c r="AG274" t="n">
        <v>7</v>
      </c>
      <c r="AH274" t="n">
        <v>4</v>
      </c>
      <c r="AI274" t="n">
        <v>5</v>
      </c>
      <c r="AJ274" t="n">
        <v>6</v>
      </c>
      <c r="AK274" t="n">
        <v>14</v>
      </c>
      <c r="AL274" t="n">
        <v>3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HYPERLINK("https://creighton-primo.hosted.exlibrisgroup.com/primo-explore/search?tab=default_tab&amp;search_scope=EVERYTHING&amp;vid=01CRU&amp;lang=en_US&amp;offset=0&amp;query=any,contains,991001255289702656","Catalog Record")</f>
        <v/>
      </c>
      <c r="AT274">
        <f>HYPERLINK("http://www.worldcat.org/oclc/17731035","WorldCat Record")</f>
        <v/>
      </c>
      <c r="AU274" t="inlineStr">
        <is>
          <t>1598052:eng</t>
        </is>
      </c>
      <c r="AV274" t="inlineStr">
        <is>
          <t>17731035</t>
        </is>
      </c>
      <c r="AW274" t="inlineStr">
        <is>
          <t>991001255289702656</t>
        </is>
      </c>
      <c r="AX274" t="inlineStr">
        <is>
          <t>991001255289702656</t>
        </is>
      </c>
      <c r="AY274" t="inlineStr">
        <is>
          <t>2272343320002656</t>
        </is>
      </c>
      <c r="AZ274" t="inlineStr">
        <is>
          <t>BOOK</t>
        </is>
      </c>
      <c r="BB274" t="inlineStr">
        <is>
          <t>9780521369329</t>
        </is>
      </c>
      <c r="BC274" t="inlineStr">
        <is>
          <t>32285000002211</t>
        </is>
      </c>
      <c r="BD274" t="inlineStr">
        <is>
          <t>893772450</t>
        </is>
      </c>
    </row>
    <row r="275">
      <c r="A275" t="inlineStr">
        <is>
          <t>No</t>
        </is>
      </c>
      <c r="B275" t="inlineStr">
        <is>
          <t>QH323.5 .C64</t>
        </is>
      </c>
      <c r="C275" t="inlineStr">
        <is>
          <t>0                      QH 0323500C  64</t>
        </is>
      </c>
      <c r="D275" t="inlineStr">
        <is>
          <t>Lectures on biostatistics : an introduction to statistics with applications in biology and medicine / [by] D. Colquhoun.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Colquhoun, D.</t>
        </is>
      </c>
      <c r="L275" t="inlineStr">
        <is>
          <t>Oxford : Clarendon Press, 1971.</t>
        </is>
      </c>
      <c r="M275" t="inlineStr">
        <is>
          <t>1971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QH </t>
        </is>
      </c>
      <c r="S275" t="n">
        <v>4</v>
      </c>
      <c r="T275" t="n">
        <v>4</v>
      </c>
      <c r="U275" t="inlineStr">
        <is>
          <t>2008-09-24</t>
        </is>
      </c>
      <c r="V275" t="inlineStr">
        <is>
          <t>2008-09-24</t>
        </is>
      </c>
      <c r="W275" t="inlineStr">
        <is>
          <t>1992-12-18</t>
        </is>
      </c>
      <c r="X275" t="inlineStr">
        <is>
          <t>1992-12-18</t>
        </is>
      </c>
      <c r="Y275" t="n">
        <v>417</v>
      </c>
      <c r="Z275" t="n">
        <v>264</v>
      </c>
      <c r="AA275" t="n">
        <v>265</v>
      </c>
      <c r="AB275" t="n">
        <v>3</v>
      </c>
      <c r="AC275" t="n">
        <v>3</v>
      </c>
      <c r="AD275" t="n">
        <v>5</v>
      </c>
      <c r="AE275" t="n">
        <v>5</v>
      </c>
      <c r="AF275" t="n">
        <v>1</v>
      </c>
      <c r="AG275" t="n">
        <v>1</v>
      </c>
      <c r="AH275" t="n">
        <v>1</v>
      </c>
      <c r="AI275" t="n">
        <v>1</v>
      </c>
      <c r="AJ275" t="n">
        <v>2</v>
      </c>
      <c r="AK275" t="n">
        <v>2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HYPERLINK("http://catalog.hathitrust.org/Record/001491265","HathiTrust Record")</f>
        <v/>
      </c>
      <c r="AS275">
        <f>HYPERLINK("https://creighton-primo.hosted.exlibrisgroup.com/primo-explore/search?tab=default_tab&amp;search_scope=EVERYTHING&amp;vid=01CRU&amp;lang=en_US&amp;offset=0&amp;query=any,contains,991001905459702656","Catalog Record")</f>
        <v/>
      </c>
      <c r="AT275">
        <f>HYPERLINK("http://www.worldcat.org/oclc/240289","WorldCat Record")</f>
        <v/>
      </c>
      <c r="AU275" t="inlineStr">
        <is>
          <t>234182366:eng</t>
        </is>
      </c>
      <c r="AV275" t="inlineStr">
        <is>
          <t>240289</t>
        </is>
      </c>
      <c r="AW275" t="inlineStr">
        <is>
          <t>991001905459702656</t>
        </is>
      </c>
      <c r="AX275" t="inlineStr">
        <is>
          <t>991001905459702656</t>
        </is>
      </c>
      <c r="AY275" t="inlineStr">
        <is>
          <t>2272234910002656</t>
        </is>
      </c>
      <c r="AZ275" t="inlineStr">
        <is>
          <t>BOOK</t>
        </is>
      </c>
      <c r="BB275" t="inlineStr">
        <is>
          <t>9780198541189</t>
        </is>
      </c>
      <c r="BC275" t="inlineStr">
        <is>
          <t>32285001444602</t>
        </is>
      </c>
      <c r="BD275" t="inlineStr">
        <is>
          <t>893439533</t>
        </is>
      </c>
    </row>
    <row r="276">
      <c r="A276" t="inlineStr">
        <is>
          <t>No</t>
        </is>
      </c>
      <c r="B276" t="inlineStr">
        <is>
          <t>QH323.5 .D35 1987</t>
        </is>
      </c>
      <c r="C276" t="inlineStr">
        <is>
          <t>0                      QH 0323500D  35          1987</t>
        </is>
      </c>
      <c r="D276" t="inlineStr">
        <is>
          <t>Experimental design, ANOVA, and regression / Richard A. Damon, Jr., Walter R. Harvey.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Damon, Richard A.</t>
        </is>
      </c>
      <c r="L276" t="inlineStr">
        <is>
          <t>New York : Harper &amp; Row,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QH </t>
        </is>
      </c>
      <c r="S276" t="n">
        <v>9</v>
      </c>
      <c r="T276" t="n">
        <v>9</v>
      </c>
      <c r="U276" t="inlineStr">
        <is>
          <t>2006-10-09</t>
        </is>
      </c>
      <c r="V276" t="inlineStr">
        <is>
          <t>2006-10-09</t>
        </is>
      </c>
      <c r="W276" t="inlineStr">
        <is>
          <t>1991-12-06</t>
        </is>
      </c>
      <c r="X276" t="inlineStr">
        <is>
          <t>1991-12-06</t>
        </is>
      </c>
      <c r="Y276" t="n">
        <v>137</v>
      </c>
      <c r="Z276" t="n">
        <v>101</v>
      </c>
      <c r="AA276" t="n">
        <v>102</v>
      </c>
      <c r="AB276" t="n">
        <v>1</v>
      </c>
      <c r="AC276" t="n">
        <v>1</v>
      </c>
      <c r="AD276" t="n">
        <v>2</v>
      </c>
      <c r="AE276" t="n">
        <v>2</v>
      </c>
      <c r="AF276" t="n">
        <v>0</v>
      </c>
      <c r="AG276" t="n">
        <v>0</v>
      </c>
      <c r="AH276" t="n">
        <v>1</v>
      </c>
      <c r="AI276" t="n">
        <v>1</v>
      </c>
      <c r="AJ276" t="n">
        <v>2</v>
      </c>
      <c r="AK276" t="n">
        <v>2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HYPERLINK("https://creighton-primo.hosted.exlibrisgroup.com/primo-explore/search?tab=default_tab&amp;search_scope=EVERYTHING&amp;vid=01CRU&amp;lang=en_US&amp;offset=0&amp;query=any,contains,991000850089702656","Catalog Record")</f>
        <v/>
      </c>
      <c r="AT276">
        <f>HYPERLINK("http://www.worldcat.org/oclc/13581866","WorldCat Record")</f>
        <v/>
      </c>
      <c r="AU276" t="inlineStr">
        <is>
          <t>7524221:eng</t>
        </is>
      </c>
      <c r="AV276" t="inlineStr">
        <is>
          <t>13581866</t>
        </is>
      </c>
      <c r="AW276" t="inlineStr">
        <is>
          <t>991000850089702656</t>
        </is>
      </c>
      <c r="AX276" t="inlineStr">
        <is>
          <t>991000850089702656</t>
        </is>
      </c>
      <c r="AY276" t="inlineStr">
        <is>
          <t>2259511210002656</t>
        </is>
      </c>
      <c r="AZ276" t="inlineStr">
        <is>
          <t>BOOK</t>
        </is>
      </c>
      <c r="BB276" t="inlineStr">
        <is>
          <t>9780060414795</t>
        </is>
      </c>
      <c r="BC276" t="inlineStr">
        <is>
          <t>32285000654938</t>
        </is>
      </c>
      <c r="BD276" t="inlineStr">
        <is>
          <t>893790914</t>
        </is>
      </c>
    </row>
    <row r="277">
      <c r="A277" t="inlineStr">
        <is>
          <t>No</t>
        </is>
      </c>
      <c r="B277" t="inlineStr">
        <is>
          <t>QH323.5 .D6 1983</t>
        </is>
      </c>
      <c r="C277" t="inlineStr">
        <is>
          <t>0                      QH 0323500D  6           1983</t>
        </is>
      </c>
      <c r="D277" t="inlineStr">
        <is>
          <t>Statistical analysis of spatial point patterns / Peter J. Diggle.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Diggle, Peter.</t>
        </is>
      </c>
      <c r="L277" t="inlineStr">
        <is>
          <t>London ; New York : Academic Press, 1983.</t>
        </is>
      </c>
      <c r="M277" t="inlineStr">
        <is>
          <t>1983</t>
        </is>
      </c>
      <c r="O277" t="inlineStr">
        <is>
          <t>eng</t>
        </is>
      </c>
      <c r="P277" t="inlineStr">
        <is>
          <t>enk</t>
        </is>
      </c>
      <c r="Q277" t="inlineStr">
        <is>
          <t>Mathematics in biology</t>
        </is>
      </c>
      <c r="R277" t="inlineStr">
        <is>
          <t xml:space="preserve">QH </t>
        </is>
      </c>
      <c r="S277" t="n">
        <v>0</v>
      </c>
      <c r="T277" t="n">
        <v>0</v>
      </c>
      <c r="U277" t="inlineStr">
        <is>
          <t>2001-05-25</t>
        </is>
      </c>
      <c r="V277" t="inlineStr">
        <is>
          <t>2001-05-25</t>
        </is>
      </c>
      <c r="W277" t="inlineStr">
        <is>
          <t>1993-03-22</t>
        </is>
      </c>
      <c r="X277" t="inlineStr">
        <is>
          <t>1993-03-22</t>
        </is>
      </c>
      <c r="Y277" t="n">
        <v>383</v>
      </c>
      <c r="Z277" t="n">
        <v>225</v>
      </c>
      <c r="AA277" t="n">
        <v>277</v>
      </c>
      <c r="AB277" t="n">
        <v>1</v>
      </c>
      <c r="AC277" t="n">
        <v>2</v>
      </c>
      <c r="AD277" t="n">
        <v>3</v>
      </c>
      <c r="AE277" t="n">
        <v>5</v>
      </c>
      <c r="AF277" t="n">
        <v>0</v>
      </c>
      <c r="AG277" t="n">
        <v>1</v>
      </c>
      <c r="AH277" t="n">
        <v>3</v>
      </c>
      <c r="AI277" t="n">
        <v>3</v>
      </c>
      <c r="AJ277" t="n">
        <v>2</v>
      </c>
      <c r="AK277" t="n">
        <v>2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HYPERLINK("http://catalog.hathitrust.org/Record/000600275","HathiTrust Record")</f>
        <v/>
      </c>
      <c r="AS277">
        <f>HYPERLINK("https://creighton-primo.hosted.exlibrisgroup.com/primo-explore/search?tab=default_tab&amp;search_scope=EVERYTHING&amp;vid=01CRU&amp;lang=en_US&amp;offset=0&amp;query=any,contains,991000369499702656","Catalog Record")</f>
        <v/>
      </c>
      <c r="AT277">
        <f>HYPERLINK("http://www.worldcat.org/oclc/10426181","WorldCat Record")</f>
        <v/>
      </c>
      <c r="AU277" t="inlineStr">
        <is>
          <t>3244207:eng</t>
        </is>
      </c>
      <c r="AV277" t="inlineStr">
        <is>
          <t>10426181</t>
        </is>
      </c>
      <c r="AW277" t="inlineStr">
        <is>
          <t>991000369499702656</t>
        </is>
      </c>
      <c r="AX277" t="inlineStr">
        <is>
          <t>991000369499702656</t>
        </is>
      </c>
      <c r="AY277" t="inlineStr">
        <is>
          <t>2267575260002656</t>
        </is>
      </c>
      <c r="AZ277" t="inlineStr">
        <is>
          <t>BOOK</t>
        </is>
      </c>
      <c r="BB277" t="inlineStr">
        <is>
          <t>9780122158506</t>
        </is>
      </c>
      <c r="BC277" t="inlineStr">
        <is>
          <t>32285001552677</t>
        </is>
      </c>
      <c r="BD277" t="inlineStr">
        <is>
          <t>893237255</t>
        </is>
      </c>
    </row>
    <row r="278">
      <c r="A278" t="inlineStr">
        <is>
          <t>No</t>
        </is>
      </c>
      <c r="B278" t="inlineStr">
        <is>
          <t>QH323.5 .F55 1964</t>
        </is>
      </c>
      <c r="C278" t="inlineStr">
        <is>
          <t>0                      QH 0323500F  55          1964</t>
        </is>
      </c>
      <c r="D278" t="inlineStr">
        <is>
          <t>Statistical method in biological assay / [by] D.J. Finney.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Finney, D. J. (David John)</t>
        </is>
      </c>
      <c r="L278" t="inlineStr">
        <is>
          <t>London : C. Griffin, [1964]</t>
        </is>
      </c>
      <c r="M278" t="inlineStr">
        <is>
          <t>1964</t>
        </is>
      </c>
      <c r="N278" t="inlineStr">
        <is>
          <t>2d ed.</t>
        </is>
      </c>
      <c r="O278" t="inlineStr">
        <is>
          <t>eng</t>
        </is>
      </c>
      <c r="P278" t="inlineStr">
        <is>
          <t>enk</t>
        </is>
      </c>
      <c r="R278" t="inlineStr">
        <is>
          <t xml:space="preserve">QH </t>
        </is>
      </c>
      <c r="S278" t="n">
        <v>2</v>
      </c>
      <c r="T278" t="n">
        <v>2</v>
      </c>
      <c r="U278" t="inlineStr">
        <is>
          <t>1994-02-05</t>
        </is>
      </c>
      <c r="V278" t="inlineStr">
        <is>
          <t>1994-02-05</t>
        </is>
      </c>
      <c r="W278" t="inlineStr">
        <is>
          <t>1992-12-22</t>
        </is>
      </c>
      <c r="X278" t="inlineStr">
        <is>
          <t>1992-12-22</t>
        </is>
      </c>
      <c r="Y278" t="n">
        <v>164</v>
      </c>
      <c r="Z278" t="n">
        <v>75</v>
      </c>
      <c r="AA278" t="n">
        <v>454</v>
      </c>
      <c r="AB278" t="n">
        <v>2</v>
      </c>
      <c r="AC278" t="n">
        <v>3</v>
      </c>
      <c r="AD278" t="n">
        <v>2</v>
      </c>
      <c r="AE278" t="n">
        <v>11</v>
      </c>
      <c r="AF278" t="n">
        <v>0</v>
      </c>
      <c r="AG278" t="n">
        <v>1</v>
      </c>
      <c r="AH278" t="n">
        <v>0</v>
      </c>
      <c r="AI278" t="n">
        <v>3</v>
      </c>
      <c r="AJ278" t="n">
        <v>1</v>
      </c>
      <c r="AK278" t="n">
        <v>7</v>
      </c>
      <c r="AL278" t="n">
        <v>1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HYPERLINK("http://catalog.hathitrust.org/Record/009373743","HathiTrust Record")</f>
        <v/>
      </c>
      <c r="AS278">
        <f>HYPERLINK("https://creighton-primo.hosted.exlibrisgroup.com/primo-explore/search?tab=default_tab&amp;search_scope=EVERYTHING&amp;vid=01CRU&amp;lang=en_US&amp;offset=0&amp;query=any,contains,991002716879702656","Catalog Record")</f>
        <v/>
      </c>
      <c r="AT278">
        <f>HYPERLINK("http://www.worldcat.org/oclc/411514","WorldCat Record")</f>
        <v/>
      </c>
      <c r="AU278" t="inlineStr">
        <is>
          <t>1458384:eng</t>
        </is>
      </c>
      <c r="AV278" t="inlineStr">
        <is>
          <t>411514</t>
        </is>
      </c>
      <c r="AW278" t="inlineStr">
        <is>
          <t>991002716879702656</t>
        </is>
      </c>
      <c r="AX278" t="inlineStr">
        <is>
          <t>991002716879702656</t>
        </is>
      </c>
      <c r="AY278" t="inlineStr">
        <is>
          <t>2264943400002656</t>
        </is>
      </c>
      <c r="AZ278" t="inlineStr">
        <is>
          <t>BOOK</t>
        </is>
      </c>
      <c r="BC278" t="inlineStr">
        <is>
          <t>32285001470227</t>
        </is>
      </c>
      <c r="BD278" t="inlineStr">
        <is>
          <t>893323284</t>
        </is>
      </c>
    </row>
    <row r="279">
      <c r="A279" t="inlineStr">
        <is>
          <t>No</t>
        </is>
      </c>
      <c r="B279" t="inlineStr">
        <is>
          <t>QH323.5 .G54 1989</t>
        </is>
      </c>
      <c r="C279" t="inlineStr">
        <is>
          <t>0                      QH 0323500G  54          1989</t>
        </is>
      </c>
      <c r="D279" t="inlineStr">
        <is>
          <t>Biometrical interpretation : making sense of statistics in biology / Neil Gilbert.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Gilbert, Neil.</t>
        </is>
      </c>
      <c r="L279" t="inlineStr">
        <is>
          <t>Oxford ; New York : Oxford University Press, 1989.</t>
        </is>
      </c>
      <c r="M279" t="inlineStr">
        <is>
          <t>1989</t>
        </is>
      </c>
      <c r="N279" t="inlineStr">
        <is>
          <t>2nd ed.</t>
        </is>
      </c>
      <c r="O279" t="inlineStr">
        <is>
          <t>eng</t>
        </is>
      </c>
      <c r="P279" t="inlineStr">
        <is>
          <t>enk</t>
        </is>
      </c>
      <c r="Q279" t="inlineStr">
        <is>
          <t>Oxford science publications</t>
        </is>
      </c>
      <c r="R279" t="inlineStr">
        <is>
          <t xml:space="preserve">QH </t>
        </is>
      </c>
      <c r="S279" t="n">
        <v>8</v>
      </c>
      <c r="T279" t="n">
        <v>8</v>
      </c>
      <c r="U279" t="inlineStr">
        <is>
          <t>2010-10-07</t>
        </is>
      </c>
      <c r="V279" t="inlineStr">
        <is>
          <t>2010-10-07</t>
        </is>
      </c>
      <c r="W279" t="inlineStr">
        <is>
          <t>1990-05-03</t>
        </is>
      </c>
      <c r="X279" t="inlineStr">
        <is>
          <t>1990-05-03</t>
        </is>
      </c>
      <c r="Y279" t="n">
        <v>296</v>
      </c>
      <c r="Z279" t="n">
        <v>192</v>
      </c>
      <c r="AA279" t="n">
        <v>312</v>
      </c>
      <c r="AB279" t="n">
        <v>2</v>
      </c>
      <c r="AC279" t="n">
        <v>3</v>
      </c>
      <c r="AD279" t="n">
        <v>5</v>
      </c>
      <c r="AE279" t="n">
        <v>8</v>
      </c>
      <c r="AF279" t="n">
        <v>0</v>
      </c>
      <c r="AG279" t="n">
        <v>0</v>
      </c>
      <c r="AH279" t="n">
        <v>2</v>
      </c>
      <c r="AI279" t="n">
        <v>2</v>
      </c>
      <c r="AJ279" t="n">
        <v>3</v>
      </c>
      <c r="AK279" t="n">
        <v>5</v>
      </c>
      <c r="AL279" t="n">
        <v>1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HYPERLINK("http://catalog.hathitrust.org/Record/001096982","HathiTrust Record")</f>
        <v/>
      </c>
      <c r="AS279">
        <f>HYPERLINK("https://creighton-primo.hosted.exlibrisgroup.com/primo-explore/search?tab=default_tab&amp;search_scope=EVERYTHING&amp;vid=01CRU&amp;lang=en_US&amp;offset=0&amp;query=any,contains,991001345769702656","Catalog Record")</f>
        <v/>
      </c>
      <c r="AT279">
        <f>HYPERLINK("http://www.worldcat.org/oclc/18413716","WorldCat Record")</f>
        <v/>
      </c>
      <c r="AU279" t="inlineStr">
        <is>
          <t>866632353:eng</t>
        </is>
      </c>
      <c r="AV279" t="inlineStr">
        <is>
          <t>18413716</t>
        </is>
      </c>
      <c r="AW279" t="inlineStr">
        <is>
          <t>991001345769702656</t>
        </is>
      </c>
      <c r="AX279" t="inlineStr">
        <is>
          <t>991001345769702656</t>
        </is>
      </c>
      <c r="AY279" t="inlineStr">
        <is>
          <t>2255507370002656</t>
        </is>
      </c>
      <c r="AZ279" t="inlineStr">
        <is>
          <t>BOOK</t>
        </is>
      </c>
      <c r="BB279" t="inlineStr">
        <is>
          <t>9780198542506</t>
        </is>
      </c>
      <c r="BC279" t="inlineStr">
        <is>
          <t>32285000117795</t>
        </is>
      </c>
      <c r="BD279" t="inlineStr">
        <is>
          <t>893872475</t>
        </is>
      </c>
    </row>
    <row r="280">
      <c r="A280" t="inlineStr">
        <is>
          <t>No</t>
        </is>
      </c>
      <c r="B280" t="inlineStr">
        <is>
          <t>QH323.5 .G6</t>
        </is>
      </c>
      <c r="C280" t="inlineStr">
        <is>
          <t>0                      QH 0323500G  6</t>
        </is>
      </c>
      <c r="D280" t="inlineStr">
        <is>
          <t>Stochastic models in biology [by] Narendra S. Goel [and] Nira Richter-Dyn.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Goel, Narendra S., 1941-</t>
        </is>
      </c>
      <c r="L280" t="inlineStr">
        <is>
          <t>New York, Academic Press, 1974.</t>
        </is>
      </c>
      <c r="M280" t="inlineStr">
        <is>
          <t>1974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QH </t>
        </is>
      </c>
      <c r="S280" t="n">
        <v>1</v>
      </c>
      <c r="T280" t="n">
        <v>1</v>
      </c>
      <c r="U280" t="inlineStr">
        <is>
          <t>2000-10-25</t>
        </is>
      </c>
      <c r="V280" t="inlineStr">
        <is>
          <t>2000-10-25</t>
        </is>
      </c>
      <c r="W280" t="inlineStr">
        <is>
          <t>1997-07-01</t>
        </is>
      </c>
      <c r="X280" t="inlineStr">
        <is>
          <t>1997-07-01</t>
        </is>
      </c>
      <c r="Y280" t="n">
        <v>476</v>
      </c>
      <c r="Z280" t="n">
        <v>306</v>
      </c>
      <c r="AA280" t="n">
        <v>358</v>
      </c>
      <c r="AB280" t="n">
        <v>5</v>
      </c>
      <c r="AC280" t="n">
        <v>5</v>
      </c>
      <c r="AD280" t="n">
        <v>10</v>
      </c>
      <c r="AE280" t="n">
        <v>13</v>
      </c>
      <c r="AF280" t="n">
        <v>2</v>
      </c>
      <c r="AG280" t="n">
        <v>4</v>
      </c>
      <c r="AH280" t="n">
        <v>2</v>
      </c>
      <c r="AI280" t="n">
        <v>4</v>
      </c>
      <c r="AJ280" t="n">
        <v>5</v>
      </c>
      <c r="AK280" t="n">
        <v>5</v>
      </c>
      <c r="AL280" t="n">
        <v>4</v>
      </c>
      <c r="AM280" t="n">
        <v>4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HYPERLINK("http://catalog.hathitrust.org/Record/001491267","HathiTrust Record")</f>
        <v/>
      </c>
      <c r="AS280">
        <f>HYPERLINK("https://creighton-primo.hosted.exlibrisgroup.com/primo-explore/search?tab=default_tab&amp;search_scope=EVERYTHING&amp;vid=01CRU&amp;lang=en_US&amp;offset=0&amp;query=any,contains,991003316559702656","Catalog Record")</f>
        <v/>
      </c>
      <c r="AT280">
        <f>HYPERLINK("http://www.worldcat.org/oclc/841338","WorldCat Record")</f>
        <v/>
      </c>
      <c r="AU280" t="inlineStr">
        <is>
          <t>1784177:eng</t>
        </is>
      </c>
      <c r="AV280" t="inlineStr">
        <is>
          <t>841338</t>
        </is>
      </c>
      <c r="AW280" t="inlineStr">
        <is>
          <t>991003316559702656</t>
        </is>
      </c>
      <c r="AX280" t="inlineStr">
        <is>
          <t>991003316559702656</t>
        </is>
      </c>
      <c r="AY280" t="inlineStr">
        <is>
          <t>2265073500002656</t>
        </is>
      </c>
      <c r="AZ280" t="inlineStr">
        <is>
          <t>BOOK</t>
        </is>
      </c>
      <c r="BB280" t="inlineStr">
        <is>
          <t>9780122874604</t>
        </is>
      </c>
      <c r="BC280" t="inlineStr">
        <is>
          <t>32285002867934</t>
        </is>
      </c>
      <c r="BD280" t="inlineStr">
        <is>
          <t>893252253</t>
        </is>
      </c>
    </row>
    <row r="281">
      <c r="A281" t="inlineStr">
        <is>
          <t>No</t>
        </is>
      </c>
      <c r="B281" t="inlineStr">
        <is>
          <t>QH323.5 .G64</t>
        </is>
      </c>
      <c r="C281" t="inlineStr">
        <is>
          <t>0                      QH 0323500G  64</t>
        </is>
      </c>
      <c r="D281" t="inlineStr">
        <is>
          <t>Mathematical modeling of biological systems : an introductory guidebook / Harvey J. Gold.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Gold, Harvey J., 1932-</t>
        </is>
      </c>
      <c r="L281" t="inlineStr">
        <is>
          <t>New York : Wiley, c1977.</t>
        </is>
      </c>
      <c r="M281" t="inlineStr">
        <is>
          <t>1977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QH </t>
        </is>
      </c>
      <c r="S281" t="n">
        <v>3</v>
      </c>
      <c r="T281" t="n">
        <v>3</v>
      </c>
      <c r="U281" t="inlineStr">
        <is>
          <t>2010-10-07</t>
        </is>
      </c>
      <c r="V281" t="inlineStr">
        <is>
          <t>2010-10-07</t>
        </is>
      </c>
      <c r="W281" t="inlineStr">
        <is>
          <t>1993-03-22</t>
        </is>
      </c>
      <c r="X281" t="inlineStr">
        <is>
          <t>1993-03-22</t>
        </is>
      </c>
      <c r="Y281" t="n">
        <v>675</v>
      </c>
      <c r="Z281" t="n">
        <v>508</v>
      </c>
      <c r="AA281" t="n">
        <v>510</v>
      </c>
      <c r="AB281" t="n">
        <v>5</v>
      </c>
      <c r="AC281" t="n">
        <v>5</v>
      </c>
      <c r="AD281" t="n">
        <v>16</v>
      </c>
      <c r="AE281" t="n">
        <v>16</v>
      </c>
      <c r="AF281" t="n">
        <v>4</v>
      </c>
      <c r="AG281" t="n">
        <v>4</v>
      </c>
      <c r="AH281" t="n">
        <v>5</v>
      </c>
      <c r="AI281" t="n">
        <v>5</v>
      </c>
      <c r="AJ281" t="n">
        <v>7</v>
      </c>
      <c r="AK281" t="n">
        <v>7</v>
      </c>
      <c r="AL281" t="n">
        <v>4</v>
      </c>
      <c r="AM281" t="n">
        <v>4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HYPERLINK("http://catalog.hathitrust.org/Record/000250352","HathiTrust Record")</f>
        <v/>
      </c>
      <c r="AS281">
        <f>HYPERLINK("https://creighton-primo.hosted.exlibrisgroup.com/primo-explore/search?tab=default_tab&amp;search_scope=EVERYTHING&amp;vid=01CRU&amp;lang=en_US&amp;offset=0&amp;query=any,contains,991004306589702656","Catalog Record")</f>
        <v/>
      </c>
      <c r="AT281">
        <f>HYPERLINK("http://www.worldcat.org/oclc/2984132","WorldCat Record")</f>
        <v/>
      </c>
      <c r="AU281" t="inlineStr">
        <is>
          <t>891887620:eng</t>
        </is>
      </c>
      <c r="AV281" t="inlineStr">
        <is>
          <t>2984132</t>
        </is>
      </c>
      <c r="AW281" t="inlineStr">
        <is>
          <t>991004306589702656</t>
        </is>
      </c>
      <c r="AX281" t="inlineStr">
        <is>
          <t>991004306589702656</t>
        </is>
      </c>
      <c r="AY281" t="inlineStr">
        <is>
          <t>2258440220002656</t>
        </is>
      </c>
      <c r="AZ281" t="inlineStr">
        <is>
          <t>BOOK</t>
        </is>
      </c>
      <c r="BB281" t="inlineStr">
        <is>
          <t>9780471020929</t>
        </is>
      </c>
      <c r="BC281" t="inlineStr">
        <is>
          <t>32285001552685</t>
        </is>
      </c>
      <c r="BD281" t="inlineStr">
        <is>
          <t>893259571</t>
        </is>
      </c>
    </row>
    <row r="282">
      <c r="A282" t="inlineStr">
        <is>
          <t>No</t>
        </is>
      </c>
      <c r="B282" t="inlineStr">
        <is>
          <t>QH323.5 .G68 1988</t>
        </is>
      </c>
      <c r="C282" t="inlineStr">
        <is>
          <t>0                      QH 0323500G  68          1988</t>
        </is>
      </c>
      <c r="D282" t="inlineStr">
        <is>
          <t>Statistical techniques in bioassay / Z. Govindarajulu.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Govindarajulu, Z.</t>
        </is>
      </c>
      <c r="L282" t="inlineStr">
        <is>
          <t>Basel ; New York : Karger, 1988.</t>
        </is>
      </c>
      <c r="M282" t="inlineStr">
        <is>
          <t>1988</t>
        </is>
      </c>
      <c r="O282" t="inlineStr">
        <is>
          <t>eng</t>
        </is>
      </c>
      <c r="P282" t="inlineStr">
        <is>
          <t xml:space="preserve">sz </t>
        </is>
      </c>
      <c r="R282" t="inlineStr">
        <is>
          <t xml:space="preserve">QH </t>
        </is>
      </c>
      <c r="S282" t="n">
        <v>4</v>
      </c>
      <c r="T282" t="n">
        <v>4</v>
      </c>
      <c r="U282" t="inlineStr">
        <is>
          <t>1995-05-26</t>
        </is>
      </c>
      <c r="V282" t="inlineStr">
        <is>
          <t>1995-05-26</t>
        </is>
      </c>
      <c r="W282" t="inlineStr">
        <is>
          <t>1990-04-26</t>
        </is>
      </c>
      <c r="X282" t="inlineStr">
        <is>
          <t>1990-04-26</t>
        </is>
      </c>
      <c r="Y282" t="n">
        <v>227</v>
      </c>
      <c r="Z282" t="n">
        <v>163</v>
      </c>
      <c r="AA282" t="n">
        <v>228</v>
      </c>
      <c r="AB282" t="n">
        <v>2</v>
      </c>
      <c r="AC282" t="n">
        <v>2</v>
      </c>
      <c r="AD282" t="n">
        <v>4</v>
      </c>
      <c r="AE282" t="n">
        <v>4</v>
      </c>
      <c r="AF282" t="n">
        <v>0</v>
      </c>
      <c r="AG282" t="n">
        <v>0</v>
      </c>
      <c r="AH282" t="n">
        <v>2</v>
      </c>
      <c r="AI282" t="n">
        <v>2</v>
      </c>
      <c r="AJ282" t="n">
        <v>2</v>
      </c>
      <c r="AK282" t="n">
        <v>2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HYPERLINK("http://catalog.hathitrust.org/Record/000921243","HathiTrust Record")</f>
        <v/>
      </c>
      <c r="AS282">
        <f>HYPERLINK("https://creighton-primo.hosted.exlibrisgroup.com/primo-explore/search?tab=default_tab&amp;search_scope=EVERYTHING&amp;vid=01CRU&amp;lang=en_US&amp;offset=0&amp;query=any,contains,991001212109702656","Catalog Record")</f>
        <v/>
      </c>
      <c r="AT282">
        <f>HYPERLINK("http://www.worldcat.org/oclc/17386011","WorldCat Record")</f>
        <v/>
      </c>
      <c r="AU282" t="inlineStr">
        <is>
          <t>15982364:eng</t>
        </is>
      </c>
      <c r="AV282" t="inlineStr">
        <is>
          <t>17386011</t>
        </is>
      </c>
      <c r="AW282" t="inlineStr">
        <is>
          <t>991001212109702656</t>
        </is>
      </c>
      <c r="AX282" t="inlineStr">
        <is>
          <t>991001212109702656</t>
        </is>
      </c>
      <c r="AY282" t="inlineStr">
        <is>
          <t>2270530770002656</t>
        </is>
      </c>
      <c r="AZ282" t="inlineStr">
        <is>
          <t>BOOK</t>
        </is>
      </c>
      <c r="BB282" t="inlineStr">
        <is>
          <t>9783805546300</t>
        </is>
      </c>
      <c r="BC282" t="inlineStr">
        <is>
          <t>32285000126358</t>
        </is>
      </c>
      <c r="BD282" t="inlineStr">
        <is>
          <t>893621154</t>
        </is>
      </c>
    </row>
    <row r="283">
      <c r="A283" t="inlineStr">
        <is>
          <t>No</t>
        </is>
      </c>
      <c r="B283" t="inlineStr">
        <is>
          <t>QH323.5 .J3</t>
        </is>
      </c>
      <c r="C283" t="inlineStr">
        <is>
          <t>0                      QH 0323500J  3</t>
        </is>
      </c>
      <c r="D283" t="inlineStr">
        <is>
          <t>Compartmental analysis in biology and medicine. Kinetics of distribution of tracer-labeled materials. By John A. Jacquez.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Jacquez, John A. (John Alfred), 1922-</t>
        </is>
      </c>
      <c r="L283" t="inlineStr">
        <is>
          <t>Amsterdam, New York, Elsevier Pub. Co., 1972.</t>
        </is>
      </c>
      <c r="M283" t="inlineStr">
        <is>
          <t>1972</t>
        </is>
      </c>
      <c r="O283" t="inlineStr">
        <is>
          <t>eng</t>
        </is>
      </c>
      <c r="P283" t="inlineStr">
        <is>
          <t xml:space="preserve">ne </t>
        </is>
      </c>
      <c r="R283" t="inlineStr">
        <is>
          <t xml:space="preserve">QH </t>
        </is>
      </c>
      <c r="S283" t="n">
        <v>1</v>
      </c>
      <c r="T283" t="n">
        <v>1</v>
      </c>
      <c r="U283" t="inlineStr">
        <is>
          <t>2000-10-25</t>
        </is>
      </c>
      <c r="V283" t="inlineStr">
        <is>
          <t>2000-10-25</t>
        </is>
      </c>
      <c r="W283" t="inlineStr">
        <is>
          <t>1997-07-01</t>
        </is>
      </c>
      <c r="X283" t="inlineStr">
        <is>
          <t>1997-07-01</t>
        </is>
      </c>
      <c r="Y283" t="n">
        <v>278</v>
      </c>
      <c r="Z283" t="n">
        <v>176</v>
      </c>
      <c r="AA283" t="n">
        <v>179</v>
      </c>
      <c r="AB283" t="n">
        <v>2</v>
      </c>
      <c r="AC283" t="n">
        <v>2</v>
      </c>
      <c r="AD283" t="n">
        <v>4</v>
      </c>
      <c r="AE283" t="n">
        <v>4</v>
      </c>
      <c r="AF283" t="n">
        <v>2</v>
      </c>
      <c r="AG283" t="n">
        <v>2</v>
      </c>
      <c r="AH283" t="n">
        <v>1</v>
      </c>
      <c r="AI283" t="n">
        <v>1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HYPERLINK("http://catalog.hathitrust.org/Record/001491269","HathiTrust Record")</f>
        <v/>
      </c>
      <c r="AS283">
        <f>HYPERLINK("https://creighton-primo.hosted.exlibrisgroup.com/primo-explore/search?tab=default_tab&amp;search_scope=EVERYTHING&amp;vid=01CRU&amp;lang=en_US&amp;offset=0&amp;query=any,contains,991003036499702656","Catalog Record")</f>
        <v/>
      </c>
      <c r="AT283">
        <f>HYPERLINK("http://www.worldcat.org/oclc/599351","WorldCat Record")</f>
        <v/>
      </c>
      <c r="AU283" t="inlineStr">
        <is>
          <t>5201750:eng</t>
        </is>
      </c>
      <c r="AV283" t="inlineStr">
        <is>
          <t>599351</t>
        </is>
      </c>
      <c r="AW283" t="inlineStr">
        <is>
          <t>991003036499702656</t>
        </is>
      </c>
      <c r="AX283" t="inlineStr">
        <is>
          <t>991003036499702656</t>
        </is>
      </c>
      <c r="AY283" t="inlineStr">
        <is>
          <t>2267378130002656</t>
        </is>
      </c>
      <c r="AZ283" t="inlineStr">
        <is>
          <t>BOOK</t>
        </is>
      </c>
      <c r="BB283" t="inlineStr">
        <is>
          <t>9780444410467</t>
        </is>
      </c>
      <c r="BC283" t="inlineStr">
        <is>
          <t>32285002867967</t>
        </is>
      </c>
      <c r="BD283" t="inlineStr">
        <is>
          <t>893604373</t>
        </is>
      </c>
    </row>
    <row r="284">
      <c r="A284" t="inlineStr">
        <is>
          <t>No</t>
        </is>
      </c>
      <c r="B284" t="inlineStr">
        <is>
          <t>QH323.5 .K45 1992</t>
        </is>
      </c>
      <c r="C284" t="inlineStr">
        <is>
          <t>0                      QH 0323500K  45          1992</t>
        </is>
      </c>
      <c r="D284" t="inlineStr">
        <is>
          <t>Computer simulation in biology : a BASIC introduction / Robert E. Keen, James D. Spain.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Keen, Robert E.</t>
        </is>
      </c>
      <c r="L284" t="inlineStr">
        <is>
          <t>New York : Wiley-Liss, c1992.</t>
        </is>
      </c>
      <c r="M284" t="inlineStr">
        <is>
          <t>1992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QH </t>
        </is>
      </c>
      <c r="S284" t="n">
        <v>1</v>
      </c>
      <c r="T284" t="n">
        <v>1</v>
      </c>
      <c r="U284" t="inlineStr">
        <is>
          <t>1995-10-05</t>
        </is>
      </c>
      <c r="V284" t="inlineStr">
        <is>
          <t>1995-10-05</t>
        </is>
      </c>
      <c r="W284" t="inlineStr">
        <is>
          <t>1992-04-09</t>
        </is>
      </c>
      <c r="X284" t="inlineStr">
        <is>
          <t>1992-04-09</t>
        </is>
      </c>
      <c r="Y284" t="n">
        <v>267</v>
      </c>
      <c r="Z284" t="n">
        <v>185</v>
      </c>
      <c r="AA284" t="n">
        <v>187</v>
      </c>
      <c r="AB284" t="n">
        <v>3</v>
      </c>
      <c r="AC284" t="n">
        <v>3</v>
      </c>
      <c r="AD284" t="n">
        <v>8</v>
      </c>
      <c r="AE284" t="n">
        <v>8</v>
      </c>
      <c r="AF284" t="n">
        <v>2</v>
      </c>
      <c r="AG284" t="n">
        <v>2</v>
      </c>
      <c r="AH284" t="n">
        <v>1</v>
      </c>
      <c r="AI284" t="n">
        <v>1</v>
      </c>
      <c r="AJ284" t="n">
        <v>4</v>
      </c>
      <c r="AK284" t="n">
        <v>4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HYPERLINK("https://creighton-primo.hosted.exlibrisgroup.com/primo-explore/search?tab=default_tab&amp;search_scope=EVERYTHING&amp;vid=01CRU&amp;lang=en_US&amp;offset=0&amp;query=any,contains,991001906409702656","Catalog Record")</f>
        <v/>
      </c>
      <c r="AT284">
        <f>HYPERLINK("http://www.worldcat.org/oclc/24068642","WorldCat Record")</f>
        <v/>
      </c>
      <c r="AU284" t="inlineStr">
        <is>
          <t>807191619:eng</t>
        </is>
      </c>
      <c r="AV284" t="inlineStr">
        <is>
          <t>24068642</t>
        </is>
      </c>
      <c r="AW284" t="inlineStr">
        <is>
          <t>991001906409702656</t>
        </is>
      </c>
      <c r="AX284" t="inlineStr">
        <is>
          <t>991001906409702656</t>
        </is>
      </c>
      <c r="AY284" t="inlineStr">
        <is>
          <t>2261399790002656</t>
        </is>
      </c>
      <c r="AZ284" t="inlineStr">
        <is>
          <t>BOOK</t>
        </is>
      </c>
      <c r="BB284" t="inlineStr">
        <is>
          <t>9780471509714</t>
        </is>
      </c>
      <c r="BC284" t="inlineStr">
        <is>
          <t>32285001009389</t>
        </is>
      </c>
      <c r="BD284" t="inlineStr">
        <is>
          <t>893340810</t>
        </is>
      </c>
    </row>
    <row r="285">
      <c r="A285" t="inlineStr">
        <is>
          <t>No</t>
        </is>
      </c>
      <c r="B285" t="inlineStr">
        <is>
          <t>QH323.5 .M37 1985</t>
        </is>
      </c>
      <c r="C285" t="inlineStr">
        <is>
          <t>0                      QH 0323500M  37          1985</t>
        </is>
      </c>
      <c r="D285" t="inlineStr">
        <is>
          <t>Using and understanding medical statistics / David E. Matthews, Vernon T. Farewell.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Matthews, David E., 1948-</t>
        </is>
      </c>
      <c r="L285" t="inlineStr">
        <is>
          <t>Basel ; New York : Karger, c1985.</t>
        </is>
      </c>
      <c r="M285" t="inlineStr">
        <is>
          <t>1985</t>
        </is>
      </c>
      <c r="O285" t="inlineStr">
        <is>
          <t>eng</t>
        </is>
      </c>
      <c r="P285" t="inlineStr">
        <is>
          <t xml:space="preserve">sz </t>
        </is>
      </c>
      <c r="R285" t="inlineStr">
        <is>
          <t xml:space="preserve">QH </t>
        </is>
      </c>
      <c r="S285" t="n">
        <v>4</v>
      </c>
      <c r="T285" t="n">
        <v>4</v>
      </c>
      <c r="U285" t="inlineStr">
        <is>
          <t>2003-09-22</t>
        </is>
      </c>
      <c r="V285" t="inlineStr">
        <is>
          <t>2003-09-22</t>
        </is>
      </c>
      <c r="W285" t="inlineStr">
        <is>
          <t>1993-04-02</t>
        </is>
      </c>
      <c r="X285" t="inlineStr">
        <is>
          <t>1993-04-02</t>
        </is>
      </c>
      <c r="Y285" t="n">
        <v>318</v>
      </c>
      <c r="Z285" t="n">
        <v>235</v>
      </c>
      <c r="AA285" t="n">
        <v>600</v>
      </c>
      <c r="AB285" t="n">
        <v>2</v>
      </c>
      <c r="AC285" t="n">
        <v>4</v>
      </c>
      <c r="AD285" t="n">
        <v>10</v>
      </c>
      <c r="AE285" t="n">
        <v>23</v>
      </c>
      <c r="AF285" t="n">
        <v>2</v>
      </c>
      <c r="AG285" t="n">
        <v>5</v>
      </c>
      <c r="AH285" t="n">
        <v>3</v>
      </c>
      <c r="AI285" t="n">
        <v>7</v>
      </c>
      <c r="AJ285" t="n">
        <v>5</v>
      </c>
      <c r="AK285" t="n">
        <v>12</v>
      </c>
      <c r="AL285" t="n">
        <v>1</v>
      </c>
      <c r="AM285" t="n">
        <v>3</v>
      </c>
      <c r="AN285" t="n">
        <v>2</v>
      </c>
      <c r="AO285" t="n">
        <v>2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HYPERLINK("https://creighton-primo.hosted.exlibrisgroup.com/primo-explore/search?tab=default_tab&amp;search_scope=EVERYTHING&amp;vid=01CRU&amp;lang=en_US&amp;offset=0&amp;query=any,contains,991000626299702656","Catalog Record")</f>
        <v/>
      </c>
      <c r="AT285">
        <f>HYPERLINK("http://www.worldcat.org/oclc/11157238","WorldCat Record")</f>
        <v/>
      </c>
      <c r="AU285" t="inlineStr">
        <is>
          <t>3727785:eng</t>
        </is>
      </c>
      <c r="AV285" t="inlineStr">
        <is>
          <t>11157238</t>
        </is>
      </c>
      <c r="AW285" t="inlineStr">
        <is>
          <t>991000626299702656</t>
        </is>
      </c>
      <c r="AX285" t="inlineStr">
        <is>
          <t>991000626299702656</t>
        </is>
      </c>
      <c r="AY285" t="inlineStr">
        <is>
          <t>2271655050002656</t>
        </is>
      </c>
      <c r="AZ285" t="inlineStr">
        <is>
          <t>BOOK</t>
        </is>
      </c>
      <c r="BB285" t="inlineStr">
        <is>
          <t>9783805539326</t>
        </is>
      </c>
      <c r="BC285" t="inlineStr">
        <is>
          <t>32285001599322</t>
        </is>
      </c>
      <c r="BD285" t="inlineStr">
        <is>
          <t>893784395</t>
        </is>
      </c>
    </row>
    <row r="286">
      <c r="A286" t="inlineStr">
        <is>
          <t>No</t>
        </is>
      </c>
      <c r="B286" t="inlineStr">
        <is>
          <t>QH323.5 .P49</t>
        </is>
      </c>
      <c r="C286" t="inlineStr">
        <is>
          <t>0                      QH 0323500P  49</t>
        </is>
      </c>
      <c r="D286" t="inlineStr">
        <is>
          <t>Morphometrics, the multivariate analysis of biological data / Richard A. Pimentel.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Pimentel, Richard A.</t>
        </is>
      </c>
      <c r="L286" t="inlineStr">
        <is>
          <t>Dubuque, Iowa : Kendall/Hunt Pub. Co., c1979.</t>
        </is>
      </c>
      <c r="M286" t="inlineStr">
        <is>
          <t>1979</t>
        </is>
      </c>
      <c r="O286" t="inlineStr">
        <is>
          <t>eng</t>
        </is>
      </c>
      <c r="P286" t="inlineStr">
        <is>
          <t>iau</t>
        </is>
      </c>
      <c r="R286" t="inlineStr">
        <is>
          <t xml:space="preserve">QH </t>
        </is>
      </c>
      <c r="S286" t="n">
        <v>3</v>
      </c>
      <c r="T286" t="n">
        <v>3</v>
      </c>
      <c r="U286" t="inlineStr">
        <is>
          <t>1997-02-28</t>
        </is>
      </c>
      <c r="V286" t="inlineStr">
        <is>
          <t>1997-02-28</t>
        </is>
      </c>
      <c r="W286" t="inlineStr">
        <is>
          <t>1992-05-06</t>
        </is>
      </c>
      <c r="X286" t="inlineStr">
        <is>
          <t>1992-05-06</t>
        </is>
      </c>
      <c r="Y286" t="n">
        <v>191</v>
      </c>
      <c r="Z286" t="n">
        <v>136</v>
      </c>
      <c r="AA286" t="n">
        <v>137</v>
      </c>
      <c r="AB286" t="n">
        <v>3</v>
      </c>
      <c r="AC286" t="n">
        <v>3</v>
      </c>
      <c r="AD286" t="n">
        <v>3</v>
      </c>
      <c r="AE286" t="n">
        <v>3</v>
      </c>
      <c r="AF286" t="n">
        <v>0</v>
      </c>
      <c r="AG286" t="n">
        <v>0</v>
      </c>
      <c r="AH286" t="n">
        <v>1</v>
      </c>
      <c r="AI286" t="n">
        <v>1</v>
      </c>
      <c r="AJ286" t="n">
        <v>0</v>
      </c>
      <c r="AK286" t="n">
        <v>0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HYPERLINK("https://creighton-primo.hosted.exlibrisgroup.com/primo-explore/search?tab=default_tab&amp;search_scope=EVERYTHING&amp;vid=01CRU&amp;lang=en_US&amp;offset=0&amp;query=any,contains,991004731229702656","Catalog Record")</f>
        <v/>
      </c>
      <c r="AT286">
        <f>HYPERLINK("http://www.worldcat.org/oclc/4834716","WorldCat Record")</f>
        <v/>
      </c>
      <c r="AU286" t="inlineStr">
        <is>
          <t>504746:eng</t>
        </is>
      </c>
      <c r="AV286" t="inlineStr">
        <is>
          <t>4834716</t>
        </is>
      </c>
      <c r="AW286" t="inlineStr">
        <is>
          <t>991004731229702656</t>
        </is>
      </c>
      <c r="AX286" t="inlineStr">
        <is>
          <t>991004731229702656</t>
        </is>
      </c>
      <c r="AY286" t="inlineStr">
        <is>
          <t>2267779940002656</t>
        </is>
      </c>
      <c r="AZ286" t="inlineStr">
        <is>
          <t>BOOK</t>
        </is>
      </c>
      <c r="BB286" t="inlineStr">
        <is>
          <t>9780840319289</t>
        </is>
      </c>
      <c r="BC286" t="inlineStr">
        <is>
          <t>32285001097061</t>
        </is>
      </c>
      <c r="BD286" t="inlineStr">
        <is>
          <t>893619019</t>
        </is>
      </c>
    </row>
    <row r="287">
      <c r="A287" t="inlineStr">
        <is>
          <t>No</t>
        </is>
      </c>
      <c r="B287" t="inlineStr">
        <is>
          <t>QH323.5 .R6</t>
        </is>
      </c>
      <c r="C287" t="inlineStr">
        <is>
          <t>0                      QH 0323500R  6</t>
        </is>
      </c>
      <c r="D287" t="inlineStr">
        <is>
          <t>Discrete mathematical models, with applications to social, biological, and environmental problems / Fred S. Roberts.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Roberts, Fred S.</t>
        </is>
      </c>
      <c r="L287" t="inlineStr">
        <is>
          <t>Englewood Cliffs, N.J. : Prentice-Hall, c1976.</t>
        </is>
      </c>
      <c r="M287" t="inlineStr">
        <is>
          <t>1976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QH </t>
        </is>
      </c>
      <c r="S287" t="n">
        <v>2</v>
      </c>
      <c r="T287" t="n">
        <v>2</v>
      </c>
      <c r="U287" t="inlineStr">
        <is>
          <t>1993-12-01</t>
        </is>
      </c>
      <c r="V287" t="inlineStr">
        <is>
          <t>1993-12-01</t>
        </is>
      </c>
      <c r="W287" t="inlineStr">
        <is>
          <t>1992-05-14</t>
        </is>
      </c>
      <c r="X287" t="inlineStr">
        <is>
          <t>1992-05-14</t>
        </is>
      </c>
      <c r="Y287" t="n">
        <v>729</v>
      </c>
      <c r="Z287" t="n">
        <v>551</v>
      </c>
      <c r="AA287" t="n">
        <v>557</v>
      </c>
      <c r="AB287" t="n">
        <v>5</v>
      </c>
      <c r="AC287" t="n">
        <v>5</v>
      </c>
      <c r="AD287" t="n">
        <v>26</v>
      </c>
      <c r="AE287" t="n">
        <v>26</v>
      </c>
      <c r="AF287" t="n">
        <v>11</v>
      </c>
      <c r="AG287" t="n">
        <v>11</v>
      </c>
      <c r="AH287" t="n">
        <v>3</v>
      </c>
      <c r="AI287" t="n">
        <v>3</v>
      </c>
      <c r="AJ287" t="n">
        <v>13</v>
      </c>
      <c r="AK287" t="n">
        <v>13</v>
      </c>
      <c r="AL287" t="n">
        <v>4</v>
      </c>
      <c r="AM287" t="n">
        <v>4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HYPERLINK("http://catalog.hathitrust.org/Record/000044840","HathiTrust Record")</f>
        <v/>
      </c>
      <c r="AS287">
        <f>HYPERLINK("https://creighton-primo.hosted.exlibrisgroup.com/primo-explore/search?tab=default_tab&amp;search_scope=EVERYTHING&amp;vid=01CRU&amp;lang=en_US&amp;offset=0&amp;query=any,contains,991003801719702656","Catalog Record")</f>
        <v/>
      </c>
      <c r="AT287">
        <f>HYPERLINK("http://www.worldcat.org/oclc/1527667","WorldCat Record")</f>
        <v/>
      </c>
      <c r="AU287" t="inlineStr">
        <is>
          <t>410649:eng</t>
        </is>
      </c>
      <c r="AV287" t="inlineStr">
        <is>
          <t>1527667</t>
        </is>
      </c>
      <c r="AW287" t="inlineStr">
        <is>
          <t>991003801719702656</t>
        </is>
      </c>
      <c r="AX287" t="inlineStr">
        <is>
          <t>991003801719702656</t>
        </is>
      </c>
      <c r="AY287" t="inlineStr">
        <is>
          <t>2258132350002656</t>
        </is>
      </c>
      <c r="AZ287" t="inlineStr">
        <is>
          <t>BOOK</t>
        </is>
      </c>
      <c r="BB287" t="inlineStr">
        <is>
          <t>9780132141710</t>
        </is>
      </c>
      <c r="BC287" t="inlineStr">
        <is>
          <t>32285001109270</t>
        </is>
      </c>
      <c r="BD287" t="inlineStr">
        <is>
          <t>893435461</t>
        </is>
      </c>
    </row>
    <row r="288">
      <c r="A288" t="inlineStr">
        <is>
          <t>No</t>
        </is>
      </c>
      <c r="B288" t="inlineStr">
        <is>
          <t>QH323.5 .R62 1992</t>
        </is>
      </c>
      <c r="C288" t="inlineStr">
        <is>
          <t>0                      QH 0323500R  62          1992</t>
        </is>
      </c>
      <c r="D288" t="inlineStr">
        <is>
          <t>The evolution of life histories : theory and analysis / by Derek A. Roff.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Roff, Derek A., 1949-</t>
        </is>
      </c>
      <c r="L288" t="inlineStr">
        <is>
          <t>New York : Chapman &amp; Hall, 1992.</t>
        </is>
      </c>
      <c r="M288" t="inlineStr">
        <is>
          <t>1992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QH </t>
        </is>
      </c>
      <c r="S288" t="n">
        <v>12</v>
      </c>
      <c r="T288" t="n">
        <v>12</v>
      </c>
      <c r="U288" t="inlineStr">
        <is>
          <t>2002-09-21</t>
        </is>
      </c>
      <c r="V288" t="inlineStr">
        <is>
          <t>2002-09-21</t>
        </is>
      </c>
      <c r="W288" t="inlineStr">
        <is>
          <t>1992-12-16</t>
        </is>
      </c>
      <c r="X288" t="inlineStr">
        <is>
          <t>1992-12-16</t>
        </is>
      </c>
      <c r="Y288" t="n">
        <v>434</v>
      </c>
      <c r="Z288" t="n">
        <v>302</v>
      </c>
      <c r="AA288" t="n">
        <v>302</v>
      </c>
      <c r="AB288" t="n">
        <v>4</v>
      </c>
      <c r="AC288" t="n">
        <v>4</v>
      </c>
      <c r="AD288" t="n">
        <v>17</v>
      </c>
      <c r="AE288" t="n">
        <v>17</v>
      </c>
      <c r="AF288" t="n">
        <v>7</v>
      </c>
      <c r="AG288" t="n">
        <v>7</v>
      </c>
      <c r="AH288" t="n">
        <v>4</v>
      </c>
      <c r="AI288" t="n">
        <v>4</v>
      </c>
      <c r="AJ288" t="n">
        <v>9</v>
      </c>
      <c r="AK288" t="n">
        <v>9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HYPERLINK("https://creighton-primo.hosted.exlibrisgroup.com/primo-explore/search?tab=default_tab&amp;search_scope=EVERYTHING&amp;vid=01CRU&amp;lang=en_US&amp;offset=0&amp;query=any,contains,991002020669702656","Catalog Record")</f>
        <v/>
      </c>
      <c r="AT288">
        <f>HYPERLINK("http://www.worldcat.org/oclc/25708614","WorldCat Record")</f>
        <v/>
      </c>
      <c r="AU288" t="inlineStr">
        <is>
          <t>28477373:eng</t>
        </is>
      </c>
      <c r="AV288" t="inlineStr">
        <is>
          <t>25708614</t>
        </is>
      </c>
      <c r="AW288" t="inlineStr">
        <is>
          <t>991002020669702656</t>
        </is>
      </c>
      <c r="AX288" t="inlineStr">
        <is>
          <t>991002020669702656</t>
        </is>
      </c>
      <c r="AY288" t="inlineStr">
        <is>
          <t>2260286470002656</t>
        </is>
      </c>
      <c r="AZ288" t="inlineStr">
        <is>
          <t>BOOK</t>
        </is>
      </c>
      <c r="BB288" t="inlineStr">
        <is>
          <t>9780412023811</t>
        </is>
      </c>
      <c r="BC288" t="inlineStr">
        <is>
          <t>32285001402949</t>
        </is>
      </c>
      <c r="BD288" t="inlineStr">
        <is>
          <t>893885755</t>
        </is>
      </c>
    </row>
    <row r="289">
      <c r="A289" t="inlineStr">
        <is>
          <t>No</t>
        </is>
      </c>
      <c r="B289" t="inlineStr">
        <is>
          <t>QH323.5 .R67</t>
        </is>
      </c>
      <c r="C289" t="inlineStr">
        <is>
          <t>0                      QH 0323500R  67</t>
        </is>
      </c>
      <c r="D289" t="inlineStr">
        <is>
          <t>Foundations of mathematical biology, edited by Robert Rosen. Contributors: D. Agin [and others]</t>
        </is>
      </c>
      <c r="E289" t="inlineStr">
        <is>
          <t>V.1</t>
        </is>
      </c>
      <c r="F289" t="inlineStr">
        <is>
          <t>Yes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Rosen, Robert, 1934-1998.</t>
        </is>
      </c>
      <c r="L289" t="inlineStr">
        <is>
          <t>New York, Academic Press, 1972-</t>
        </is>
      </c>
      <c r="M289" t="inlineStr">
        <is>
          <t>1972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QH </t>
        </is>
      </c>
      <c r="S289" t="n">
        <v>0</v>
      </c>
      <c r="T289" t="n">
        <v>3</v>
      </c>
      <c r="V289" t="inlineStr">
        <is>
          <t>2009-09-01</t>
        </is>
      </c>
      <c r="W289" t="inlineStr">
        <is>
          <t>1997-07-01</t>
        </is>
      </c>
      <c r="X289" t="inlineStr">
        <is>
          <t>1997-07-01</t>
        </is>
      </c>
      <c r="Y289" t="n">
        <v>472</v>
      </c>
      <c r="Z289" t="n">
        <v>365</v>
      </c>
      <c r="AA289" t="n">
        <v>418</v>
      </c>
      <c r="AB289" t="n">
        <v>3</v>
      </c>
      <c r="AC289" t="n">
        <v>3</v>
      </c>
      <c r="AD289" t="n">
        <v>19</v>
      </c>
      <c r="AE289" t="n">
        <v>22</v>
      </c>
      <c r="AF289" t="n">
        <v>8</v>
      </c>
      <c r="AG289" t="n">
        <v>10</v>
      </c>
      <c r="AH289" t="n">
        <v>4</v>
      </c>
      <c r="AI289" t="n">
        <v>6</v>
      </c>
      <c r="AJ289" t="n">
        <v>11</v>
      </c>
      <c r="AK289" t="n">
        <v>11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HYPERLINK("http://catalog.hathitrust.org/Record/001491279","HathiTrust Record")</f>
        <v/>
      </c>
      <c r="AS289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89">
        <f>HYPERLINK("http://www.worldcat.org/oclc/539626","WorldCat Record")</f>
        <v/>
      </c>
      <c r="AU289" t="inlineStr">
        <is>
          <t>2864551116:eng</t>
        </is>
      </c>
      <c r="AV289" t="inlineStr">
        <is>
          <t>539626</t>
        </is>
      </c>
      <c r="AW289" t="inlineStr">
        <is>
          <t>991002952189702656</t>
        </is>
      </c>
      <c r="AX289" t="inlineStr">
        <is>
          <t>991002952189702656</t>
        </is>
      </c>
      <c r="AY289" t="inlineStr">
        <is>
          <t>2262067080002656</t>
        </is>
      </c>
      <c r="AZ289" t="inlineStr">
        <is>
          <t>BOOK</t>
        </is>
      </c>
      <c r="BB289" t="inlineStr">
        <is>
          <t>9780125972017</t>
        </is>
      </c>
      <c r="BC289" t="inlineStr">
        <is>
          <t>32285002868015</t>
        </is>
      </c>
      <c r="BD289" t="inlineStr">
        <is>
          <t>893517974</t>
        </is>
      </c>
    </row>
    <row r="290">
      <c r="A290" t="inlineStr">
        <is>
          <t>No</t>
        </is>
      </c>
      <c r="B290" t="inlineStr">
        <is>
          <t>QH323.5 .R67</t>
        </is>
      </c>
      <c r="C290" t="inlineStr">
        <is>
          <t>0                      QH 0323500R  67</t>
        </is>
      </c>
      <c r="D290" t="inlineStr">
        <is>
          <t>Foundations of mathematical biology, edited by Robert Rosen. Contributors: D. Agin [and others]</t>
        </is>
      </c>
      <c r="E290" t="inlineStr">
        <is>
          <t>V.2</t>
        </is>
      </c>
      <c r="F290" t="inlineStr">
        <is>
          <t>Yes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Rosen, Robert, 1934-1998.</t>
        </is>
      </c>
      <c r="L290" t="inlineStr">
        <is>
          <t>New York, Academic Press, 1972-</t>
        </is>
      </c>
      <c r="M290" t="inlineStr">
        <is>
          <t>1972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QH </t>
        </is>
      </c>
      <c r="S290" t="n">
        <v>1</v>
      </c>
      <c r="T290" t="n">
        <v>3</v>
      </c>
      <c r="U290" t="inlineStr">
        <is>
          <t>2009-09-01</t>
        </is>
      </c>
      <c r="V290" t="inlineStr">
        <is>
          <t>2009-09-01</t>
        </is>
      </c>
      <c r="W290" t="inlineStr">
        <is>
          <t>1997-07-01</t>
        </is>
      </c>
      <c r="X290" t="inlineStr">
        <is>
          <t>1997-07-01</t>
        </is>
      </c>
      <c r="Y290" t="n">
        <v>472</v>
      </c>
      <c r="Z290" t="n">
        <v>365</v>
      </c>
      <c r="AA290" t="n">
        <v>418</v>
      </c>
      <c r="AB290" t="n">
        <v>3</v>
      </c>
      <c r="AC290" t="n">
        <v>3</v>
      </c>
      <c r="AD290" t="n">
        <v>19</v>
      </c>
      <c r="AE290" t="n">
        <v>22</v>
      </c>
      <c r="AF290" t="n">
        <v>8</v>
      </c>
      <c r="AG290" t="n">
        <v>10</v>
      </c>
      <c r="AH290" t="n">
        <v>4</v>
      </c>
      <c r="AI290" t="n">
        <v>6</v>
      </c>
      <c r="AJ290" t="n">
        <v>11</v>
      </c>
      <c r="AK290" t="n">
        <v>11</v>
      </c>
      <c r="AL290" t="n">
        <v>2</v>
      </c>
      <c r="AM290" t="n">
        <v>2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HYPERLINK("http://catalog.hathitrust.org/Record/001491279","HathiTrust Record")</f>
        <v/>
      </c>
      <c r="AS290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0">
        <f>HYPERLINK("http://www.worldcat.org/oclc/539626","WorldCat Record")</f>
        <v/>
      </c>
      <c r="AU290" t="inlineStr">
        <is>
          <t>2864551116:eng</t>
        </is>
      </c>
      <c r="AV290" t="inlineStr">
        <is>
          <t>539626</t>
        </is>
      </c>
      <c r="AW290" t="inlineStr">
        <is>
          <t>991002952189702656</t>
        </is>
      </c>
      <c r="AX290" t="inlineStr">
        <is>
          <t>991002952189702656</t>
        </is>
      </c>
      <c r="AY290" t="inlineStr">
        <is>
          <t>2262067080002656</t>
        </is>
      </c>
      <c r="AZ290" t="inlineStr">
        <is>
          <t>BOOK</t>
        </is>
      </c>
      <c r="BB290" t="inlineStr">
        <is>
          <t>9780125972017</t>
        </is>
      </c>
      <c r="BC290" t="inlineStr">
        <is>
          <t>32285002868023</t>
        </is>
      </c>
      <c r="BD290" t="inlineStr">
        <is>
          <t>893530686</t>
        </is>
      </c>
    </row>
    <row r="291">
      <c r="A291" t="inlineStr">
        <is>
          <t>No</t>
        </is>
      </c>
      <c r="B291" t="inlineStr">
        <is>
          <t>QH323.5 .R67</t>
        </is>
      </c>
      <c r="C291" t="inlineStr">
        <is>
          <t>0                      QH 0323500R  67</t>
        </is>
      </c>
      <c r="D291" t="inlineStr">
        <is>
          <t>Foundations of mathematical biology, edited by Robert Rosen. Contributors: D. Agin [and others]</t>
        </is>
      </c>
      <c r="E291" t="inlineStr">
        <is>
          <t>V.3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Rosen, Robert, 1934-1998.</t>
        </is>
      </c>
      <c r="L291" t="inlineStr">
        <is>
          <t>New York, Academic Press, 1972-</t>
        </is>
      </c>
      <c r="M291" t="inlineStr">
        <is>
          <t>1972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QH </t>
        </is>
      </c>
      <c r="S291" t="n">
        <v>2</v>
      </c>
      <c r="T291" t="n">
        <v>3</v>
      </c>
      <c r="U291" t="inlineStr">
        <is>
          <t>2002-04-08</t>
        </is>
      </c>
      <c r="V291" t="inlineStr">
        <is>
          <t>2009-09-01</t>
        </is>
      </c>
      <c r="W291" t="inlineStr">
        <is>
          <t>1997-07-01</t>
        </is>
      </c>
      <c r="X291" t="inlineStr">
        <is>
          <t>1997-07-01</t>
        </is>
      </c>
      <c r="Y291" t="n">
        <v>472</v>
      </c>
      <c r="Z291" t="n">
        <v>365</v>
      </c>
      <c r="AA291" t="n">
        <v>418</v>
      </c>
      <c r="AB291" t="n">
        <v>3</v>
      </c>
      <c r="AC291" t="n">
        <v>3</v>
      </c>
      <c r="AD291" t="n">
        <v>19</v>
      </c>
      <c r="AE291" t="n">
        <v>22</v>
      </c>
      <c r="AF291" t="n">
        <v>8</v>
      </c>
      <c r="AG291" t="n">
        <v>10</v>
      </c>
      <c r="AH291" t="n">
        <v>4</v>
      </c>
      <c r="AI291" t="n">
        <v>6</v>
      </c>
      <c r="AJ291" t="n">
        <v>11</v>
      </c>
      <c r="AK291" t="n">
        <v>11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HYPERLINK("http://catalog.hathitrust.org/Record/001491279","HathiTrust Record")</f>
        <v/>
      </c>
      <c r="AS291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1">
        <f>HYPERLINK("http://www.worldcat.org/oclc/539626","WorldCat Record")</f>
        <v/>
      </c>
      <c r="AU291" t="inlineStr">
        <is>
          <t>2864551116:eng</t>
        </is>
      </c>
      <c r="AV291" t="inlineStr">
        <is>
          <t>539626</t>
        </is>
      </c>
      <c r="AW291" t="inlineStr">
        <is>
          <t>991002952189702656</t>
        </is>
      </c>
      <c r="AX291" t="inlineStr">
        <is>
          <t>991002952189702656</t>
        </is>
      </c>
      <c r="AY291" t="inlineStr">
        <is>
          <t>2262067080002656</t>
        </is>
      </c>
      <c r="AZ291" t="inlineStr">
        <is>
          <t>BOOK</t>
        </is>
      </c>
      <c r="BB291" t="inlineStr">
        <is>
          <t>9780125972017</t>
        </is>
      </c>
      <c r="BC291" t="inlineStr">
        <is>
          <t>32285002868031</t>
        </is>
      </c>
      <c r="BD291" t="inlineStr">
        <is>
          <t>893505021</t>
        </is>
      </c>
    </row>
    <row r="292">
      <c r="A292" t="inlineStr">
        <is>
          <t>No</t>
        </is>
      </c>
      <c r="B292" t="inlineStr">
        <is>
          <t>QH323.5 .R8</t>
        </is>
      </c>
      <c r="C292" t="inlineStr">
        <is>
          <t>0                      QH 0323500R  8</t>
        </is>
      </c>
      <c r="D292" t="inlineStr">
        <is>
          <t>Introduction to mathematical biology / S. I. Rubinow.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Rubinow, S. I.</t>
        </is>
      </c>
      <c r="L292" t="inlineStr">
        <is>
          <t>New York : Wiley, [1975]</t>
        </is>
      </c>
      <c r="M292" t="inlineStr">
        <is>
          <t>1975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QH </t>
        </is>
      </c>
      <c r="S292" t="n">
        <v>1</v>
      </c>
      <c r="T292" t="n">
        <v>1</v>
      </c>
      <c r="U292" t="inlineStr">
        <is>
          <t>2003-04-17</t>
        </is>
      </c>
      <c r="V292" t="inlineStr">
        <is>
          <t>2003-04-17</t>
        </is>
      </c>
      <c r="W292" t="inlineStr">
        <is>
          <t>1997-07-01</t>
        </is>
      </c>
      <c r="X292" t="inlineStr">
        <is>
          <t>1997-07-01</t>
        </is>
      </c>
      <c r="Y292" t="n">
        <v>503</v>
      </c>
      <c r="Z292" t="n">
        <v>354</v>
      </c>
      <c r="AA292" t="n">
        <v>388</v>
      </c>
      <c r="AB292" t="n">
        <v>3</v>
      </c>
      <c r="AC292" t="n">
        <v>3</v>
      </c>
      <c r="AD292" t="n">
        <v>13</v>
      </c>
      <c r="AE292" t="n">
        <v>14</v>
      </c>
      <c r="AF292" t="n">
        <v>5</v>
      </c>
      <c r="AG292" t="n">
        <v>6</v>
      </c>
      <c r="AH292" t="n">
        <v>3</v>
      </c>
      <c r="AI292" t="n">
        <v>3</v>
      </c>
      <c r="AJ292" t="n">
        <v>7</v>
      </c>
      <c r="AK292" t="n">
        <v>8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HYPERLINK("http://catalog.hathitrust.org/Record/000038581","HathiTrust Record")</f>
        <v/>
      </c>
      <c r="AS292">
        <f>HYPERLINK("https://creighton-primo.hosted.exlibrisgroup.com/primo-explore/search?tab=default_tab&amp;search_scope=EVERYTHING&amp;vid=01CRU&amp;lang=en_US&amp;offset=0&amp;query=any,contains,991003702969702656","Catalog Record")</f>
        <v/>
      </c>
      <c r="AT292">
        <f>HYPERLINK("http://www.worldcat.org/oclc/1339659","WorldCat Record")</f>
        <v/>
      </c>
      <c r="AU292" t="inlineStr">
        <is>
          <t>2229380:eng</t>
        </is>
      </c>
      <c r="AV292" t="inlineStr">
        <is>
          <t>1339659</t>
        </is>
      </c>
      <c r="AW292" t="inlineStr">
        <is>
          <t>991003702969702656</t>
        </is>
      </c>
      <c r="AX292" t="inlineStr">
        <is>
          <t>991003702969702656</t>
        </is>
      </c>
      <c r="AY292" t="inlineStr">
        <is>
          <t>2254906720002656</t>
        </is>
      </c>
      <c r="AZ292" t="inlineStr">
        <is>
          <t>BOOK</t>
        </is>
      </c>
      <c r="BB292" t="inlineStr">
        <is>
          <t>9780471744467</t>
        </is>
      </c>
      <c r="BC292" t="inlineStr">
        <is>
          <t>32285002868049</t>
        </is>
      </c>
      <c r="BD292" t="inlineStr">
        <is>
          <t>893781298</t>
        </is>
      </c>
    </row>
    <row r="293">
      <c r="A293" t="inlineStr">
        <is>
          <t>No</t>
        </is>
      </c>
      <c r="B293" t="inlineStr">
        <is>
          <t>QH323.5 .R83</t>
        </is>
      </c>
      <c r="C293" t="inlineStr">
        <is>
          <t>0                      QH 0323500R  83</t>
        </is>
      </c>
      <c r="D293" t="inlineStr">
        <is>
          <t>Mathematical problems in the biological sciences / [by] Sol I. Rubinow.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Rubinow, S. I.</t>
        </is>
      </c>
      <c r="L293" t="inlineStr">
        <is>
          <t>Philadelphia, Pa. : Society for Industrial and Applied Mathematics,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pau</t>
        </is>
      </c>
      <c r="Q293" t="inlineStr">
        <is>
          <t>Regional conference series in applied mathematics ; 10</t>
        </is>
      </c>
      <c r="R293" t="inlineStr">
        <is>
          <t xml:space="preserve">QH </t>
        </is>
      </c>
      <c r="S293" t="n">
        <v>3</v>
      </c>
      <c r="T293" t="n">
        <v>3</v>
      </c>
      <c r="U293" t="inlineStr">
        <is>
          <t>2000-10-09</t>
        </is>
      </c>
      <c r="V293" t="inlineStr">
        <is>
          <t>2000-10-09</t>
        </is>
      </c>
      <c r="W293" t="inlineStr">
        <is>
          <t>1997-07-01</t>
        </is>
      </c>
      <c r="X293" t="inlineStr">
        <is>
          <t>1997-07-01</t>
        </is>
      </c>
      <c r="Y293" t="n">
        <v>362</v>
      </c>
      <c r="Z293" t="n">
        <v>261</v>
      </c>
      <c r="AA293" t="n">
        <v>286</v>
      </c>
      <c r="AB293" t="n">
        <v>3</v>
      </c>
      <c r="AC293" t="n">
        <v>3</v>
      </c>
      <c r="AD293" t="n">
        <v>14</v>
      </c>
      <c r="AE293" t="n">
        <v>14</v>
      </c>
      <c r="AF293" t="n">
        <v>5</v>
      </c>
      <c r="AG293" t="n">
        <v>5</v>
      </c>
      <c r="AH293" t="n">
        <v>3</v>
      </c>
      <c r="AI293" t="n">
        <v>3</v>
      </c>
      <c r="AJ293" t="n">
        <v>9</v>
      </c>
      <c r="AK293" t="n">
        <v>9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HYPERLINK("https://creighton-primo.hosted.exlibrisgroup.com/primo-explore/search?tab=default_tab&amp;search_scope=EVERYTHING&amp;vid=01CRU&amp;lang=en_US&amp;offset=0&amp;query=any,contains,991005356219702656","Catalog Record")</f>
        <v/>
      </c>
      <c r="AT293">
        <f>HYPERLINK("http://www.worldcat.org/oclc/667754","WorldCat Record")</f>
        <v/>
      </c>
      <c r="AU293" t="inlineStr">
        <is>
          <t>1683250:eng</t>
        </is>
      </c>
      <c r="AV293" t="inlineStr">
        <is>
          <t>667754</t>
        </is>
      </c>
      <c r="AW293" t="inlineStr">
        <is>
          <t>991005356219702656</t>
        </is>
      </c>
      <c r="AX293" t="inlineStr">
        <is>
          <t>991005356219702656</t>
        </is>
      </c>
      <c r="AY293" t="inlineStr">
        <is>
          <t>2256623870002656</t>
        </is>
      </c>
      <c r="AZ293" t="inlineStr">
        <is>
          <t>BOOK</t>
        </is>
      </c>
      <c r="BC293" t="inlineStr">
        <is>
          <t>32285002868056</t>
        </is>
      </c>
      <c r="BD293" t="inlineStr">
        <is>
          <t>893777262</t>
        </is>
      </c>
    </row>
    <row r="294">
      <c r="A294" t="inlineStr">
        <is>
          <t>No</t>
        </is>
      </c>
      <c r="B294" t="inlineStr">
        <is>
          <t>QH323.5 .S74 1998</t>
        </is>
      </c>
      <c r="C294" t="inlineStr">
        <is>
          <t>0                      QH 0323500S  74          1998</t>
        </is>
      </c>
      <c r="D294" t="inlineStr">
        <is>
          <t>Life's other secret : the new mathematics of the living world / Ian Stewart.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Stewart, Ian, 1945-</t>
        </is>
      </c>
      <c r="L294" t="inlineStr">
        <is>
          <t>New York : John Wiley, c1998.</t>
        </is>
      </c>
      <c r="M294" t="inlineStr">
        <is>
          <t>1998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QH </t>
        </is>
      </c>
      <c r="S294" t="n">
        <v>4</v>
      </c>
      <c r="T294" t="n">
        <v>4</v>
      </c>
      <c r="U294" t="inlineStr">
        <is>
          <t>2002-10-10</t>
        </is>
      </c>
      <c r="V294" t="inlineStr">
        <is>
          <t>2002-10-10</t>
        </is>
      </c>
      <c r="W294" t="inlineStr">
        <is>
          <t>1998-03-30</t>
        </is>
      </c>
      <c r="X294" t="inlineStr">
        <is>
          <t>1998-03-30</t>
        </is>
      </c>
      <c r="Y294" t="n">
        <v>1192</v>
      </c>
      <c r="Z294" t="n">
        <v>1090</v>
      </c>
      <c r="AA294" t="n">
        <v>1103</v>
      </c>
      <c r="AB294" t="n">
        <v>9</v>
      </c>
      <c r="AC294" t="n">
        <v>9</v>
      </c>
      <c r="AD294" t="n">
        <v>37</v>
      </c>
      <c r="AE294" t="n">
        <v>37</v>
      </c>
      <c r="AF294" t="n">
        <v>14</v>
      </c>
      <c r="AG294" t="n">
        <v>14</v>
      </c>
      <c r="AH294" t="n">
        <v>7</v>
      </c>
      <c r="AI294" t="n">
        <v>7</v>
      </c>
      <c r="AJ294" t="n">
        <v>17</v>
      </c>
      <c r="AK294" t="n">
        <v>17</v>
      </c>
      <c r="AL294" t="n">
        <v>7</v>
      </c>
      <c r="AM294" t="n">
        <v>7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HYPERLINK("http://catalog.hathitrust.org/Record/004567118","HathiTrust Record")</f>
        <v/>
      </c>
      <c r="AS294">
        <f>HYPERLINK("https://creighton-primo.hosted.exlibrisgroup.com/primo-explore/search?tab=default_tab&amp;search_scope=EVERYTHING&amp;vid=01CRU&amp;lang=en_US&amp;offset=0&amp;query=any,contains,991002825819702656","Catalog Record")</f>
        <v/>
      </c>
      <c r="AT294">
        <f>HYPERLINK("http://www.worldcat.org/oclc/37211069","WorldCat Record")</f>
        <v/>
      </c>
      <c r="AU294" t="inlineStr">
        <is>
          <t>288272850:eng</t>
        </is>
      </c>
      <c r="AV294" t="inlineStr">
        <is>
          <t>37211069</t>
        </is>
      </c>
      <c r="AW294" t="inlineStr">
        <is>
          <t>991002825819702656</t>
        </is>
      </c>
      <c r="AX294" t="inlineStr">
        <is>
          <t>991002825819702656</t>
        </is>
      </c>
      <c r="AY294" t="inlineStr">
        <is>
          <t>2259053080002656</t>
        </is>
      </c>
      <c r="AZ294" t="inlineStr">
        <is>
          <t>BOOK</t>
        </is>
      </c>
      <c r="BB294" t="inlineStr">
        <is>
          <t>9780471158455</t>
        </is>
      </c>
      <c r="BC294" t="inlineStr">
        <is>
          <t>32285003381323</t>
        </is>
      </c>
      <c r="BD294" t="inlineStr">
        <is>
          <t>893893049</t>
        </is>
      </c>
    </row>
    <row r="295">
      <c r="A295" t="inlineStr">
        <is>
          <t>No</t>
        </is>
      </c>
      <c r="B295" t="inlineStr">
        <is>
          <t>QH323.5 .V36</t>
        </is>
      </c>
      <c r="C295" t="inlineStr">
        <is>
          <t>0                      QH 0323500V  36</t>
        </is>
      </c>
      <c r="D295" t="inlineStr">
        <is>
          <t>Fundamentals of biostatistics.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Vann, Edwin.</t>
        </is>
      </c>
      <c r="L295" t="inlineStr">
        <is>
          <t>Lexington, Mass. : Heath, [1972]</t>
        </is>
      </c>
      <c r="M295" t="inlineStr">
        <is>
          <t>1972</t>
        </is>
      </c>
      <c r="O295" t="inlineStr">
        <is>
          <t>eng</t>
        </is>
      </c>
      <c r="P295" t="inlineStr">
        <is>
          <t>mau</t>
        </is>
      </c>
      <c r="R295" t="inlineStr">
        <is>
          <t xml:space="preserve">QH </t>
        </is>
      </c>
      <c r="S295" t="n">
        <v>9</v>
      </c>
      <c r="T295" t="n">
        <v>9</v>
      </c>
      <c r="U295" t="inlineStr">
        <is>
          <t>2006-08-23</t>
        </is>
      </c>
      <c r="V295" t="inlineStr">
        <is>
          <t>2006-08-23</t>
        </is>
      </c>
      <c r="W295" t="inlineStr">
        <is>
          <t>1994-01-14</t>
        </is>
      </c>
      <c r="X295" t="inlineStr">
        <is>
          <t>1994-01-14</t>
        </is>
      </c>
      <c r="Y295" t="n">
        <v>120</v>
      </c>
      <c r="Z295" t="n">
        <v>86</v>
      </c>
      <c r="AA295" t="n">
        <v>88</v>
      </c>
      <c r="AB295" t="n">
        <v>2</v>
      </c>
      <c r="AC295" t="n">
        <v>2</v>
      </c>
      <c r="AD295" t="n">
        <v>3</v>
      </c>
      <c r="AE295" t="n">
        <v>3</v>
      </c>
      <c r="AF295" t="n">
        <v>0</v>
      </c>
      <c r="AG295" t="n">
        <v>0</v>
      </c>
      <c r="AH295" t="n">
        <v>1</v>
      </c>
      <c r="AI295" t="n">
        <v>1</v>
      </c>
      <c r="AJ295" t="n">
        <v>1</v>
      </c>
      <c r="AK295" t="n">
        <v>1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HYPERLINK("http://catalog.hathitrust.org/Record/001491284","HathiTrust Record")</f>
        <v/>
      </c>
      <c r="AS295">
        <f>HYPERLINK("https://creighton-primo.hosted.exlibrisgroup.com/primo-explore/search?tab=default_tab&amp;search_scope=EVERYTHING&amp;vid=01CRU&amp;lang=en_US&amp;offset=0&amp;query=any,contains,991002325689702656","Catalog Record")</f>
        <v/>
      </c>
      <c r="AT295">
        <f>HYPERLINK("http://www.worldcat.org/oclc/320763","WorldCat Record")</f>
        <v/>
      </c>
      <c r="AU295" t="inlineStr">
        <is>
          <t>1400227:eng</t>
        </is>
      </c>
      <c r="AV295" t="inlineStr">
        <is>
          <t>320763</t>
        </is>
      </c>
      <c r="AW295" t="inlineStr">
        <is>
          <t>991002325689702656</t>
        </is>
      </c>
      <c r="AX295" t="inlineStr">
        <is>
          <t>991002325689702656</t>
        </is>
      </c>
      <c r="AY295" t="inlineStr">
        <is>
          <t>2255859430002656</t>
        </is>
      </c>
      <c r="AZ295" t="inlineStr">
        <is>
          <t>BOOK</t>
        </is>
      </c>
      <c r="BB295" t="inlineStr">
        <is>
          <t>9780669617474</t>
        </is>
      </c>
      <c r="BC295" t="inlineStr">
        <is>
          <t>32285001829810</t>
        </is>
      </c>
      <c r="BD295" t="inlineStr">
        <is>
          <t>893886112</t>
        </is>
      </c>
    </row>
    <row r="296">
      <c r="A296" t="inlineStr">
        <is>
          <t>No</t>
        </is>
      </c>
      <c r="B296" t="inlineStr">
        <is>
          <t>QH323.5 .Y435 1996</t>
        </is>
      </c>
      <c r="C296" t="inlineStr">
        <is>
          <t>0                      QH 0323500Y  435         1996</t>
        </is>
      </c>
      <c r="D296" t="inlineStr">
        <is>
          <t>An introduction to the mathematics of biology : with computer algebra models / Edward K. Yeargers, Ronald W. Shonkwiler, James V. Herod.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Yeargers, Edward K.</t>
        </is>
      </c>
      <c r="L296" t="inlineStr">
        <is>
          <t>Boston : Birkhäuser, c1996.</t>
        </is>
      </c>
      <c r="M296" t="inlineStr">
        <is>
          <t>1996</t>
        </is>
      </c>
      <c r="O296" t="inlineStr">
        <is>
          <t>eng</t>
        </is>
      </c>
      <c r="P296" t="inlineStr">
        <is>
          <t>mau</t>
        </is>
      </c>
      <c r="R296" t="inlineStr">
        <is>
          <t xml:space="preserve">QH </t>
        </is>
      </c>
      <c r="S296" t="n">
        <v>12</v>
      </c>
      <c r="T296" t="n">
        <v>12</v>
      </c>
      <c r="U296" t="inlineStr">
        <is>
          <t>2006-03-10</t>
        </is>
      </c>
      <c r="V296" t="inlineStr">
        <is>
          <t>2006-03-10</t>
        </is>
      </c>
      <c r="W296" t="inlineStr">
        <is>
          <t>2000-07-24</t>
        </is>
      </c>
      <c r="X296" t="inlineStr">
        <is>
          <t>2000-07-24</t>
        </is>
      </c>
      <c r="Y296" t="n">
        <v>561</v>
      </c>
      <c r="Z296" t="n">
        <v>428</v>
      </c>
      <c r="AA296" t="n">
        <v>444</v>
      </c>
      <c r="AB296" t="n">
        <v>3</v>
      </c>
      <c r="AC296" t="n">
        <v>3</v>
      </c>
      <c r="AD296" t="n">
        <v>25</v>
      </c>
      <c r="AE296" t="n">
        <v>25</v>
      </c>
      <c r="AF296" t="n">
        <v>10</v>
      </c>
      <c r="AG296" t="n">
        <v>10</v>
      </c>
      <c r="AH296" t="n">
        <v>7</v>
      </c>
      <c r="AI296" t="n">
        <v>7</v>
      </c>
      <c r="AJ296" t="n">
        <v>15</v>
      </c>
      <c r="AK296" t="n">
        <v>15</v>
      </c>
      <c r="AL296" t="n">
        <v>2</v>
      </c>
      <c r="AM296" t="n">
        <v>2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HYPERLINK("http://catalog.hathitrust.org/Record/003110313","HathiTrust Record")</f>
        <v/>
      </c>
      <c r="AS296">
        <f>HYPERLINK("https://creighton-primo.hosted.exlibrisgroup.com/primo-explore/search?tab=default_tab&amp;search_scope=EVERYTHING&amp;vid=01CRU&amp;lang=en_US&amp;offset=0&amp;query=any,contains,991003215379702656","Catalog Record")</f>
        <v/>
      </c>
      <c r="AT296">
        <f>HYPERLINK("http://www.worldcat.org/oclc/34116673","WorldCat Record")</f>
        <v/>
      </c>
      <c r="AU296" t="inlineStr">
        <is>
          <t>829105778:eng</t>
        </is>
      </c>
      <c r="AV296" t="inlineStr">
        <is>
          <t>34116673</t>
        </is>
      </c>
      <c r="AW296" t="inlineStr">
        <is>
          <t>991003215379702656</t>
        </is>
      </c>
      <c r="AX296" t="inlineStr">
        <is>
          <t>991003215379702656</t>
        </is>
      </c>
      <c r="AY296" t="inlineStr">
        <is>
          <t>2269903460002656</t>
        </is>
      </c>
      <c r="AZ296" t="inlineStr">
        <is>
          <t>BOOK</t>
        </is>
      </c>
      <c r="BB296" t="inlineStr">
        <is>
          <t>9780817638092</t>
        </is>
      </c>
      <c r="BC296" t="inlineStr">
        <is>
          <t>32285003741856</t>
        </is>
      </c>
      <c r="BD296" t="inlineStr">
        <is>
          <t>893721832</t>
        </is>
      </c>
    </row>
    <row r="297">
      <c r="A297" t="inlineStr">
        <is>
          <t>No</t>
        </is>
      </c>
      <c r="B297" t="inlineStr">
        <is>
          <t>QH323.5 .Z37 1984</t>
        </is>
      </c>
      <c r="C297" t="inlineStr">
        <is>
          <t>0                      QH 0323500Z  37          1984</t>
        </is>
      </c>
      <c r="D297" t="inlineStr">
        <is>
          <t>Biostatistical analysis / Jerrold H. Zar.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Zar, Jerrold H., 1941-</t>
        </is>
      </c>
      <c r="L297" t="inlineStr">
        <is>
          <t>Englewood Cliffs, N.J. : Prentice-Hall, c1984.</t>
        </is>
      </c>
      <c r="M297" t="inlineStr">
        <is>
          <t>1984</t>
        </is>
      </c>
      <c r="N297" t="inlineStr">
        <is>
          <t>2nd ed.</t>
        </is>
      </c>
      <c r="O297" t="inlineStr">
        <is>
          <t>eng</t>
        </is>
      </c>
      <c r="P297" t="inlineStr">
        <is>
          <t>nju</t>
        </is>
      </c>
      <c r="R297" t="inlineStr">
        <is>
          <t xml:space="preserve">QH </t>
        </is>
      </c>
      <c r="S297" t="n">
        <v>38</v>
      </c>
      <c r="T297" t="n">
        <v>38</v>
      </c>
      <c r="U297" t="inlineStr">
        <is>
          <t>2006-09-28</t>
        </is>
      </c>
      <c r="V297" t="inlineStr">
        <is>
          <t>2006-09-28</t>
        </is>
      </c>
      <c r="W297" t="inlineStr">
        <is>
          <t>1991-12-06</t>
        </is>
      </c>
      <c r="X297" t="inlineStr">
        <is>
          <t>1991-12-06</t>
        </is>
      </c>
      <c r="Y297" t="n">
        <v>451</v>
      </c>
      <c r="Z297" t="n">
        <v>272</v>
      </c>
      <c r="AA297" t="n">
        <v>904</v>
      </c>
      <c r="AB297" t="n">
        <v>3</v>
      </c>
      <c r="AC297" t="n">
        <v>5</v>
      </c>
      <c r="AD297" t="n">
        <v>9</v>
      </c>
      <c r="AE297" t="n">
        <v>34</v>
      </c>
      <c r="AF297" t="n">
        <v>2</v>
      </c>
      <c r="AG297" t="n">
        <v>14</v>
      </c>
      <c r="AH297" t="n">
        <v>3</v>
      </c>
      <c r="AI297" t="n">
        <v>7</v>
      </c>
      <c r="AJ297" t="n">
        <v>5</v>
      </c>
      <c r="AK297" t="n">
        <v>20</v>
      </c>
      <c r="AL297" t="n">
        <v>2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HYPERLINK("http://catalog.hathitrust.org/Record/000206106","HathiTrust Record")</f>
        <v/>
      </c>
      <c r="AS297">
        <f>HYPERLINK("https://creighton-primo.hosted.exlibrisgroup.com/primo-explore/search?tab=default_tab&amp;search_scope=EVERYTHING&amp;vid=01CRU&amp;lang=en_US&amp;offset=0&amp;query=any,contains,991000252729702656","Catalog Record")</f>
        <v/>
      </c>
      <c r="AT297">
        <f>HYPERLINK("http://www.worldcat.org/oclc/9759809","WorldCat Record")</f>
        <v/>
      </c>
      <c r="AU297" t="inlineStr">
        <is>
          <t>1807575:eng</t>
        </is>
      </c>
      <c r="AV297" t="inlineStr">
        <is>
          <t>9759809</t>
        </is>
      </c>
      <c r="AW297" t="inlineStr">
        <is>
          <t>991000252729702656</t>
        </is>
      </c>
      <c r="AX297" t="inlineStr">
        <is>
          <t>991000252729702656</t>
        </is>
      </c>
      <c r="AY297" t="inlineStr">
        <is>
          <t>2255813440002656</t>
        </is>
      </c>
      <c r="AZ297" t="inlineStr">
        <is>
          <t>BOOK</t>
        </is>
      </c>
      <c r="BB297" t="inlineStr">
        <is>
          <t>9780130779250</t>
        </is>
      </c>
      <c r="BC297" t="inlineStr">
        <is>
          <t>32285000654946</t>
        </is>
      </c>
      <c r="BD297" t="inlineStr">
        <is>
          <t>893771505</t>
        </is>
      </c>
    </row>
    <row r="298">
      <c r="A298" t="inlineStr">
        <is>
          <t>No</t>
        </is>
      </c>
      <c r="B298" t="inlineStr">
        <is>
          <t>QH324 .A52 1987</t>
        </is>
      </c>
      <c r="C298" t="inlineStr">
        <is>
          <t>0                      QH 0324000A  52          1987</t>
        </is>
      </c>
      <c r="D298" t="inlineStr">
        <is>
          <t>A handbook of biological investigation / Harrison W. Ambrose, III, and Katharine Peckham Ambrose.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Ambrose, Harrison W.</t>
        </is>
      </c>
      <c r="L298" t="inlineStr">
        <is>
          <t>Winston-Salem, N.C. : Hunter Textbooks, c1987.</t>
        </is>
      </c>
      <c r="M298" t="inlineStr">
        <is>
          <t>1987</t>
        </is>
      </c>
      <c r="N298" t="inlineStr">
        <is>
          <t>4th ed.</t>
        </is>
      </c>
      <c r="O298" t="inlineStr">
        <is>
          <t>eng</t>
        </is>
      </c>
      <c r="P298" t="inlineStr">
        <is>
          <t>ncu</t>
        </is>
      </c>
      <c r="R298" t="inlineStr">
        <is>
          <t xml:space="preserve">QH </t>
        </is>
      </c>
      <c r="S298" t="n">
        <v>1</v>
      </c>
      <c r="T298" t="n">
        <v>1</v>
      </c>
      <c r="U298" t="inlineStr">
        <is>
          <t>2002-02-27</t>
        </is>
      </c>
      <c r="V298" t="inlineStr">
        <is>
          <t>2002-02-27</t>
        </is>
      </c>
      <c r="W298" t="inlineStr">
        <is>
          <t>2000-04-24</t>
        </is>
      </c>
      <c r="X298" t="inlineStr">
        <is>
          <t>2000-04-24</t>
        </is>
      </c>
      <c r="Y298" t="n">
        <v>106</v>
      </c>
      <c r="Z298" t="n">
        <v>96</v>
      </c>
      <c r="AA298" t="n">
        <v>343</v>
      </c>
      <c r="AB298" t="n">
        <v>2</v>
      </c>
      <c r="AC298" t="n">
        <v>5</v>
      </c>
      <c r="AD298" t="n">
        <v>5</v>
      </c>
      <c r="AE298" t="n">
        <v>13</v>
      </c>
      <c r="AF298" t="n">
        <v>2</v>
      </c>
      <c r="AG298" t="n">
        <v>4</v>
      </c>
      <c r="AH298" t="n">
        <v>1</v>
      </c>
      <c r="AI298" t="n">
        <v>4</v>
      </c>
      <c r="AJ298" t="n">
        <v>1</v>
      </c>
      <c r="AK298" t="n">
        <v>4</v>
      </c>
      <c r="AL298" t="n">
        <v>1</v>
      </c>
      <c r="AM298" t="n">
        <v>4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HYPERLINK("http://catalog.hathitrust.org/Record/000945407","HathiTrust Record")</f>
        <v/>
      </c>
      <c r="AS298">
        <f>HYPERLINK("https://creighton-primo.hosted.exlibrisgroup.com/primo-explore/search?tab=default_tab&amp;search_scope=EVERYTHING&amp;vid=01CRU&amp;lang=en_US&amp;offset=0&amp;query=any,contains,991001342319702656","Catalog Record")</f>
        <v/>
      </c>
      <c r="AT298">
        <f>HYPERLINK("http://www.worldcat.org/oclc/18386650","WorldCat Record")</f>
        <v/>
      </c>
      <c r="AU298" t="inlineStr">
        <is>
          <t>6602645:eng</t>
        </is>
      </c>
      <c r="AV298" t="inlineStr">
        <is>
          <t>18386650</t>
        </is>
      </c>
      <c r="AW298" t="inlineStr">
        <is>
          <t>991001342319702656</t>
        </is>
      </c>
      <c r="AX298" t="inlineStr">
        <is>
          <t>991001342319702656</t>
        </is>
      </c>
      <c r="AY298" t="inlineStr">
        <is>
          <t>2270479490002656</t>
        </is>
      </c>
      <c r="AZ298" t="inlineStr">
        <is>
          <t>BOOK</t>
        </is>
      </c>
      <c r="BB298" t="inlineStr">
        <is>
          <t>9780887250743</t>
        </is>
      </c>
      <c r="BC298" t="inlineStr">
        <is>
          <t>32285001195733</t>
        </is>
      </c>
      <c r="BD298" t="inlineStr">
        <is>
          <t>893328070</t>
        </is>
      </c>
    </row>
    <row r="299">
      <c r="A299" t="inlineStr">
        <is>
          <t>No</t>
        </is>
      </c>
      <c r="B299" t="inlineStr">
        <is>
          <t>QH324 .A54</t>
        </is>
      </c>
      <c r="C299" t="inlineStr">
        <is>
          <t>0                      QH 0324000A  54</t>
        </is>
      </c>
      <c r="D299" t="inlineStr">
        <is>
          <t>Biological science : interaction of experiments and ideas.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Biological Sciences Curriculum Study.</t>
        </is>
      </c>
      <c r="L299" t="inlineStr">
        <is>
          <t>Englewood Cliffs, N.J. : Prentice Hall, 1965.</t>
        </is>
      </c>
      <c r="M299" t="inlineStr">
        <is>
          <t>1965</t>
        </is>
      </c>
      <c r="N299" t="inlineStr">
        <is>
          <t>Teacher's ed.</t>
        </is>
      </c>
      <c r="O299" t="inlineStr">
        <is>
          <t>eng</t>
        </is>
      </c>
      <c r="P299" t="inlineStr">
        <is>
          <t>nju</t>
        </is>
      </c>
      <c r="R299" t="inlineStr">
        <is>
          <t xml:space="preserve">QH </t>
        </is>
      </c>
      <c r="S299" t="n">
        <v>9</v>
      </c>
      <c r="T299" t="n">
        <v>9</v>
      </c>
      <c r="U299" t="inlineStr">
        <is>
          <t>1999-05-27</t>
        </is>
      </c>
      <c r="V299" t="inlineStr">
        <is>
          <t>1999-05-27</t>
        </is>
      </c>
      <c r="W299" t="inlineStr">
        <is>
          <t>1995-03-15</t>
        </is>
      </c>
      <c r="X299" t="inlineStr">
        <is>
          <t>1995-03-15</t>
        </is>
      </c>
      <c r="Y299" t="n">
        <v>28</v>
      </c>
      <c r="Z299" t="n">
        <v>24</v>
      </c>
      <c r="AA299" t="n">
        <v>352</v>
      </c>
      <c r="AB299" t="n">
        <v>2</v>
      </c>
      <c r="AC299" t="n">
        <v>4</v>
      </c>
      <c r="AD299" t="n">
        <v>1</v>
      </c>
      <c r="AE299" t="n">
        <v>6</v>
      </c>
      <c r="AF299" t="n">
        <v>0</v>
      </c>
      <c r="AG299" t="n">
        <v>1</v>
      </c>
      <c r="AH299" t="n">
        <v>0</v>
      </c>
      <c r="AI299" t="n">
        <v>1</v>
      </c>
      <c r="AJ299" t="n">
        <v>0</v>
      </c>
      <c r="AK299" t="n">
        <v>2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HYPERLINK("https://creighton-primo.hosted.exlibrisgroup.com/primo-explore/search?tab=default_tab&amp;search_scope=EVERYTHING&amp;vid=01CRU&amp;lang=en_US&amp;offset=0&amp;query=any,contains,991004380859702656","Catalog Record")</f>
        <v/>
      </c>
      <c r="AT299">
        <f>HYPERLINK("http://www.worldcat.org/oclc/3222144","WorldCat Record")</f>
        <v/>
      </c>
      <c r="AU299" t="inlineStr">
        <is>
          <t>3753579637:eng</t>
        </is>
      </c>
      <c r="AV299" t="inlineStr">
        <is>
          <t>3222144</t>
        </is>
      </c>
      <c r="AW299" t="inlineStr">
        <is>
          <t>991004380859702656</t>
        </is>
      </c>
      <c r="AX299" t="inlineStr">
        <is>
          <t>991004380859702656</t>
        </is>
      </c>
      <c r="AY299" t="inlineStr">
        <is>
          <t>2257331170002656</t>
        </is>
      </c>
      <c r="AZ299" t="inlineStr">
        <is>
          <t>BOOK</t>
        </is>
      </c>
      <c r="BC299" t="inlineStr">
        <is>
          <t>32285002012259</t>
        </is>
      </c>
      <c r="BD299" t="inlineStr">
        <is>
          <t>893904834</t>
        </is>
      </c>
    </row>
    <row r="300">
      <c r="A300" t="inlineStr">
        <is>
          <t>No</t>
        </is>
      </c>
      <c r="B300" t="inlineStr">
        <is>
          <t>QH324 .B28</t>
        </is>
      </c>
      <c r="C300" t="inlineStr">
        <is>
          <t>0                      QH 0324000B  28</t>
        </is>
      </c>
      <c r="D300" t="inlineStr">
        <is>
          <t>The mathematical approach to biology and medicine [by] Norman T. J. Bailey.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Bailey, Norman T. J.</t>
        </is>
      </c>
      <c r="L300" t="inlineStr">
        <is>
          <t>London, New York, Wiley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enk</t>
        </is>
      </c>
      <c r="Q300" t="inlineStr">
        <is>
          <t>Series on quantitative methods for biologists and medical scientists</t>
        </is>
      </c>
      <c r="R300" t="inlineStr">
        <is>
          <t xml:space="preserve">QH </t>
        </is>
      </c>
      <c r="S300" t="n">
        <v>1</v>
      </c>
      <c r="T300" t="n">
        <v>1</v>
      </c>
      <c r="U300" t="inlineStr">
        <is>
          <t>2009-09-01</t>
        </is>
      </c>
      <c r="V300" t="inlineStr">
        <is>
          <t>2009-09-01</t>
        </is>
      </c>
      <c r="W300" t="inlineStr">
        <is>
          <t>1997-07-01</t>
        </is>
      </c>
      <c r="X300" t="inlineStr">
        <is>
          <t>1997-07-01</t>
        </is>
      </c>
      <c r="Y300" t="n">
        <v>655</v>
      </c>
      <c r="Z300" t="n">
        <v>504</v>
      </c>
      <c r="AA300" t="n">
        <v>512</v>
      </c>
      <c r="AB300" t="n">
        <v>6</v>
      </c>
      <c r="AC300" t="n">
        <v>6</v>
      </c>
      <c r="AD300" t="n">
        <v>22</v>
      </c>
      <c r="AE300" t="n">
        <v>22</v>
      </c>
      <c r="AF300" t="n">
        <v>5</v>
      </c>
      <c r="AG300" t="n">
        <v>5</v>
      </c>
      <c r="AH300" t="n">
        <v>4</v>
      </c>
      <c r="AI300" t="n">
        <v>4</v>
      </c>
      <c r="AJ300" t="n">
        <v>12</v>
      </c>
      <c r="AK300" t="n">
        <v>12</v>
      </c>
      <c r="AL300" t="n">
        <v>5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HYPERLINK("http://catalog.hathitrust.org/Record/001491286","HathiTrust Record")</f>
        <v/>
      </c>
      <c r="AS300">
        <f>HYPERLINK("https://creighton-primo.hosted.exlibrisgroup.com/primo-explore/search?tab=default_tab&amp;search_scope=EVERYTHING&amp;vid=01CRU&amp;lang=en_US&amp;offset=0&amp;query=any,contains,991001947809702656","Catalog Record")</f>
        <v/>
      </c>
      <c r="AT300">
        <f>HYPERLINK("http://www.worldcat.org/oclc/251022","WorldCat Record")</f>
        <v/>
      </c>
      <c r="AU300" t="inlineStr">
        <is>
          <t>1338388:eng</t>
        </is>
      </c>
      <c r="AV300" t="inlineStr">
        <is>
          <t>251022</t>
        </is>
      </c>
      <c r="AW300" t="inlineStr">
        <is>
          <t>991001947809702656</t>
        </is>
      </c>
      <c r="AX300" t="inlineStr">
        <is>
          <t>991001947809702656</t>
        </is>
      </c>
      <c r="AY300" t="inlineStr">
        <is>
          <t>2268750830002656</t>
        </is>
      </c>
      <c r="AZ300" t="inlineStr">
        <is>
          <t>BOOK</t>
        </is>
      </c>
      <c r="BC300" t="inlineStr">
        <is>
          <t>32285002868080</t>
        </is>
      </c>
      <c r="BD300" t="inlineStr">
        <is>
          <t>893891965</t>
        </is>
      </c>
    </row>
    <row r="301">
      <c r="A301" t="inlineStr">
        <is>
          <t>No</t>
        </is>
      </c>
      <c r="B301" t="inlineStr">
        <is>
          <t>QH324.2 .B46 2001</t>
        </is>
      </c>
      <c r="C301" t="inlineStr">
        <is>
          <t>0                      QH 0324200B  46          2001</t>
        </is>
      </c>
      <c r="D301" t="inlineStr">
        <is>
          <t>Digital biology : how nature is transforming our technology and our lives / Peter J. Bentley.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Bentley, P. J.</t>
        </is>
      </c>
      <c r="L301" t="inlineStr">
        <is>
          <t>New York : Simon &amp; Schuster, c2001.</t>
        </is>
      </c>
      <c r="M301" t="inlineStr">
        <is>
          <t>2001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QH </t>
        </is>
      </c>
      <c r="S301" t="n">
        <v>2</v>
      </c>
      <c r="T301" t="n">
        <v>2</v>
      </c>
      <c r="U301" t="inlineStr">
        <is>
          <t>2002-05-21</t>
        </is>
      </c>
      <c r="V301" t="inlineStr">
        <is>
          <t>2002-05-21</t>
        </is>
      </c>
      <c r="W301" t="inlineStr">
        <is>
          <t>2002-04-25</t>
        </is>
      </c>
      <c r="X301" t="inlineStr">
        <is>
          <t>2002-04-25</t>
        </is>
      </c>
      <c r="Y301" t="n">
        <v>561</v>
      </c>
      <c r="Z301" t="n">
        <v>510</v>
      </c>
      <c r="AA301" t="n">
        <v>572</v>
      </c>
      <c r="AB301" t="n">
        <v>4</v>
      </c>
      <c r="AC301" t="n">
        <v>4</v>
      </c>
      <c r="AD301" t="n">
        <v>15</v>
      </c>
      <c r="AE301" t="n">
        <v>16</v>
      </c>
      <c r="AF301" t="n">
        <v>6</v>
      </c>
      <c r="AG301" t="n">
        <v>6</v>
      </c>
      <c r="AH301" t="n">
        <v>2</v>
      </c>
      <c r="AI301" t="n">
        <v>2</v>
      </c>
      <c r="AJ301" t="n">
        <v>9</v>
      </c>
      <c r="AK301" t="n">
        <v>10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HYPERLINK("https://creighton-primo.hosted.exlibrisgroup.com/primo-explore/search?tab=default_tab&amp;search_scope=EVERYTHING&amp;vid=01CRU&amp;lang=en_US&amp;offset=0&amp;query=any,contains,991003781549702656","Catalog Record")</f>
        <v/>
      </c>
      <c r="AT301">
        <f>HYPERLINK("http://www.worldcat.org/oclc/48469189","WorldCat Record")</f>
        <v/>
      </c>
      <c r="AU301" t="inlineStr">
        <is>
          <t>792072682:eng</t>
        </is>
      </c>
      <c r="AV301" t="inlineStr">
        <is>
          <t>48469189</t>
        </is>
      </c>
      <c r="AW301" t="inlineStr">
        <is>
          <t>991003781549702656</t>
        </is>
      </c>
      <c r="AX301" t="inlineStr">
        <is>
          <t>991003781549702656</t>
        </is>
      </c>
      <c r="AY301" t="inlineStr">
        <is>
          <t>2268161510002656</t>
        </is>
      </c>
      <c r="AZ301" t="inlineStr">
        <is>
          <t>BOOK</t>
        </is>
      </c>
      <c r="BB301" t="inlineStr">
        <is>
          <t>9780743204477</t>
        </is>
      </c>
      <c r="BC301" t="inlineStr">
        <is>
          <t>32285004483623</t>
        </is>
      </c>
      <c r="BD301" t="inlineStr">
        <is>
          <t>893234582</t>
        </is>
      </c>
    </row>
    <row r="302">
      <c r="A302" t="inlineStr">
        <is>
          <t>No</t>
        </is>
      </c>
      <c r="B302" t="inlineStr">
        <is>
          <t>QH324.2 .B545 2008</t>
        </is>
      </c>
      <c r="C302" t="inlineStr">
        <is>
          <t>0                      QH 0324200B  545         2008</t>
        </is>
      </c>
      <c r="D302" t="inlineStr">
        <is>
          <t>Bioinformatics / edited by Jonathan M. Keith.</t>
        </is>
      </c>
      <c r="E302" t="inlineStr">
        <is>
          <t>V. 1</t>
        </is>
      </c>
      <c r="F302" t="inlineStr">
        <is>
          <t>Yes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Totowa, NJ : Humana, c2008.</t>
        </is>
      </c>
      <c r="M302" t="inlineStr">
        <is>
          <t>2008</t>
        </is>
      </c>
      <c r="O302" t="inlineStr">
        <is>
          <t>eng</t>
        </is>
      </c>
      <c r="P302" t="inlineStr">
        <is>
          <t>nju</t>
        </is>
      </c>
      <c r="Q302" t="inlineStr">
        <is>
          <t>Methods in molecular biology, 1064-3745 ; 452-453</t>
        </is>
      </c>
      <c r="R302" t="inlineStr">
        <is>
          <t xml:space="preserve">QH </t>
        </is>
      </c>
      <c r="S302" t="n">
        <v>1</v>
      </c>
      <c r="T302" t="n">
        <v>5</v>
      </c>
      <c r="U302" t="inlineStr">
        <is>
          <t>2009-10-26</t>
        </is>
      </c>
      <c r="V302" t="inlineStr">
        <is>
          <t>2010-08-29</t>
        </is>
      </c>
      <c r="W302" t="inlineStr">
        <is>
          <t>2009-10-26</t>
        </is>
      </c>
      <c r="X302" t="inlineStr">
        <is>
          <t>2010-01-08</t>
        </is>
      </c>
      <c r="Y302" t="n">
        <v>170</v>
      </c>
      <c r="Z302" t="n">
        <v>119</v>
      </c>
      <c r="AA302" t="n">
        <v>130</v>
      </c>
      <c r="AB302" t="n">
        <v>2</v>
      </c>
      <c r="AC302" t="n">
        <v>2</v>
      </c>
      <c r="AD302" t="n">
        <v>3</v>
      </c>
      <c r="AE302" t="n">
        <v>4</v>
      </c>
      <c r="AF302" t="n">
        <v>0</v>
      </c>
      <c r="AG302" t="n">
        <v>0</v>
      </c>
      <c r="AH302" t="n">
        <v>1</v>
      </c>
      <c r="AI302" t="n">
        <v>2</v>
      </c>
      <c r="AJ302" t="n">
        <v>3</v>
      </c>
      <c r="AK302" t="n">
        <v>4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HYPERLINK("http://catalog.hathitrust.org/Record/005843224","HathiTrust Record")</f>
        <v/>
      </c>
      <c r="AS302">
        <f>HYPERLINK("https://creighton-primo.hosted.exlibrisgroup.com/primo-explore/search?tab=default_tab&amp;search_scope=EVERYTHING&amp;vid=01CRU&amp;lang=en_US&amp;offset=0&amp;query=any,contains,991001803919702656","Catalog Record")</f>
        <v/>
      </c>
      <c r="AT302">
        <f>HYPERLINK("http://www.worldcat.org/oclc/247980954","WorldCat Record")</f>
        <v/>
      </c>
      <c r="AU302" t="inlineStr">
        <is>
          <t>5453645875:eng</t>
        </is>
      </c>
      <c r="AV302" t="inlineStr">
        <is>
          <t>247980954</t>
        </is>
      </c>
      <c r="AW302" t="inlineStr">
        <is>
          <t>991001803919702656</t>
        </is>
      </c>
      <c r="AX302" t="inlineStr">
        <is>
          <t>991001803919702656</t>
        </is>
      </c>
      <c r="AY302" t="inlineStr">
        <is>
          <t>2263827010002656</t>
        </is>
      </c>
      <c r="AZ302" t="inlineStr">
        <is>
          <t>BOOK</t>
        </is>
      </c>
      <c r="BB302" t="inlineStr">
        <is>
          <t>9781588297075</t>
        </is>
      </c>
      <c r="BC302" t="inlineStr">
        <is>
          <t>32285005548663</t>
        </is>
      </c>
      <c r="BD302" t="inlineStr">
        <is>
          <t>893408379</t>
        </is>
      </c>
    </row>
    <row r="303">
      <c r="A303" t="inlineStr">
        <is>
          <t>No</t>
        </is>
      </c>
      <c r="B303" t="inlineStr">
        <is>
          <t>QH324.2 .E4613 1994</t>
        </is>
      </c>
      <c r="C303" t="inlineStr">
        <is>
          <t>0                      QH 0324200E  4613        1994</t>
        </is>
      </c>
      <c r="D303" t="inlineStr">
        <is>
          <t>The garden in the machine : the emerging science of artificial life / Claus Emmeche ; translated by Steven Sampson.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Emmeche, Claus, 1956-</t>
        </is>
      </c>
      <c r="L303" t="inlineStr">
        <is>
          <t>Princeton, N.J. : Princeton University Press, c1994.</t>
        </is>
      </c>
      <c r="M303" t="inlineStr">
        <is>
          <t>1994</t>
        </is>
      </c>
      <c r="O303" t="inlineStr">
        <is>
          <t>eng</t>
        </is>
      </c>
      <c r="P303" t="inlineStr">
        <is>
          <t>nju</t>
        </is>
      </c>
      <c r="R303" t="inlineStr">
        <is>
          <t xml:space="preserve">QH </t>
        </is>
      </c>
      <c r="S303" t="n">
        <v>3</v>
      </c>
      <c r="T303" t="n">
        <v>3</v>
      </c>
      <c r="U303" t="inlineStr">
        <is>
          <t>2007-09-09</t>
        </is>
      </c>
      <c r="V303" t="inlineStr">
        <is>
          <t>2007-09-09</t>
        </is>
      </c>
      <c r="W303" t="inlineStr">
        <is>
          <t>1994-12-22</t>
        </is>
      </c>
      <c r="X303" t="inlineStr">
        <is>
          <t>1994-12-22</t>
        </is>
      </c>
      <c r="Y303" t="n">
        <v>647</v>
      </c>
      <c r="Z303" t="n">
        <v>538</v>
      </c>
      <c r="AA303" t="n">
        <v>546</v>
      </c>
      <c r="AB303" t="n">
        <v>4</v>
      </c>
      <c r="AC303" t="n">
        <v>4</v>
      </c>
      <c r="AD303" t="n">
        <v>24</v>
      </c>
      <c r="AE303" t="n">
        <v>24</v>
      </c>
      <c r="AF303" t="n">
        <v>9</v>
      </c>
      <c r="AG303" t="n">
        <v>9</v>
      </c>
      <c r="AH303" t="n">
        <v>3</v>
      </c>
      <c r="AI303" t="n">
        <v>3</v>
      </c>
      <c r="AJ303" t="n">
        <v>14</v>
      </c>
      <c r="AK303" t="n">
        <v>14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HYPERLINK("https://creighton-primo.hosted.exlibrisgroup.com/primo-explore/search?tab=default_tab&amp;search_scope=EVERYTHING&amp;vid=01CRU&amp;lang=en_US&amp;offset=0&amp;query=any,contains,991002252859702656","Catalog Record")</f>
        <v/>
      </c>
      <c r="AT303">
        <f>HYPERLINK("http://www.worldcat.org/oclc/29184335","WorldCat Record")</f>
        <v/>
      </c>
      <c r="AU303" t="inlineStr">
        <is>
          <t>20920662:eng</t>
        </is>
      </c>
      <c r="AV303" t="inlineStr">
        <is>
          <t>29184335</t>
        </is>
      </c>
      <c r="AW303" t="inlineStr">
        <is>
          <t>991002252859702656</t>
        </is>
      </c>
      <c r="AX303" t="inlineStr">
        <is>
          <t>991002252859702656</t>
        </is>
      </c>
      <c r="AY303" t="inlineStr">
        <is>
          <t>2263448730002656</t>
        </is>
      </c>
      <c r="AZ303" t="inlineStr">
        <is>
          <t>BOOK</t>
        </is>
      </c>
      <c r="BB303" t="inlineStr">
        <is>
          <t>9780691033303</t>
        </is>
      </c>
      <c r="BC303" t="inlineStr">
        <is>
          <t>32285001978641</t>
        </is>
      </c>
      <c r="BD303" t="inlineStr">
        <is>
          <t>893603381</t>
        </is>
      </c>
    </row>
    <row r="304">
      <c r="A304" t="inlineStr">
        <is>
          <t>No</t>
        </is>
      </c>
      <c r="B304" t="inlineStr">
        <is>
          <t>QH324.2 .G73 2001</t>
        </is>
      </c>
      <c r="C304" t="inlineStr">
        <is>
          <t>0                      QH 0324200G  73          2001</t>
        </is>
      </c>
      <c r="D304" t="inlineStr">
        <is>
          <t>Creation : life and how to make it / Steve Grand.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Grand, Steve.</t>
        </is>
      </c>
      <c r="L304" t="inlineStr">
        <is>
          <t>Cambridge, Mass. : Harvard University Press, c2000, 2001.</t>
        </is>
      </c>
      <c r="M304" t="inlineStr">
        <is>
          <t>2001</t>
        </is>
      </c>
      <c r="O304" t="inlineStr">
        <is>
          <t>eng</t>
        </is>
      </c>
      <c r="P304" t="inlineStr">
        <is>
          <t>mau</t>
        </is>
      </c>
      <c r="R304" t="inlineStr">
        <is>
          <t xml:space="preserve">QH </t>
        </is>
      </c>
      <c r="S304" t="n">
        <v>5</v>
      </c>
      <c r="T304" t="n">
        <v>5</v>
      </c>
      <c r="U304" t="inlineStr">
        <is>
          <t>2007-08-01</t>
        </is>
      </c>
      <c r="V304" t="inlineStr">
        <is>
          <t>2007-08-01</t>
        </is>
      </c>
      <c r="W304" t="inlineStr">
        <is>
          <t>2001-11-28</t>
        </is>
      </c>
      <c r="X304" t="inlineStr">
        <is>
          <t>2001-11-28</t>
        </is>
      </c>
      <c r="Y304" t="n">
        <v>567</v>
      </c>
      <c r="Z304" t="n">
        <v>525</v>
      </c>
      <c r="AA304" t="n">
        <v>568</v>
      </c>
      <c r="AB304" t="n">
        <v>6</v>
      </c>
      <c r="AC304" t="n">
        <v>6</v>
      </c>
      <c r="AD304" t="n">
        <v>29</v>
      </c>
      <c r="AE304" t="n">
        <v>31</v>
      </c>
      <c r="AF304" t="n">
        <v>12</v>
      </c>
      <c r="AG304" t="n">
        <v>12</v>
      </c>
      <c r="AH304" t="n">
        <v>5</v>
      </c>
      <c r="AI304" t="n">
        <v>6</v>
      </c>
      <c r="AJ304" t="n">
        <v>13</v>
      </c>
      <c r="AK304" t="n">
        <v>14</v>
      </c>
      <c r="AL304" t="n">
        <v>5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HYPERLINK("http://catalog.hathitrust.org/Record/003572690","HathiTrust Record")</f>
        <v/>
      </c>
      <c r="AS304">
        <f>HYPERLINK("https://creighton-primo.hosted.exlibrisgroup.com/primo-explore/search?tab=default_tab&amp;search_scope=EVERYTHING&amp;vid=01CRU&amp;lang=en_US&amp;offset=0&amp;query=any,contains,991003667399702656","Catalog Record")</f>
        <v/>
      </c>
      <c r="AT304">
        <f>HYPERLINK("http://www.worldcat.org/oclc/46538592","WorldCat Record")</f>
        <v/>
      </c>
      <c r="AU304" t="inlineStr">
        <is>
          <t>724931:eng</t>
        </is>
      </c>
      <c r="AV304" t="inlineStr">
        <is>
          <t>46538592</t>
        </is>
      </c>
      <c r="AW304" t="inlineStr">
        <is>
          <t>991003667399702656</t>
        </is>
      </c>
      <c r="AX304" t="inlineStr">
        <is>
          <t>991003667399702656</t>
        </is>
      </c>
      <c r="AY304" t="inlineStr">
        <is>
          <t>2267798250002656</t>
        </is>
      </c>
      <c r="AZ304" t="inlineStr">
        <is>
          <t>BOOK</t>
        </is>
      </c>
      <c r="BB304" t="inlineStr">
        <is>
          <t>9780674006546</t>
        </is>
      </c>
      <c r="BC304" t="inlineStr">
        <is>
          <t>32285004414487</t>
        </is>
      </c>
      <c r="BD304" t="inlineStr">
        <is>
          <t>893240457</t>
        </is>
      </c>
    </row>
    <row r="305">
      <c r="A305" t="inlineStr">
        <is>
          <t>No</t>
        </is>
      </c>
      <c r="B305" t="inlineStr">
        <is>
          <t>QH324.3 .R33 2002</t>
        </is>
      </c>
      <c r="C305" t="inlineStr">
        <is>
          <t>0                      QH 0324300R  33          2002</t>
        </is>
      </c>
      <c r="D305" t="inlineStr">
        <is>
          <t>Radioisotopes in biology : a practical approach / edited by R.J. Slater.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Oxford ; New York : Oxford University Press, 2002.</t>
        </is>
      </c>
      <c r="M305" t="inlineStr">
        <is>
          <t>2002</t>
        </is>
      </c>
      <c r="N305" t="inlineStr">
        <is>
          <t>2nd ed.</t>
        </is>
      </c>
      <c r="O305" t="inlineStr">
        <is>
          <t>eng</t>
        </is>
      </c>
      <c r="P305" t="inlineStr">
        <is>
          <t>enk</t>
        </is>
      </c>
      <c r="Q305" t="inlineStr">
        <is>
          <t>The Practical approach series ; no. 252</t>
        </is>
      </c>
      <c r="R305" t="inlineStr">
        <is>
          <t xml:space="preserve">QH </t>
        </is>
      </c>
      <c r="S305" t="n">
        <v>3</v>
      </c>
      <c r="T305" t="n">
        <v>3</v>
      </c>
      <c r="U305" t="inlineStr">
        <is>
          <t>2010-10-04</t>
        </is>
      </c>
      <c r="V305" t="inlineStr">
        <is>
          <t>2010-10-04</t>
        </is>
      </c>
      <c r="W305" t="inlineStr">
        <is>
          <t>2003-03-26</t>
        </is>
      </c>
      <c r="X305" t="inlineStr">
        <is>
          <t>2003-03-26</t>
        </is>
      </c>
      <c r="Y305" t="n">
        <v>160</v>
      </c>
      <c r="Z305" t="n">
        <v>101</v>
      </c>
      <c r="AA305" t="n">
        <v>253</v>
      </c>
      <c r="AB305" t="n">
        <v>1</v>
      </c>
      <c r="AC305" t="n">
        <v>1</v>
      </c>
      <c r="AD305" t="n">
        <v>4</v>
      </c>
      <c r="AE305" t="n">
        <v>8</v>
      </c>
      <c r="AF305" t="n">
        <v>3</v>
      </c>
      <c r="AG305" t="n">
        <v>5</v>
      </c>
      <c r="AH305" t="n">
        <v>1</v>
      </c>
      <c r="AI305" t="n">
        <v>2</v>
      </c>
      <c r="AJ305" t="n">
        <v>2</v>
      </c>
      <c r="AK305" t="n">
        <v>5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HYPERLINK("https://creighton-primo.hosted.exlibrisgroup.com/primo-explore/search?tab=default_tab&amp;search_scope=EVERYTHING&amp;vid=01CRU&amp;lang=en_US&amp;offset=0&amp;query=any,contains,991003998969702656","Catalog Record")</f>
        <v/>
      </c>
      <c r="AT305">
        <f>HYPERLINK("http://www.worldcat.org/oclc/47521283","WorldCat Record")</f>
        <v/>
      </c>
      <c r="AU305" t="inlineStr">
        <is>
          <t>808850381:eng</t>
        </is>
      </c>
      <c r="AV305" t="inlineStr">
        <is>
          <t>47521283</t>
        </is>
      </c>
      <c r="AW305" t="inlineStr">
        <is>
          <t>991003998969702656</t>
        </is>
      </c>
      <c r="AX305" t="inlineStr">
        <is>
          <t>991003998969702656</t>
        </is>
      </c>
      <c r="AY305" t="inlineStr">
        <is>
          <t>2264154900002656</t>
        </is>
      </c>
      <c r="AZ305" t="inlineStr">
        <is>
          <t>BOOK</t>
        </is>
      </c>
      <c r="BB305" t="inlineStr">
        <is>
          <t>9780199638260</t>
        </is>
      </c>
      <c r="BC305" t="inlineStr">
        <is>
          <t>32285004686746</t>
        </is>
      </c>
      <c r="BD305" t="inlineStr">
        <is>
          <t>893247035</t>
        </is>
      </c>
    </row>
    <row r="306">
      <c r="A306" t="inlineStr">
        <is>
          <t>No</t>
        </is>
      </c>
      <c r="B306" t="inlineStr">
        <is>
          <t>QH324.8 .M63 1984</t>
        </is>
      </c>
      <c r="C306" t="inlineStr">
        <is>
          <t>0                      QH 0324800M  63          1984</t>
        </is>
      </c>
      <c r="D306" t="inlineStr">
        <is>
          <t>Modeling and analysis in biomedicine / edited by C. Nicolini.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Singapore : World Scientific, c1984.</t>
        </is>
      </c>
      <c r="M306" t="inlineStr">
        <is>
          <t>1984</t>
        </is>
      </c>
      <c r="O306" t="inlineStr">
        <is>
          <t>eng</t>
        </is>
      </c>
      <c r="P306" t="inlineStr">
        <is>
          <t xml:space="preserve">si </t>
        </is>
      </c>
      <c r="R306" t="inlineStr">
        <is>
          <t xml:space="preserve">QH </t>
        </is>
      </c>
      <c r="S306" t="n">
        <v>5</v>
      </c>
      <c r="T306" t="n">
        <v>5</v>
      </c>
      <c r="U306" t="inlineStr">
        <is>
          <t>2000-10-09</t>
        </is>
      </c>
      <c r="V306" t="inlineStr">
        <is>
          <t>2000-10-09</t>
        </is>
      </c>
      <c r="W306" t="inlineStr">
        <is>
          <t>1993-03-22</t>
        </is>
      </c>
      <c r="X306" t="inlineStr">
        <is>
          <t>1993-03-22</t>
        </is>
      </c>
      <c r="Y306" t="n">
        <v>91</v>
      </c>
      <c r="Z306" t="n">
        <v>65</v>
      </c>
      <c r="AA306" t="n">
        <v>66</v>
      </c>
      <c r="AB306" t="n">
        <v>3</v>
      </c>
      <c r="AC306" t="n">
        <v>3</v>
      </c>
      <c r="AD306" t="n">
        <v>3</v>
      </c>
      <c r="AE306" t="n">
        <v>3</v>
      </c>
      <c r="AF306" t="n">
        <v>0</v>
      </c>
      <c r="AG306" t="n">
        <v>0</v>
      </c>
      <c r="AH306" t="n">
        <v>1</v>
      </c>
      <c r="AI306" t="n">
        <v>1</v>
      </c>
      <c r="AJ306" t="n">
        <v>1</v>
      </c>
      <c r="AK306" t="n">
        <v>1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HYPERLINK("http://catalog.hathitrust.org/Record/007902049","HathiTrust Record")</f>
        <v/>
      </c>
      <c r="AS306">
        <f>HYPERLINK("https://creighton-primo.hosted.exlibrisgroup.com/primo-explore/search?tab=default_tab&amp;search_scope=EVERYTHING&amp;vid=01CRU&amp;lang=en_US&amp;offset=0&amp;query=any,contains,991005404649702656","Catalog Record")</f>
        <v/>
      </c>
      <c r="AT306">
        <f>HYPERLINK("http://www.worldcat.org/oclc/11339534","WorldCat Record")</f>
        <v/>
      </c>
      <c r="AU306" t="inlineStr">
        <is>
          <t>195492506:eng</t>
        </is>
      </c>
      <c r="AV306" t="inlineStr">
        <is>
          <t>11339534</t>
        </is>
      </c>
      <c r="AW306" t="inlineStr">
        <is>
          <t>991005404649702656</t>
        </is>
      </c>
      <c r="AX306" t="inlineStr">
        <is>
          <t>991005404649702656</t>
        </is>
      </c>
      <c r="AY306" t="inlineStr">
        <is>
          <t>2267854300002656</t>
        </is>
      </c>
      <c r="AZ306" t="inlineStr">
        <is>
          <t>BOOK</t>
        </is>
      </c>
      <c r="BB306" t="inlineStr">
        <is>
          <t>9789971950811</t>
        </is>
      </c>
      <c r="BC306" t="inlineStr">
        <is>
          <t>32285001552834</t>
        </is>
      </c>
      <c r="BD306" t="inlineStr">
        <is>
          <t>893601155</t>
        </is>
      </c>
    </row>
    <row r="307">
      <c r="A307" t="inlineStr">
        <is>
          <t>No</t>
        </is>
      </c>
      <c r="B307" t="inlineStr">
        <is>
          <t>QH324.9.B55 K46 1987</t>
        </is>
      </c>
      <c r="C307" t="inlineStr">
        <is>
          <t>0                      QH 0324900B  55                 K  46          1987</t>
        </is>
      </c>
      <c r="D307" t="inlineStr">
        <is>
          <t>Wildlife radio tagging : equipment, field techniques and data analysis / Robert Kenward.</t>
        </is>
      </c>
      <c r="F307" t="inlineStr">
        <is>
          <t>No</t>
        </is>
      </c>
      <c r="G307" t="inlineStr">
        <is>
          <t>1</t>
        </is>
      </c>
      <c r="H307" t="inlineStr">
        <is>
          <t>Yes</t>
        </is>
      </c>
      <c r="I307" t="inlineStr">
        <is>
          <t>No</t>
        </is>
      </c>
      <c r="J307" t="inlineStr">
        <is>
          <t>0</t>
        </is>
      </c>
      <c r="K307" t="inlineStr">
        <is>
          <t>Kenward, Robert.</t>
        </is>
      </c>
      <c r="L307" t="inlineStr">
        <is>
          <t>London : Academic Press, 1987.</t>
        </is>
      </c>
      <c r="M307" t="inlineStr">
        <is>
          <t>1987</t>
        </is>
      </c>
      <c r="O307" t="inlineStr">
        <is>
          <t>eng</t>
        </is>
      </c>
      <c r="P307" t="inlineStr">
        <is>
          <t>enk</t>
        </is>
      </c>
      <c r="Q307" t="inlineStr">
        <is>
          <t>Biological techniques series</t>
        </is>
      </c>
      <c r="R307" t="inlineStr">
        <is>
          <t xml:space="preserve">QH </t>
        </is>
      </c>
      <c r="S307" t="n">
        <v>2</v>
      </c>
      <c r="T307" t="n">
        <v>2</v>
      </c>
      <c r="U307" t="inlineStr">
        <is>
          <t>1994-07-06</t>
        </is>
      </c>
      <c r="V307" t="inlineStr">
        <is>
          <t>1994-07-06</t>
        </is>
      </c>
      <c r="W307" t="inlineStr">
        <is>
          <t>1993-03-22</t>
        </is>
      </c>
      <c r="X307" t="inlineStr">
        <is>
          <t>1993-03-22</t>
        </is>
      </c>
      <c r="Y307" t="n">
        <v>426</v>
      </c>
      <c r="Z307" t="n">
        <v>264</v>
      </c>
      <c r="AA307" t="n">
        <v>270</v>
      </c>
      <c r="AB307" t="n">
        <v>2</v>
      </c>
      <c r="AC307" t="n">
        <v>2</v>
      </c>
      <c r="AD307" t="n">
        <v>8</v>
      </c>
      <c r="AE307" t="n">
        <v>8</v>
      </c>
      <c r="AF307" t="n">
        <v>3</v>
      </c>
      <c r="AG307" t="n">
        <v>3</v>
      </c>
      <c r="AH307" t="n">
        <v>1</v>
      </c>
      <c r="AI307" t="n">
        <v>1</v>
      </c>
      <c r="AJ307" t="n">
        <v>4</v>
      </c>
      <c r="AK307" t="n">
        <v>4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HYPERLINK("http://catalog.hathitrust.org/Record/000876571","HathiTrust Record")</f>
        <v/>
      </c>
      <c r="AS307">
        <f>HYPERLINK("https://creighton-primo.hosted.exlibrisgroup.com/primo-explore/search?tab=default_tab&amp;search_scope=EVERYTHING&amp;vid=01CRU&amp;lang=en_US&amp;offset=0&amp;query=any,contains,991001085039702656","Catalog Record")</f>
        <v/>
      </c>
      <c r="AT307">
        <f>HYPERLINK("http://www.worldcat.org/oclc/18166407","WorldCat Record")</f>
        <v/>
      </c>
      <c r="AU307" t="inlineStr">
        <is>
          <t>808348930:eng</t>
        </is>
      </c>
      <c r="AV307" t="inlineStr">
        <is>
          <t>18166407</t>
        </is>
      </c>
      <c r="AW307" t="inlineStr">
        <is>
          <t>991001085039702656</t>
        </is>
      </c>
      <c r="AX307" t="inlineStr">
        <is>
          <t>991001085039702656</t>
        </is>
      </c>
      <c r="AY307" t="inlineStr">
        <is>
          <t>2260278370002656</t>
        </is>
      </c>
      <c r="AZ307" t="inlineStr">
        <is>
          <t>BOOK</t>
        </is>
      </c>
      <c r="BB307" t="inlineStr">
        <is>
          <t>9780124042407</t>
        </is>
      </c>
      <c r="BC307" t="inlineStr">
        <is>
          <t>32285001552842</t>
        </is>
      </c>
      <c r="BD307" t="inlineStr">
        <is>
          <t>893534424</t>
        </is>
      </c>
    </row>
    <row r="308">
      <c r="A308" t="inlineStr">
        <is>
          <t>No</t>
        </is>
      </c>
      <c r="B308" t="inlineStr">
        <is>
          <t>QH324.9.C7 E34 1987</t>
        </is>
      </c>
      <c r="C308" t="inlineStr">
        <is>
          <t>0                      QH 0324900C  7                  E  34          1987</t>
        </is>
      </c>
      <c r="D308" t="inlineStr">
        <is>
          <t>The Effects of low temperatures on biological systems / edited by B.W.W. Grout, G.J. Morris.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London : E. Arnold, 1987.</t>
        </is>
      </c>
      <c r="M308" t="inlineStr">
        <is>
          <t>1987</t>
        </is>
      </c>
      <c r="O308" t="inlineStr">
        <is>
          <t>eng</t>
        </is>
      </c>
      <c r="P308" t="inlineStr">
        <is>
          <t>enk</t>
        </is>
      </c>
      <c r="R308" t="inlineStr">
        <is>
          <t xml:space="preserve">QH </t>
        </is>
      </c>
      <c r="S308" t="n">
        <v>8</v>
      </c>
      <c r="T308" t="n">
        <v>8</v>
      </c>
      <c r="U308" t="inlineStr">
        <is>
          <t>1998-03-18</t>
        </is>
      </c>
      <c r="V308" t="inlineStr">
        <is>
          <t>1998-03-18</t>
        </is>
      </c>
      <c r="W308" t="inlineStr">
        <is>
          <t>1992-05-01</t>
        </is>
      </c>
      <c r="X308" t="inlineStr">
        <is>
          <t>1992-05-01</t>
        </is>
      </c>
      <c r="Y308" t="n">
        <v>193</v>
      </c>
      <c r="Z308" t="n">
        <v>108</v>
      </c>
      <c r="AA308" t="n">
        <v>152</v>
      </c>
      <c r="AB308" t="n">
        <v>2</v>
      </c>
      <c r="AC308" t="n">
        <v>2</v>
      </c>
      <c r="AD308" t="n">
        <v>3</v>
      </c>
      <c r="AE308" t="n">
        <v>3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HYPERLINK("https://creighton-primo.hosted.exlibrisgroup.com/primo-explore/search?tab=default_tab&amp;search_scope=EVERYTHING&amp;vid=01CRU&amp;lang=en_US&amp;offset=0&amp;query=any,contains,991001244579702656","Catalog Record")</f>
        <v/>
      </c>
      <c r="AT308">
        <f>HYPERLINK("http://www.worldcat.org/oclc/17648867","WorldCat Record")</f>
        <v/>
      </c>
      <c r="AU308" t="inlineStr">
        <is>
          <t>350156469:eng</t>
        </is>
      </c>
      <c r="AV308" t="inlineStr">
        <is>
          <t>17648867</t>
        </is>
      </c>
      <c r="AW308" t="inlineStr">
        <is>
          <t>991001244579702656</t>
        </is>
      </c>
      <c r="AX308" t="inlineStr">
        <is>
          <t>991001244579702656</t>
        </is>
      </c>
      <c r="AY308" t="inlineStr">
        <is>
          <t>2258709890002656</t>
        </is>
      </c>
      <c r="AZ308" t="inlineStr">
        <is>
          <t>BOOK</t>
        </is>
      </c>
      <c r="BB308" t="inlineStr">
        <is>
          <t>9780713128932</t>
        </is>
      </c>
      <c r="BC308" t="inlineStr">
        <is>
          <t>32285001091007</t>
        </is>
      </c>
      <c r="BD308" t="inlineStr">
        <is>
          <t>893261782</t>
        </is>
      </c>
    </row>
    <row r="309">
      <c r="A309" t="inlineStr">
        <is>
          <t>No</t>
        </is>
      </c>
      <c r="B309" t="inlineStr">
        <is>
          <t>QH324.9.C7 H68</t>
        </is>
      </c>
      <c r="C309" t="inlineStr">
        <is>
          <t>0                      QH 0324900C  7                  H  68</t>
        </is>
      </c>
      <c r="D309" t="inlineStr">
        <is>
          <t>Freeze-drying biological specimens : a laboratory manual / by Rolland O. Hower ; with introd. by R. H. Harris.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Hower, Rolland O.</t>
        </is>
      </c>
      <c r="L309" t="inlineStr">
        <is>
          <t>Washington : Smithsonian Institution Press, 1978.</t>
        </is>
      </c>
      <c r="M309" t="inlineStr">
        <is>
          <t>1978</t>
        </is>
      </c>
      <c r="O309" t="inlineStr">
        <is>
          <t>eng</t>
        </is>
      </c>
      <c r="P309" t="inlineStr">
        <is>
          <t>dcu</t>
        </is>
      </c>
      <c r="R309" t="inlineStr">
        <is>
          <t xml:space="preserve">QH </t>
        </is>
      </c>
      <c r="S309" t="n">
        <v>7</v>
      </c>
      <c r="T309" t="n">
        <v>7</v>
      </c>
      <c r="U309" t="inlineStr">
        <is>
          <t>2006-05-25</t>
        </is>
      </c>
      <c r="V309" t="inlineStr">
        <is>
          <t>2006-05-25</t>
        </is>
      </c>
      <c r="W309" t="inlineStr">
        <is>
          <t>1993-03-22</t>
        </is>
      </c>
      <c r="X309" t="inlineStr">
        <is>
          <t>1993-03-22</t>
        </is>
      </c>
      <c r="Y309" t="n">
        <v>351</v>
      </c>
      <c r="Z309" t="n">
        <v>293</v>
      </c>
      <c r="AA309" t="n">
        <v>302</v>
      </c>
      <c r="AB309" t="n">
        <v>3</v>
      </c>
      <c r="AC309" t="n">
        <v>3</v>
      </c>
      <c r="AD309" t="n">
        <v>10</v>
      </c>
      <c r="AE309" t="n">
        <v>10</v>
      </c>
      <c r="AF309" t="n">
        <v>6</v>
      </c>
      <c r="AG309" t="n">
        <v>6</v>
      </c>
      <c r="AH309" t="n">
        <v>1</v>
      </c>
      <c r="AI309" t="n">
        <v>1</v>
      </c>
      <c r="AJ309" t="n">
        <v>4</v>
      </c>
      <c r="AK309" t="n">
        <v>4</v>
      </c>
      <c r="AL309" t="n">
        <v>2</v>
      </c>
      <c r="AM309" t="n">
        <v>2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HYPERLINK("http://catalog.hathitrust.org/Record/000221655","HathiTrust Record")</f>
        <v/>
      </c>
      <c r="AS309">
        <f>HYPERLINK("https://creighton-primo.hosted.exlibrisgroup.com/primo-explore/search?tab=default_tab&amp;search_scope=EVERYTHING&amp;vid=01CRU&amp;lang=en_US&amp;offset=0&amp;query=any,contains,991004658339702656","Catalog Record")</f>
        <v/>
      </c>
      <c r="AT309">
        <f>HYPERLINK("http://www.worldcat.org/oclc/4495962","WorldCat Record")</f>
        <v/>
      </c>
      <c r="AU309" t="inlineStr">
        <is>
          <t>522329:eng</t>
        </is>
      </c>
      <c r="AV309" t="inlineStr">
        <is>
          <t>4495962</t>
        </is>
      </c>
      <c r="AW309" t="inlineStr">
        <is>
          <t>991004658339702656</t>
        </is>
      </c>
      <c r="AX309" t="inlineStr">
        <is>
          <t>991004658339702656</t>
        </is>
      </c>
      <c r="AY309" t="inlineStr">
        <is>
          <t>2267909500002656</t>
        </is>
      </c>
      <c r="AZ309" t="inlineStr">
        <is>
          <t>BOOK</t>
        </is>
      </c>
      <c r="BB309" t="inlineStr">
        <is>
          <t>9780874745320</t>
        </is>
      </c>
      <c r="BC309" t="inlineStr">
        <is>
          <t>32285001552867</t>
        </is>
      </c>
      <c r="BD309" t="inlineStr">
        <is>
          <t>893424045</t>
        </is>
      </c>
    </row>
    <row r="310">
      <c r="A310" t="inlineStr">
        <is>
          <t>No</t>
        </is>
      </c>
      <c r="B310" t="inlineStr">
        <is>
          <t>QH324.9.C7 R68</t>
        </is>
      </c>
      <c r="C310" t="inlineStr">
        <is>
          <t>0                      QH 0324900C  7                  R  68</t>
        </is>
      </c>
      <c r="D310" t="inlineStr">
        <is>
          <t>Round Table Conference on the Cryogenic preservation of Cell Cultures : summaries of presentations : a meeting held under the auspices of the United States National Committee for the International Institute of Refrigeration of the National Research Council, at the National Academy of Sciences, Washington , D.C. / edited by A. P. Rinfret, B. LaSalle.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Washington : National Academy of Sciences, 1975.</t>
        </is>
      </c>
      <c r="M310" t="inlineStr">
        <is>
          <t>1975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QH </t>
        </is>
      </c>
      <c r="S310" t="n">
        <v>2</v>
      </c>
      <c r="T310" t="n">
        <v>2</v>
      </c>
      <c r="U310" t="inlineStr">
        <is>
          <t>1996-11-06</t>
        </is>
      </c>
      <c r="V310" t="inlineStr">
        <is>
          <t>1996-11-06</t>
        </is>
      </c>
      <c r="W310" t="inlineStr">
        <is>
          <t>1993-08-31</t>
        </is>
      </c>
      <c r="X310" t="inlineStr">
        <is>
          <t>1993-08-31</t>
        </is>
      </c>
      <c r="Y310" t="n">
        <v>218</v>
      </c>
      <c r="Z310" t="n">
        <v>204</v>
      </c>
      <c r="AA310" t="n">
        <v>206</v>
      </c>
      <c r="AB310" t="n">
        <v>2</v>
      </c>
      <c r="AC310" t="n">
        <v>2</v>
      </c>
      <c r="AD310" t="n">
        <v>4</v>
      </c>
      <c r="AE310" t="n">
        <v>4</v>
      </c>
      <c r="AF310" t="n">
        <v>0</v>
      </c>
      <c r="AG310" t="n">
        <v>0</v>
      </c>
      <c r="AH310" t="n">
        <v>0</v>
      </c>
      <c r="AI310" t="n">
        <v>0</v>
      </c>
      <c r="AJ310" t="n">
        <v>3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HYPERLINK("http://catalog.hathitrust.org/Record/000017542","HathiTrust Record")</f>
        <v/>
      </c>
      <c r="AS310">
        <f>HYPERLINK("https://creighton-primo.hosted.exlibrisgroup.com/primo-explore/search?tab=default_tab&amp;search_scope=EVERYTHING&amp;vid=01CRU&amp;lang=en_US&amp;offset=0&amp;query=any,contains,991003719369702656","Catalog Record")</f>
        <v/>
      </c>
      <c r="AT310">
        <f>HYPERLINK("http://www.worldcat.org/oclc/1365098","WorldCat Record")</f>
        <v/>
      </c>
      <c r="AU310" t="inlineStr">
        <is>
          <t>2271833:eng</t>
        </is>
      </c>
      <c r="AV310" t="inlineStr">
        <is>
          <t>1365098</t>
        </is>
      </c>
      <c r="AW310" t="inlineStr">
        <is>
          <t>991003719369702656</t>
        </is>
      </c>
      <c r="AX310" t="inlineStr">
        <is>
          <t>991003719369702656</t>
        </is>
      </c>
      <c r="AY310" t="inlineStr">
        <is>
          <t>2256027100002656</t>
        </is>
      </c>
      <c r="AZ310" t="inlineStr">
        <is>
          <t>BOOK</t>
        </is>
      </c>
      <c r="BB310" t="inlineStr">
        <is>
          <t>9780309023443</t>
        </is>
      </c>
      <c r="BC310" t="inlineStr">
        <is>
          <t>32285001762870</t>
        </is>
      </c>
      <c r="BD310" t="inlineStr">
        <is>
          <t>893258765</t>
        </is>
      </c>
    </row>
    <row r="311">
      <c r="A311" t="inlineStr">
        <is>
          <t>No</t>
        </is>
      </c>
      <c r="B311" t="inlineStr">
        <is>
          <t>QH324.9.E36 K56 1976</t>
        </is>
      </c>
      <c r="C311" t="inlineStr">
        <is>
          <t>0                      QH 0324900E  36                 K  56          1976</t>
        </is>
      </c>
      <c r="D311" t="inlineStr">
        <is>
          <t>Magnetic resonance of biomolecules : an introduction to the theory and practice of NMR and ESR in biological systems / P. F. Knowles, D. Marsh, H. W. E. Rattle.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Knowles, P. F.</t>
        </is>
      </c>
      <c r="L311" t="inlineStr">
        <is>
          <t>London ; New York : Wiley, [c1976]</t>
        </is>
      </c>
      <c r="M311" t="inlineStr">
        <is>
          <t>1976</t>
        </is>
      </c>
      <c r="O311" t="inlineStr">
        <is>
          <t>eng</t>
        </is>
      </c>
      <c r="P311" t="inlineStr">
        <is>
          <t>enk</t>
        </is>
      </c>
      <c r="R311" t="inlineStr">
        <is>
          <t xml:space="preserve">QH </t>
        </is>
      </c>
      <c r="S311" t="n">
        <v>1</v>
      </c>
      <c r="T311" t="n">
        <v>1</v>
      </c>
      <c r="U311" t="inlineStr">
        <is>
          <t>2003-04-10</t>
        </is>
      </c>
      <c r="V311" t="inlineStr">
        <is>
          <t>2003-04-10</t>
        </is>
      </c>
      <c r="W311" t="inlineStr">
        <is>
          <t>1997-07-01</t>
        </is>
      </c>
      <c r="X311" t="inlineStr">
        <is>
          <t>1997-07-01</t>
        </is>
      </c>
      <c r="Y311" t="n">
        <v>468</v>
      </c>
      <c r="Z311" t="n">
        <v>346</v>
      </c>
      <c r="AA311" t="n">
        <v>349</v>
      </c>
      <c r="AB311" t="n">
        <v>3</v>
      </c>
      <c r="AC311" t="n">
        <v>3</v>
      </c>
      <c r="AD311" t="n">
        <v>18</v>
      </c>
      <c r="AE311" t="n">
        <v>18</v>
      </c>
      <c r="AF311" t="n">
        <v>4</v>
      </c>
      <c r="AG311" t="n">
        <v>4</v>
      </c>
      <c r="AH311" t="n">
        <v>5</v>
      </c>
      <c r="AI311" t="n">
        <v>5</v>
      </c>
      <c r="AJ311" t="n">
        <v>9</v>
      </c>
      <c r="AK311" t="n">
        <v>9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HYPERLINK("http://catalog.hathitrust.org/Record/000142719","HathiTrust Record")</f>
        <v/>
      </c>
      <c r="AS311">
        <f>HYPERLINK("https://creighton-primo.hosted.exlibrisgroup.com/primo-explore/search?tab=default_tab&amp;search_scope=EVERYTHING&amp;vid=01CRU&amp;lang=en_US&amp;offset=0&amp;query=any,contains,991003628049702656","Catalog Record")</f>
        <v/>
      </c>
      <c r="AT311">
        <f>HYPERLINK("http://www.worldcat.org/oclc/1218497","WorldCat Record")</f>
        <v/>
      </c>
      <c r="AU311" t="inlineStr">
        <is>
          <t>836702429:eng</t>
        </is>
      </c>
      <c r="AV311" t="inlineStr">
        <is>
          <t>1218497</t>
        </is>
      </c>
      <c r="AW311" t="inlineStr">
        <is>
          <t>991003628049702656</t>
        </is>
      </c>
      <c r="AX311" t="inlineStr">
        <is>
          <t>991003628049702656</t>
        </is>
      </c>
      <c r="AY311" t="inlineStr">
        <is>
          <t>2271773280002656</t>
        </is>
      </c>
      <c r="AZ311" t="inlineStr">
        <is>
          <t>BOOK</t>
        </is>
      </c>
      <c r="BB311" t="inlineStr">
        <is>
          <t>9780471495758</t>
        </is>
      </c>
      <c r="BC311" t="inlineStr">
        <is>
          <t>32285002868536</t>
        </is>
      </c>
      <c r="BD311" t="inlineStr">
        <is>
          <t>893416599</t>
        </is>
      </c>
    </row>
    <row r="312">
      <c r="A312" t="inlineStr">
        <is>
          <t>No</t>
        </is>
      </c>
      <c r="B312" t="inlineStr">
        <is>
          <t>QH324.9.M28 B56</t>
        </is>
      </c>
      <c r="C312" t="inlineStr">
        <is>
          <t>0                      QH 0324900M  28                 B  56</t>
        </is>
      </c>
      <c r="D312" t="inlineStr">
        <is>
          <t>Biological magnetic resonance / edited by Lawrence J. Berliner and Jacques Reuben. --</t>
        </is>
      </c>
      <c r="E312" t="inlineStr">
        <is>
          <t>V.1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New York : Plenum Press, c1978-</t>
        </is>
      </c>
      <c r="M312" t="inlineStr">
        <is>
          <t>1978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QH </t>
        </is>
      </c>
      <c r="S312" t="n">
        <v>4</v>
      </c>
      <c r="T312" t="n">
        <v>4</v>
      </c>
      <c r="U312" t="inlineStr">
        <is>
          <t>2003-04-10</t>
        </is>
      </c>
      <c r="V312" t="inlineStr">
        <is>
          <t>2003-04-10</t>
        </is>
      </c>
      <c r="W312" t="inlineStr">
        <is>
          <t>1993-03-22</t>
        </is>
      </c>
      <c r="X312" t="inlineStr">
        <is>
          <t>1993-03-22</t>
        </is>
      </c>
      <c r="Y312" t="n">
        <v>301</v>
      </c>
      <c r="Z312" t="n">
        <v>243</v>
      </c>
      <c r="AA312" t="n">
        <v>255</v>
      </c>
      <c r="AB312" t="n">
        <v>3</v>
      </c>
      <c r="AC312" t="n">
        <v>3</v>
      </c>
      <c r="AD312" t="n">
        <v>10</v>
      </c>
      <c r="AE312" t="n">
        <v>10</v>
      </c>
      <c r="AF312" t="n">
        <v>1</v>
      </c>
      <c r="AG312" t="n">
        <v>1</v>
      </c>
      <c r="AH312" t="n">
        <v>2</v>
      </c>
      <c r="AI312" t="n">
        <v>2</v>
      </c>
      <c r="AJ312" t="n">
        <v>6</v>
      </c>
      <c r="AK312" t="n">
        <v>6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HYPERLINK("http://catalog.hathitrust.org/Record/009149386","HathiTrust Record")</f>
        <v/>
      </c>
      <c r="AS312">
        <f>HYPERLINK("https://creighton-primo.hosted.exlibrisgroup.com/primo-explore/search?tab=default_tab&amp;search_scope=EVERYTHING&amp;vid=01CRU&amp;lang=en_US&amp;offset=0&amp;query=any,contains,991004574479702656","Catalog Record")</f>
        <v/>
      </c>
      <c r="AT312">
        <f>HYPERLINK("http://www.worldcat.org/oclc/4037046","WorldCat Record")</f>
        <v/>
      </c>
      <c r="AU312" t="inlineStr">
        <is>
          <t>10076622832:eng</t>
        </is>
      </c>
      <c r="AV312" t="inlineStr">
        <is>
          <t>4037046</t>
        </is>
      </c>
      <c r="AW312" t="inlineStr">
        <is>
          <t>991004574479702656</t>
        </is>
      </c>
      <c r="AX312" t="inlineStr">
        <is>
          <t>991004574479702656</t>
        </is>
      </c>
      <c r="AY312" t="inlineStr">
        <is>
          <t>2270838920002656</t>
        </is>
      </c>
      <c r="AZ312" t="inlineStr">
        <is>
          <t>BOOK</t>
        </is>
      </c>
      <c r="BB312" t="inlineStr">
        <is>
          <t>9780306389818</t>
        </is>
      </c>
      <c r="BC312" t="inlineStr">
        <is>
          <t>32285001552883</t>
        </is>
      </c>
      <c r="BD312" t="inlineStr">
        <is>
          <t>893593867</t>
        </is>
      </c>
    </row>
    <row r="313">
      <c r="A313" t="inlineStr">
        <is>
          <t>No</t>
        </is>
      </c>
      <c r="B313" t="inlineStr">
        <is>
          <t>QH324.9.N8 P48 1984</t>
        </is>
      </c>
      <c r="C313" t="inlineStr">
        <is>
          <t>0                      QH 0324900N  8                  P  48          1984</t>
        </is>
      </c>
      <c r="D313" t="inlineStr">
        <is>
          <t>Phosphorus-31 NMR : principles and applications / edited by David G. Gorenstein.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Orlando, Fla. : Academic Press, 1984.</t>
        </is>
      </c>
      <c r="M313" t="inlineStr">
        <is>
          <t>1984</t>
        </is>
      </c>
      <c r="O313" t="inlineStr">
        <is>
          <t>eng</t>
        </is>
      </c>
      <c r="P313" t="inlineStr">
        <is>
          <t>flu</t>
        </is>
      </c>
      <c r="R313" t="inlineStr">
        <is>
          <t xml:space="preserve">QH </t>
        </is>
      </c>
      <c r="S313" t="n">
        <v>5</v>
      </c>
      <c r="T313" t="n">
        <v>5</v>
      </c>
      <c r="U313" t="inlineStr">
        <is>
          <t>2009-10-22</t>
        </is>
      </c>
      <c r="V313" t="inlineStr">
        <is>
          <t>2009-10-22</t>
        </is>
      </c>
      <c r="W313" t="inlineStr">
        <is>
          <t>1993-03-22</t>
        </is>
      </c>
      <c r="X313" t="inlineStr">
        <is>
          <t>1993-03-22</t>
        </is>
      </c>
      <c r="Y313" t="n">
        <v>399</v>
      </c>
      <c r="Z313" t="n">
        <v>288</v>
      </c>
      <c r="AA313" t="n">
        <v>337</v>
      </c>
      <c r="AB313" t="n">
        <v>1</v>
      </c>
      <c r="AC313" t="n">
        <v>2</v>
      </c>
      <c r="AD313" t="n">
        <v>10</v>
      </c>
      <c r="AE313" t="n">
        <v>14</v>
      </c>
      <c r="AF313" t="n">
        <v>0</v>
      </c>
      <c r="AG313" t="n">
        <v>2</v>
      </c>
      <c r="AH313" t="n">
        <v>5</v>
      </c>
      <c r="AI313" t="n">
        <v>6</v>
      </c>
      <c r="AJ313" t="n">
        <v>7</v>
      </c>
      <c r="AK313" t="n">
        <v>7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HYPERLINK("http://catalog.hathitrust.org/Record/000561122","HathiTrust Record")</f>
        <v/>
      </c>
      <c r="AS313">
        <f>HYPERLINK("https://creighton-primo.hosted.exlibrisgroup.com/primo-explore/search?tab=default_tab&amp;search_scope=EVERYTHING&amp;vid=01CRU&amp;lang=en_US&amp;offset=0&amp;query=any,contains,991000220789702656","Catalog Record")</f>
        <v/>
      </c>
      <c r="AT313">
        <f>HYPERLINK("http://www.worldcat.org/oclc/9576112","WorldCat Record")</f>
        <v/>
      </c>
      <c r="AU313" t="inlineStr">
        <is>
          <t>836620237:eng</t>
        </is>
      </c>
      <c r="AV313" t="inlineStr">
        <is>
          <t>9576112</t>
        </is>
      </c>
      <c r="AW313" t="inlineStr">
        <is>
          <t>991000220789702656</t>
        </is>
      </c>
      <c r="AX313" t="inlineStr">
        <is>
          <t>991000220789702656</t>
        </is>
      </c>
      <c r="AY313" t="inlineStr">
        <is>
          <t>2267474160002656</t>
        </is>
      </c>
      <c r="AZ313" t="inlineStr">
        <is>
          <t>BOOK</t>
        </is>
      </c>
      <c r="BB313" t="inlineStr">
        <is>
          <t>9780122917509</t>
        </is>
      </c>
      <c r="BC313" t="inlineStr">
        <is>
          <t>32285001552891</t>
        </is>
      </c>
      <c r="BD313" t="inlineStr">
        <is>
          <t>893595414</t>
        </is>
      </c>
    </row>
    <row r="314">
      <c r="A314" t="inlineStr">
        <is>
          <t>No</t>
        </is>
      </c>
      <c r="B314" t="inlineStr">
        <is>
          <t>QH324.9.S6 C35 1984</t>
        </is>
      </c>
      <c r="C314" t="inlineStr">
        <is>
          <t>0                      QH 0324900S  6                  C  35          1984</t>
        </is>
      </c>
      <c r="D314" t="inlineStr">
        <is>
          <t>Biological spectroscopy / Iain D. Campbell and Raymond A. Dwek.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Campbell, Iain D.</t>
        </is>
      </c>
      <c r="L314" t="inlineStr">
        <is>
          <t>Menlo Park, Calif. : Benjamin/Cummings Pub. Co., c1984.</t>
        </is>
      </c>
      <c r="M314" t="inlineStr">
        <is>
          <t>1984</t>
        </is>
      </c>
      <c r="O314" t="inlineStr">
        <is>
          <t>eng</t>
        </is>
      </c>
      <c r="P314" t="inlineStr">
        <is>
          <t>cau</t>
        </is>
      </c>
      <c r="Q314" t="inlineStr">
        <is>
          <t>Biophysical techniques series</t>
        </is>
      </c>
      <c r="R314" t="inlineStr">
        <is>
          <t xml:space="preserve">QH </t>
        </is>
      </c>
      <c r="S314" t="n">
        <v>3</v>
      </c>
      <c r="T314" t="n">
        <v>6</v>
      </c>
      <c r="V314" t="inlineStr">
        <is>
          <t>1994-03-01</t>
        </is>
      </c>
      <c r="W314" t="inlineStr">
        <is>
          <t>1993-03-22</t>
        </is>
      </c>
      <c r="X314" t="inlineStr">
        <is>
          <t>1993-03-22</t>
        </is>
      </c>
      <c r="Y314" t="n">
        <v>461</v>
      </c>
      <c r="Z314" t="n">
        <v>336</v>
      </c>
      <c r="AA314" t="n">
        <v>337</v>
      </c>
      <c r="AB314" t="n">
        <v>3</v>
      </c>
      <c r="AC314" t="n">
        <v>3</v>
      </c>
      <c r="AD314" t="n">
        <v>10</v>
      </c>
      <c r="AE314" t="n">
        <v>10</v>
      </c>
      <c r="AF314" t="n">
        <v>2</v>
      </c>
      <c r="AG314" t="n">
        <v>2</v>
      </c>
      <c r="AH314" t="n">
        <v>5</v>
      </c>
      <c r="AI314" t="n">
        <v>5</v>
      </c>
      <c r="AJ314" t="n">
        <v>6</v>
      </c>
      <c r="AK314" t="n">
        <v>6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HYPERLINK("http://catalog.hathitrust.org/Record/000357385","HathiTrust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HYPERLINK("https://creighton-primo.hosted.exlibrisgroup.com/primo-explore/search?tab=default_tab&amp;search_scope=EVERYTHING&amp;vid=01CRU&amp;lang=en_US&amp;offset=0&amp;query=any,contains,991001770999702656","Catalog Record")</f>
        <v/>
      </c>
      <c r="AT314">
        <f>HYPERLINK("http://www.worldcat.org/oclc/10605136","WorldCat Record")</f>
        <v/>
      </c>
      <c r="AU314" t="inlineStr">
        <is>
          <t>2838209:eng</t>
        </is>
      </c>
      <c r="AV314" t="inlineStr">
        <is>
          <t>10605136</t>
        </is>
      </c>
      <c r="AW314" t="inlineStr">
        <is>
          <t>991001770999702656</t>
        </is>
      </c>
      <c r="AX314" t="inlineStr">
        <is>
          <t>991001770999702656</t>
        </is>
      </c>
      <c r="AY314" t="inlineStr">
        <is>
          <t>2258883180002656</t>
        </is>
      </c>
      <c r="AZ314" t="inlineStr">
        <is>
          <t>BOOK</t>
        </is>
      </c>
      <c r="BB314" t="inlineStr">
        <is>
          <t>9780805318470</t>
        </is>
      </c>
      <c r="BC314" t="inlineStr">
        <is>
          <t>32285001552909</t>
        </is>
      </c>
      <c r="BD314" t="inlineStr">
        <is>
          <t>893715709</t>
        </is>
      </c>
    </row>
    <row r="315">
      <c r="A315" t="inlineStr">
        <is>
          <t>No</t>
        </is>
      </c>
      <c r="B315" t="inlineStr">
        <is>
          <t>QH324.C53 E9</t>
        </is>
      </c>
      <c r="C315" t="inlineStr">
        <is>
          <t>0                      QH 0324000C  53                 E  9</t>
        </is>
      </c>
      <c r="D315" t="inlineStr">
        <is>
          <t>Experimental biochemistry [by] John M. Clark, Jr.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Yes</t>
        </is>
      </c>
      <c r="J315" t="inlineStr">
        <is>
          <t>0</t>
        </is>
      </c>
      <c r="K315" t="inlineStr">
        <is>
          <t>Clark, John Magruder, 1932-</t>
        </is>
      </c>
      <c r="L315" t="inlineStr">
        <is>
          <t>San Francisco, W.H. Freeman [c1964]</t>
        </is>
      </c>
      <c r="M315" t="inlineStr">
        <is>
          <t>1964</t>
        </is>
      </c>
      <c r="O315" t="inlineStr">
        <is>
          <t>eng</t>
        </is>
      </c>
      <c r="P315" t="inlineStr">
        <is>
          <t>cau</t>
        </is>
      </c>
      <c r="Q315" t="inlineStr">
        <is>
          <t>A Series of books in chemistry</t>
        </is>
      </c>
      <c r="R315" t="inlineStr">
        <is>
          <t xml:space="preserve">QH </t>
        </is>
      </c>
      <c r="S315" t="n">
        <v>1</v>
      </c>
      <c r="T315" t="n">
        <v>1</v>
      </c>
      <c r="U315" t="inlineStr">
        <is>
          <t>1998-07-01</t>
        </is>
      </c>
      <c r="V315" t="inlineStr">
        <is>
          <t>1998-07-01</t>
        </is>
      </c>
      <c r="W315" t="inlineStr">
        <is>
          <t>1997-07-01</t>
        </is>
      </c>
      <c r="X315" t="inlineStr">
        <is>
          <t>1997-07-01</t>
        </is>
      </c>
      <c r="Y315" t="n">
        <v>362</v>
      </c>
      <c r="Z315" t="n">
        <v>249</v>
      </c>
      <c r="AA315" t="n">
        <v>459</v>
      </c>
      <c r="AB315" t="n">
        <v>2</v>
      </c>
      <c r="AC315" t="n">
        <v>3</v>
      </c>
      <c r="AD315" t="n">
        <v>5</v>
      </c>
      <c r="AE315" t="n">
        <v>15</v>
      </c>
      <c r="AF315" t="n">
        <v>1</v>
      </c>
      <c r="AG315" t="n">
        <v>5</v>
      </c>
      <c r="AH315" t="n">
        <v>2</v>
      </c>
      <c r="AI315" t="n">
        <v>3</v>
      </c>
      <c r="AJ315" t="n">
        <v>3</v>
      </c>
      <c r="AK315" t="n">
        <v>10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HYPERLINK("https://creighton-primo.hosted.exlibrisgroup.com/primo-explore/search?tab=default_tab&amp;search_scope=EVERYTHING&amp;vid=01CRU&amp;lang=en_US&amp;offset=0&amp;query=any,contains,991002623839702656","Catalog Record")</f>
        <v/>
      </c>
      <c r="AT315">
        <f>HYPERLINK("http://www.worldcat.org/oclc/381483","WorldCat Record")</f>
        <v/>
      </c>
      <c r="AU315" t="inlineStr">
        <is>
          <t>356169549:eng</t>
        </is>
      </c>
      <c r="AV315" t="inlineStr">
        <is>
          <t>381483</t>
        </is>
      </c>
      <c r="AW315" t="inlineStr">
        <is>
          <t>991002623839702656</t>
        </is>
      </c>
      <c r="AX315" t="inlineStr">
        <is>
          <t>991002623839702656</t>
        </is>
      </c>
      <c r="AY315" t="inlineStr">
        <is>
          <t>2259927400002656</t>
        </is>
      </c>
      <c r="AZ315" t="inlineStr">
        <is>
          <t>BOOK</t>
        </is>
      </c>
      <c r="BC315" t="inlineStr">
        <is>
          <t>32285002868130</t>
        </is>
      </c>
      <c r="BD315" t="inlineStr">
        <is>
          <t>893239290</t>
        </is>
      </c>
    </row>
    <row r="316">
      <c r="A316" t="inlineStr">
        <is>
          <t>No</t>
        </is>
      </c>
      <c r="B316" t="inlineStr">
        <is>
          <t>QH325 .A278 2002</t>
        </is>
      </c>
      <c r="C316" t="inlineStr">
        <is>
          <t>0                      QH 0325000A  278         2002</t>
        </is>
      </c>
      <c r="D316" t="inlineStr">
        <is>
          <t>Origins of existence : how life emerged in the universe / Fred Adams.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Adams, Fred, 1961-</t>
        </is>
      </c>
      <c r="L316" t="inlineStr">
        <is>
          <t>New York : The Free Press, c2002.</t>
        </is>
      </c>
      <c r="M316" t="inlineStr">
        <is>
          <t>2002</t>
        </is>
      </c>
      <c r="O316" t="inlineStr">
        <is>
          <t>eng</t>
        </is>
      </c>
      <c r="P316" t="inlineStr">
        <is>
          <t>nyu</t>
        </is>
      </c>
      <c r="R316" t="inlineStr">
        <is>
          <t xml:space="preserve">QH </t>
        </is>
      </c>
      <c r="S316" t="n">
        <v>2</v>
      </c>
      <c r="T316" t="n">
        <v>2</v>
      </c>
      <c r="U316" t="inlineStr">
        <is>
          <t>2003-01-08</t>
        </is>
      </c>
      <c r="V316" t="inlineStr">
        <is>
          <t>2003-01-08</t>
        </is>
      </c>
      <c r="W316" t="inlineStr">
        <is>
          <t>2003-01-08</t>
        </is>
      </c>
      <c r="X316" t="inlineStr">
        <is>
          <t>2003-01-08</t>
        </is>
      </c>
      <c r="Y316" t="n">
        <v>533</v>
      </c>
      <c r="Z316" t="n">
        <v>465</v>
      </c>
      <c r="AA316" t="n">
        <v>487</v>
      </c>
      <c r="AB316" t="n">
        <v>5</v>
      </c>
      <c r="AC316" t="n">
        <v>5</v>
      </c>
      <c r="AD316" t="n">
        <v>17</v>
      </c>
      <c r="AE316" t="n">
        <v>17</v>
      </c>
      <c r="AF316" t="n">
        <v>5</v>
      </c>
      <c r="AG316" t="n">
        <v>5</v>
      </c>
      <c r="AH316" t="n">
        <v>4</v>
      </c>
      <c r="AI316" t="n">
        <v>4</v>
      </c>
      <c r="AJ316" t="n">
        <v>8</v>
      </c>
      <c r="AK316" t="n">
        <v>8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HYPERLINK("https://creighton-primo.hosted.exlibrisgroup.com/primo-explore/search?tab=default_tab&amp;search_scope=EVERYTHING&amp;vid=01CRU&amp;lang=en_US&amp;offset=0&amp;query=any,contains,991003956159702656","Catalog Record")</f>
        <v/>
      </c>
      <c r="AT316">
        <f>HYPERLINK("http://www.worldcat.org/oclc/50124724","WorldCat Record")</f>
        <v/>
      </c>
      <c r="AU316" t="inlineStr">
        <is>
          <t>1039591:eng</t>
        </is>
      </c>
      <c r="AV316" t="inlineStr">
        <is>
          <t>50124724</t>
        </is>
      </c>
      <c r="AW316" t="inlineStr">
        <is>
          <t>991003956159702656</t>
        </is>
      </c>
      <c r="AX316" t="inlineStr">
        <is>
          <t>991003956159702656</t>
        </is>
      </c>
      <c r="AY316" t="inlineStr">
        <is>
          <t>2266856450002656</t>
        </is>
      </c>
      <c r="AZ316" t="inlineStr">
        <is>
          <t>BOOK</t>
        </is>
      </c>
      <c r="BB316" t="inlineStr">
        <is>
          <t>9780743212625</t>
        </is>
      </c>
      <c r="BC316" t="inlineStr">
        <is>
          <t>32285004692413</t>
        </is>
      </c>
      <c r="BD316" t="inlineStr">
        <is>
          <t>893429477</t>
        </is>
      </c>
    </row>
    <row r="317">
      <c r="A317" t="inlineStr">
        <is>
          <t>No</t>
        </is>
      </c>
      <c r="B317" t="inlineStr">
        <is>
          <t>QH325 .B68 1984</t>
        </is>
      </c>
      <c r="C317" t="inlineStr">
        <is>
          <t>0                      QH 0325000B  68          1984</t>
        </is>
      </c>
      <c r="D317" t="inlineStr">
        <is>
          <t>The mystery of life's origin : reassessing current theories / Charles B. Thaxton, Walter L. Bradley, Roger L. Olsen.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Thaxton, Charles B.</t>
        </is>
      </c>
      <c r="L317" t="inlineStr">
        <is>
          <t>New York : Philosophical Library, 1984.</t>
        </is>
      </c>
      <c r="M317" t="inlineStr">
        <is>
          <t>1984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QH </t>
        </is>
      </c>
      <c r="S317" t="n">
        <v>14</v>
      </c>
      <c r="T317" t="n">
        <v>14</v>
      </c>
      <c r="U317" t="inlineStr">
        <is>
          <t>2005-02-19</t>
        </is>
      </c>
      <c r="V317" t="inlineStr">
        <is>
          <t>2005-02-19</t>
        </is>
      </c>
      <c r="W317" t="inlineStr">
        <is>
          <t>1990-04-26</t>
        </is>
      </c>
      <c r="X317" t="inlineStr">
        <is>
          <t>1990-04-26</t>
        </is>
      </c>
      <c r="Y317" t="n">
        <v>469</v>
      </c>
      <c r="Z317" t="n">
        <v>419</v>
      </c>
      <c r="AA317" t="n">
        <v>478</v>
      </c>
      <c r="AB317" t="n">
        <v>4</v>
      </c>
      <c r="AC317" t="n">
        <v>5</v>
      </c>
      <c r="AD317" t="n">
        <v>19</v>
      </c>
      <c r="AE317" t="n">
        <v>23</v>
      </c>
      <c r="AF317" t="n">
        <v>6</v>
      </c>
      <c r="AG317" t="n">
        <v>8</v>
      </c>
      <c r="AH317" t="n">
        <v>4</v>
      </c>
      <c r="AI317" t="n">
        <v>4</v>
      </c>
      <c r="AJ317" t="n">
        <v>9</v>
      </c>
      <c r="AK317" t="n">
        <v>11</v>
      </c>
      <c r="AL317" t="n">
        <v>3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HYPERLINK("http://catalog.hathitrust.org/Record/000624113","HathiTrust Record")</f>
        <v/>
      </c>
      <c r="AS317">
        <f>HYPERLINK("https://creighton-primo.hosted.exlibrisgroup.com/primo-explore/search?tab=default_tab&amp;search_scope=EVERYTHING&amp;vid=01CRU&amp;lang=en_US&amp;offset=0&amp;query=any,contains,991000276999702656","Catalog Record")</f>
        <v/>
      </c>
      <c r="AT317">
        <f>HYPERLINK("http://www.worldcat.org/oclc/9895509","WorldCat Record")</f>
        <v/>
      </c>
      <c r="AU317" t="inlineStr">
        <is>
          <t>20422486:eng</t>
        </is>
      </c>
      <c r="AV317" t="inlineStr">
        <is>
          <t>9895509</t>
        </is>
      </c>
      <c r="AW317" t="inlineStr">
        <is>
          <t>991000276999702656</t>
        </is>
      </c>
      <c r="AX317" t="inlineStr">
        <is>
          <t>991000276999702656</t>
        </is>
      </c>
      <c r="AY317" t="inlineStr">
        <is>
          <t>2264925570002656</t>
        </is>
      </c>
      <c r="AZ317" t="inlineStr">
        <is>
          <t>BOOK</t>
        </is>
      </c>
      <c r="BB317" t="inlineStr">
        <is>
          <t>9780802224477</t>
        </is>
      </c>
      <c r="BC317" t="inlineStr">
        <is>
          <t>32285000126374</t>
        </is>
      </c>
      <c r="BD317" t="inlineStr">
        <is>
          <t>893407069</t>
        </is>
      </c>
    </row>
    <row r="318">
      <c r="A318" t="inlineStr">
        <is>
          <t>No</t>
        </is>
      </c>
      <c r="B318" t="inlineStr">
        <is>
          <t>QH325 .B72</t>
        </is>
      </c>
      <c r="C318" t="inlineStr">
        <is>
          <t>0                      QH 0325000B  72</t>
        </is>
      </c>
      <c r="D318" t="inlineStr">
        <is>
          <t>Origin and development of living systems / [by] J. Brooks [and] G. Shaw.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Brooks, J. (James)</t>
        </is>
      </c>
      <c r="L318" t="inlineStr">
        <is>
          <t>London ; New York : Academic Press, 1973.</t>
        </is>
      </c>
      <c r="M318" t="inlineStr">
        <is>
          <t>1973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QH </t>
        </is>
      </c>
      <c r="S318" t="n">
        <v>3</v>
      </c>
      <c r="T318" t="n">
        <v>3</v>
      </c>
      <c r="U318" t="inlineStr">
        <is>
          <t>2005-02-19</t>
        </is>
      </c>
      <c r="V318" t="inlineStr">
        <is>
          <t>2005-02-19</t>
        </is>
      </c>
      <c r="W318" t="inlineStr">
        <is>
          <t>1994-10-28</t>
        </is>
      </c>
      <c r="X318" t="inlineStr">
        <is>
          <t>1994-10-28</t>
        </is>
      </c>
      <c r="Y318" t="n">
        <v>430</v>
      </c>
      <c r="Z318" t="n">
        <v>279</v>
      </c>
      <c r="AA318" t="n">
        <v>285</v>
      </c>
      <c r="AB318" t="n">
        <v>3</v>
      </c>
      <c r="AC318" t="n">
        <v>3</v>
      </c>
      <c r="AD318" t="n">
        <v>8</v>
      </c>
      <c r="AE318" t="n">
        <v>8</v>
      </c>
      <c r="AF318" t="n">
        <v>0</v>
      </c>
      <c r="AG318" t="n">
        <v>0</v>
      </c>
      <c r="AH318" t="n">
        <v>3</v>
      </c>
      <c r="AI318" t="n">
        <v>3</v>
      </c>
      <c r="AJ318" t="n">
        <v>5</v>
      </c>
      <c r="AK318" t="n">
        <v>5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HYPERLINK("http://catalog.hathitrust.org/Record/001491380","HathiTrust Record")</f>
        <v/>
      </c>
      <c r="AS318">
        <f>HYPERLINK("https://creighton-primo.hosted.exlibrisgroup.com/primo-explore/search?tab=default_tab&amp;search_scope=EVERYTHING&amp;vid=01CRU&amp;lang=en_US&amp;offset=0&amp;query=any,contains,991003159419702656","Catalog Record")</f>
        <v/>
      </c>
      <c r="AT318">
        <f>HYPERLINK("http://www.worldcat.org/oclc/698437","WorldCat Record")</f>
        <v/>
      </c>
      <c r="AU318" t="inlineStr">
        <is>
          <t>140082067:eng</t>
        </is>
      </c>
      <c r="AV318" t="inlineStr">
        <is>
          <t>698437</t>
        </is>
      </c>
      <c r="AW318" t="inlineStr">
        <is>
          <t>991003159419702656</t>
        </is>
      </c>
      <c r="AX318" t="inlineStr">
        <is>
          <t>991003159419702656</t>
        </is>
      </c>
      <c r="AY318" t="inlineStr">
        <is>
          <t>2265083110002656</t>
        </is>
      </c>
      <c r="AZ318" t="inlineStr">
        <is>
          <t>BOOK</t>
        </is>
      </c>
      <c r="BB318" t="inlineStr">
        <is>
          <t>9780121357405</t>
        </is>
      </c>
      <c r="BC318" t="inlineStr">
        <is>
          <t>32285001963536</t>
        </is>
      </c>
      <c r="BD318" t="inlineStr">
        <is>
          <t>893617055</t>
        </is>
      </c>
    </row>
    <row r="319">
      <c r="A319" t="inlineStr">
        <is>
          <t>No</t>
        </is>
      </c>
      <c r="B319" t="inlineStr">
        <is>
          <t>QH325 .C225 1982</t>
        </is>
      </c>
      <c r="C319" t="inlineStr">
        <is>
          <t>0                      QH 0325000C  225         1982</t>
        </is>
      </c>
      <c r="D319" t="inlineStr">
        <is>
          <t>Genetic takeover and the mineral origins of life / A.G. Cairns-Smith.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Cairns-Smith, A. G. (Alexander Graham)</t>
        </is>
      </c>
      <c r="L319" t="inlineStr">
        <is>
          <t>Cambridge ; New York : Cambridge University Press, 1982.</t>
        </is>
      </c>
      <c r="M319" t="inlineStr">
        <is>
          <t>1982</t>
        </is>
      </c>
      <c r="O319" t="inlineStr">
        <is>
          <t>eng</t>
        </is>
      </c>
      <c r="P319" t="inlineStr">
        <is>
          <t>enk</t>
        </is>
      </c>
      <c r="R319" t="inlineStr">
        <is>
          <t xml:space="preserve">QH </t>
        </is>
      </c>
      <c r="S319" t="n">
        <v>2</v>
      </c>
      <c r="T319" t="n">
        <v>2</v>
      </c>
      <c r="U319" t="inlineStr">
        <is>
          <t>2009-04-07</t>
        </is>
      </c>
      <c r="V319" t="inlineStr">
        <is>
          <t>2009-04-07</t>
        </is>
      </c>
      <c r="W319" t="inlineStr">
        <is>
          <t>1990-03-13</t>
        </is>
      </c>
      <c r="X319" t="inlineStr">
        <is>
          <t>1990-03-13</t>
        </is>
      </c>
      <c r="Y319" t="n">
        <v>552</v>
      </c>
      <c r="Z319" t="n">
        <v>393</v>
      </c>
      <c r="AA319" t="n">
        <v>415</v>
      </c>
      <c r="AB319" t="n">
        <v>3</v>
      </c>
      <c r="AC319" t="n">
        <v>3</v>
      </c>
      <c r="AD319" t="n">
        <v>11</v>
      </c>
      <c r="AE319" t="n">
        <v>12</v>
      </c>
      <c r="AF319" t="n">
        <v>3</v>
      </c>
      <c r="AG319" t="n">
        <v>4</v>
      </c>
      <c r="AH319" t="n">
        <v>3</v>
      </c>
      <c r="AI319" t="n">
        <v>3</v>
      </c>
      <c r="AJ319" t="n">
        <v>7</v>
      </c>
      <c r="AK319" t="n">
        <v>8</v>
      </c>
      <c r="AL319" t="n">
        <v>2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HYPERLINK("https://creighton-primo.hosted.exlibrisgroup.com/primo-explore/search?tab=default_tab&amp;search_scope=EVERYTHING&amp;vid=01CRU&amp;lang=en_US&amp;offset=0&amp;query=any,contains,991005171889702656","Catalog Record")</f>
        <v/>
      </c>
      <c r="AT319">
        <f>HYPERLINK("http://www.worldcat.org/oclc/7875600","WorldCat Record")</f>
        <v/>
      </c>
      <c r="AU319" t="inlineStr">
        <is>
          <t>504578:eng</t>
        </is>
      </c>
      <c r="AV319" t="inlineStr">
        <is>
          <t>7875600</t>
        </is>
      </c>
      <c r="AW319" t="inlineStr">
        <is>
          <t>991005171889702656</t>
        </is>
      </c>
      <c r="AX319" t="inlineStr">
        <is>
          <t>991005171889702656</t>
        </is>
      </c>
      <c r="AY319" t="inlineStr">
        <is>
          <t>2268199390002656</t>
        </is>
      </c>
      <c r="AZ319" t="inlineStr">
        <is>
          <t>BOOK</t>
        </is>
      </c>
      <c r="BB319" t="inlineStr">
        <is>
          <t>9780521233125</t>
        </is>
      </c>
      <c r="BC319" t="inlineStr">
        <is>
          <t>32285000085463</t>
        </is>
      </c>
      <c r="BD319" t="inlineStr">
        <is>
          <t>893437285</t>
        </is>
      </c>
    </row>
    <row r="320">
      <c r="A320" t="inlineStr">
        <is>
          <t>No</t>
        </is>
      </c>
      <c r="B320" t="inlineStr">
        <is>
          <t>QH325 .C26 1969b</t>
        </is>
      </c>
      <c r="C320" t="inlineStr">
        <is>
          <t>0                      QH 0325000C  26          1969b</t>
        </is>
      </c>
      <c r="D320" t="inlineStr">
        <is>
          <t>Chemical evolution : molecular evolution towards the origin of living systems on the earth and elsewhere.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Calvin, Melvin, 1911-1997.</t>
        </is>
      </c>
      <c r="L320" t="inlineStr">
        <is>
          <t>New York : Oxford University Press, 1969.</t>
        </is>
      </c>
      <c r="M320" t="inlineStr">
        <is>
          <t>1969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QH </t>
        </is>
      </c>
      <c r="S320" t="n">
        <v>2</v>
      </c>
      <c r="T320" t="n">
        <v>2</v>
      </c>
      <c r="U320" t="inlineStr">
        <is>
          <t>2002-11-12</t>
        </is>
      </c>
      <c r="V320" t="inlineStr">
        <is>
          <t>2002-11-12</t>
        </is>
      </c>
      <c r="W320" t="inlineStr">
        <is>
          <t>1994-10-28</t>
        </is>
      </c>
      <c r="X320" t="inlineStr">
        <is>
          <t>1994-10-28</t>
        </is>
      </c>
      <c r="Y320" t="n">
        <v>645</v>
      </c>
      <c r="Z320" t="n">
        <v>606</v>
      </c>
      <c r="AA320" t="n">
        <v>703</v>
      </c>
      <c r="AB320" t="n">
        <v>6</v>
      </c>
      <c r="AC320" t="n">
        <v>7</v>
      </c>
      <c r="AD320" t="n">
        <v>27</v>
      </c>
      <c r="AE320" t="n">
        <v>30</v>
      </c>
      <c r="AF320" t="n">
        <v>10</v>
      </c>
      <c r="AG320" t="n">
        <v>10</v>
      </c>
      <c r="AH320" t="n">
        <v>4</v>
      </c>
      <c r="AI320" t="n">
        <v>4</v>
      </c>
      <c r="AJ320" t="n">
        <v>13</v>
      </c>
      <c r="AK320" t="n">
        <v>15</v>
      </c>
      <c r="AL320" t="n">
        <v>5</v>
      </c>
      <c r="AM320" t="n">
        <v>6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HYPERLINK("http://catalog.hathitrust.org/Record/001491934","HathiTrust Record")</f>
        <v/>
      </c>
      <c r="AS320">
        <f>HYPERLINK("https://creighton-primo.hosted.exlibrisgroup.com/primo-explore/search?tab=default_tab&amp;search_scope=EVERYTHING&amp;vid=01CRU&amp;lang=en_US&amp;offset=0&amp;query=any,contains,991000088729702656","Catalog Record")</f>
        <v/>
      </c>
      <c r="AT320">
        <f>HYPERLINK("http://www.worldcat.org/oclc/34646","WorldCat Record")</f>
        <v/>
      </c>
      <c r="AU320" t="inlineStr">
        <is>
          <t>3901228344:eng</t>
        </is>
      </c>
      <c r="AV320" t="inlineStr">
        <is>
          <t>34646</t>
        </is>
      </c>
      <c r="AW320" t="inlineStr">
        <is>
          <t>991000088729702656</t>
        </is>
      </c>
      <c r="AX320" t="inlineStr">
        <is>
          <t>991000088729702656</t>
        </is>
      </c>
      <c r="AY320" t="inlineStr">
        <is>
          <t>2259740430002656</t>
        </is>
      </c>
      <c r="AZ320" t="inlineStr">
        <is>
          <t>BOOK</t>
        </is>
      </c>
      <c r="BC320" t="inlineStr">
        <is>
          <t>32285001963528</t>
        </is>
      </c>
      <c r="BD320" t="inlineStr">
        <is>
          <t>893527785</t>
        </is>
      </c>
    </row>
    <row r="321">
      <c r="A321" t="inlineStr">
        <is>
          <t>No</t>
        </is>
      </c>
      <c r="B321" t="inlineStr">
        <is>
          <t>QH325 .C84</t>
        </is>
      </c>
      <c r="C321" t="inlineStr">
        <is>
          <t>0                      QH 0325000C  84</t>
        </is>
      </c>
      <c r="D321" t="inlineStr">
        <is>
          <t>Life itself : its origin and nature / Francis Crick.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Crick, Francis, 1916-2004.</t>
        </is>
      </c>
      <c r="L321" t="inlineStr">
        <is>
          <t>New York : Simon and Schuster, c1981.</t>
        </is>
      </c>
      <c r="M321" t="inlineStr">
        <is>
          <t>1981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QH </t>
        </is>
      </c>
      <c r="S321" t="n">
        <v>10</v>
      </c>
      <c r="T321" t="n">
        <v>10</v>
      </c>
      <c r="U321" t="inlineStr">
        <is>
          <t>1996-11-13</t>
        </is>
      </c>
      <c r="V321" t="inlineStr">
        <is>
          <t>1996-11-13</t>
        </is>
      </c>
      <c r="W321" t="inlineStr">
        <is>
          <t>1993-03-22</t>
        </is>
      </c>
      <c r="X321" t="inlineStr">
        <is>
          <t>1993-03-22</t>
        </is>
      </c>
      <c r="Y321" t="n">
        <v>989</v>
      </c>
      <c r="Z321" t="n">
        <v>905</v>
      </c>
      <c r="AA321" t="n">
        <v>957</v>
      </c>
      <c r="AB321" t="n">
        <v>4</v>
      </c>
      <c r="AC321" t="n">
        <v>4</v>
      </c>
      <c r="AD321" t="n">
        <v>22</v>
      </c>
      <c r="AE321" t="n">
        <v>22</v>
      </c>
      <c r="AF321" t="n">
        <v>10</v>
      </c>
      <c r="AG321" t="n">
        <v>10</v>
      </c>
      <c r="AH321" t="n">
        <v>5</v>
      </c>
      <c r="AI321" t="n">
        <v>5</v>
      </c>
      <c r="AJ321" t="n">
        <v>14</v>
      </c>
      <c r="AK321" t="n">
        <v>14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HYPERLINK("http://catalog.hathitrust.org/Record/007160240","HathiTrust Record")</f>
        <v/>
      </c>
      <c r="AS321">
        <f>HYPERLINK("https://creighton-primo.hosted.exlibrisgroup.com/primo-explore/search?tab=default_tab&amp;search_scope=EVERYTHING&amp;vid=01CRU&amp;lang=en_US&amp;offset=0&amp;query=any,contains,991005144439702656","Catalog Record")</f>
        <v/>
      </c>
      <c r="AT321">
        <f>HYPERLINK("http://www.worldcat.org/oclc/7653292","WorldCat Record")</f>
        <v/>
      </c>
      <c r="AU321" t="inlineStr">
        <is>
          <t>49056750:eng</t>
        </is>
      </c>
      <c r="AV321" t="inlineStr">
        <is>
          <t>7653292</t>
        </is>
      </c>
      <c r="AW321" t="inlineStr">
        <is>
          <t>991005144439702656</t>
        </is>
      </c>
      <c r="AX321" t="inlineStr">
        <is>
          <t>991005144439702656</t>
        </is>
      </c>
      <c r="AY321" t="inlineStr">
        <is>
          <t>2258777530002656</t>
        </is>
      </c>
      <c r="AZ321" t="inlineStr">
        <is>
          <t>BOOK</t>
        </is>
      </c>
      <c r="BB321" t="inlineStr">
        <is>
          <t>9780671255626</t>
        </is>
      </c>
      <c r="BC321" t="inlineStr">
        <is>
          <t>32285001552925</t>
        </is>
      </c>
      <c r="BD321" t="inlineStr">
        <is>
          <t>893719864</t>
        </is>
      </c>
    </row>
    <row r="322">
      <c r="A322" t="inlineStr">
        <is>
          <t>No</t>
        </is>
      </c>
      <c r="B322" t="inlineStr">
        <is>
          <t>QH325 .D34</t>
        </is>
      </c>
      <c r="C322" t="inlineStr">
        <is>
          <t>0                      QH 0325000D  34</t>
        </is>
      </c>
      <c r="D322" t="inlineStr">
        <is>
          <t>The photochemical origin of life, by A. Dauvillier. Translated from the French by Scripta Technica, inc.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Dauvillier, A. (Alexandre)</t>
        </is>
      </c>
      <c r="L322" t="inlineStr">
        <is>
          <t>New York, Academic Press, 1965.</t>
        </is>
      </c>
      <c r="M322" t="inlineStr">
        <is>
          <t>1965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QH </t>
        </is>
      </c>
      <c r="S322" t="n">
        <v>2</v>
      </c>
      <c r="T322" t="n">
        <v>2</v>
      </c>
      <c r="U322" t="inlineStr">
        <is>
          <t>2002-11-12</t>
        </is>
      </c>
      <c r="V322" t="inlineStr">
        <is>
          <t>2002-11-12</t>
        </is>
      </c>
      <c r="W322" t="inlineStr">
        <is>
          <t>1997-07-01</t>
        </is>
      </c>
      <c r="X322" t="inlineStr">
        <is>
          <t>1997-07-01</t>
        </is>
      </c>
      <c r="Y322" t="n">
        <v>384</v>
      </c>
      <c r="Z322" t="n">
        <v>280</v>
      </c>
      <c r="AA322" t="n">
        <v>290</v>
      </c>
      <c r="AB322" t="n">
        <v>4</v>
      </c>
      <c r="AC322" t="n">
        <v>4</v>
      </c>
      <c r="AD322" t="n">
        <v>11</v>
      </c>
      <c r="AE322" t="n">
        <v>11</v>
      </c>
      <c r="AF322" t="n">
        <v>2</v>
      </c>
      <c r="AG322" t="n">
        <v>2</v>
      </c>
      <c r="AH322" t="n">
        <v>3</v>
      </c>
      <c r="AI322" t="n">
        <v>3</v>
      </c>
      <c r="AJ322" t="n">
        <v>5</v>
      </c>
      <c r="AK322" t="n">
        <v>5</v>
      </c>
      <c r="AL322" t="n">
        <v>3</v>
      </c>
      <c r="AM322" t="n">
        <v>3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HYPERLINK("http://catalog.hathitrust.org/Record/001491385","HathiTrust Record")</f>
        <v/>
      </c>
      <c r="AS322">
        <f>HYPERLINK("https://creighton-primo.hosted.exlibrisgroup.com/primo-explore/search?tab=default_tab&amp;search_scope=EVERYTHING&amp;vid=01CRU&amp;lang=en_US&amp;offset=0&amp;query=any,contains,991002969579702656","Catalog Record")</f>
        <v/>
      </c>
      <c r="AT322">
        <f>HYPERLINK("http://www.worldcat.org/oclc/547772","WorldCat Record")</f>
        <v/>
      </c>
      <c r="AU322" t="inlineStr">
        <is>
          <t>1581794:eng</t>
        </is>
      </c>
      <c r="AV322" t="inlineStr">
        <is>
          <t>547772</t>
        </is>
      </c>
      <c r="AW322" t="inlineStr">
        <is>
          <t>991002969579702656</t>
        </is>
      </c>
      <c r="AX322" t="inlineStr">
        <is>
          <t>991002969579702656</t>
        </is>
      </c>
      <c r="AY322" t="inlineStr">
        <is>
          <t>2262915130002656</t>
        </is>
      </c>
      <c r="AZ322" t="inlineStr">
        <is>
          <t>BOOK</t>
        </is>
      </c>
      <c r="BC322" t="inlineStr">
        <is>
          <t>32285002868569</t>
        </is>
      </c>
      <c r="BD322" t="inlineStr">
        <is>
          <t>893317492</t>
        </is>
      </c>
    </row>
    <row r="323">
      <c r="A323" t="inlineStr">
        <is>
          <t>No</t>
        </is>
      </c>
      <c r="B323" t="inlineStr">
        <is>
          <t>QH325 .D345 1999</t>
        </is>
      </c>
      <c r="C323" t="inlineStr">
        <is>
          <t>0                      QH 0325000D  345         1999</t>
        </is>
      </c>
      <c r="D323" t="inlineStr">
        <is>
          <t>The fifth miracle : the search for the origin and meaning of life / Paul Davies.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Davies, P. C. W.</t>
        </is>
      </c>
      <c r="L323" t="inlineStr">
        <is>
          <t>New York, NY : Simon &amp; Schuster, c1999.</t>
        </is>
      </c>
      <c r="M323" t="inlineStr">
        <is>
          <t>1999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QH </t>
        </is>
      </c>
      <c r="S323" t="n">
        <v>3</v>
      </c>
      <c r="T323" t="n">
        <v>3</v>
      </c>
      <c r="U323" t="inlineStr">
        <is>
          <t>2007-11-12</t>
        </is>
      </c>
      <c r="V323" t="inlineStr">
        <is>
          <t>2007-11-12</t>
        </is>
      </c>
      <c r="W323" t="inlineStr">
        <is>
          <t>2000-03-16</t>
        </is>
      </c>
      <c r="X323" t="inlineStr">
        <is>
          <t>2000-03-16</t>
        </is>
      </c>
      <c r="Y323" t="n">
        <v>1291</v>
      </c>
      <c r="Z323" t="n">
        <v>1195</v>
      </c>
      <c r="AA323" t="n">
        <v>1299</v>
      </c>
      <c r="AB323" t="n">
        <v>9</v>
      </c>
      <c r="AC323" t="n">
        <v>10</v>
      </c>
      <c r="AD323" t="n">
        <v>31</v>
      </c>
      <c r="AE323" t="n">
        <v>33</v>
      </c>
      <c r="AF323" t="n">
        <v>13</v>
      </c>
      <c r="AG323" t="n">
        <v>14</v>
      </c>
      <c r="AH323" t="n">
        <v>5</v>
      </c>
      <c r="AI323" t="n">
        <v>5</v>
      </c>
      <c r="AJ323" t="n">
        <v>13</v>
      </c>
      <c r="AK323" t="n">
        <v>14</v>
      </c>
      <c r="AL323" t="n">
        <v>7</v>
      </c>
      <c r="AM323" t="n">
        <v>7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HYPERLINK("http://catalog.hathitrust.org/Record/004022247","HathiTrust Record")</f>
        <v/>
      </c>
      <c r="AS323">
        <f>HYPERLINK("https://creighton-primo.hosted.exlibrisgroup.com/primo-explore/search?tab=default_tab&amp;search_scope=EVERYTHING&amp;vid=01CRU&amp;lang=en_US&amp;offset=0&amp;query=any,contains,991002985719702656","Catalog Record")</f>
        <v/>
      </c>
      <c r="AT323">
        <f>HYPERLINK("http://www.worldcat.org/oclc/40218707","WorldCat Record")</f>
        <v/>
      </c>
      <c r="AU323" t="inlineStr">
        <is>
          <t>3499022352:eng</t>
        </is>
      </c>
      <c r="AV323" t="inlineStr">
        <is>
          <t>40218707</t>
        </is>
      </c>
      <c r="AW323" t="inlineStr">
        <is>
          <t>991002985719702656</t>
        </is>
      </c>
      <c r="AX323" t="inlineStr">
        <is>
          <t>991002985719702656</t>
        </is>
      </c>
      <c r="AY323" t="inlineStr">
        <is>
          <t>2271620520002656</t>
        </is>
      </c>
      <c r="AZ323" t="inlineStr">
        <is>
          <t>BOOK</t>
        </is>
      </c>
      <c r="BB323" t="inlineStr">
        <is>
          <t>9780684837994</t>
        </is>
      </c>
      <c r="BC323" t="inlineStr">
        <is>
          <t>32285003670279</t>
        </is>
      </c>
      <c r="BD323" t="inlineStr">
        <is>
          <t>893422038</t>
        </is>
      </c>
    </row>
    <row r="324">
      <c r="A324" t="inlineStr">
        <is>
          <t>No</t>
        </is>
      </c>
      <c r="B324" t="inlineStr">
        <is>
          <t>QH325 .D35 1984</t>
        </is>
      </c>
      <c r="C324" t="inlineStr">
        <is>
          <t>0                      QH 0325000D  35          1984</t>
        </is>
      </c>
      <c r="D324" t="inlineStr">
        <is>
          <t>Genesis on planet Earth : the search for life's beginning / William Day ; foreword by Lynn Margulis.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Day, William, 1928-</t>
        </is>
      </c>
      <c r="L324" t="inlineStr">
        <is>
          <t>New Haven : Yale University Press, c1984.</t>
        </is>
      </c>
      <c r="M324" t="inlineStr">
        <is>
          <t>1984</t>
        </is>
      </c>
      <c r="N324" t="inlineStr">
        <is>
          <t>2nd ed.</t>
        </is>
      </c>
      <c r="O324" t="inlineStr">
        <is>
          <t>eng</t>
        </is>
      </c>
      <c r="P324" t="inlineStr">
        <is>
          <t>ctu</t>
        </is>
      </c>
      <c r="R324" t="inlineStr">
        <is>
          <t xml:space="preserve">QH </t>
        </is>
      </c>
      <c r="S324" t="n">
        <v>3</v>
      </c>
      <c r="T324" t="n">
        <v>3</v>
      </c>
      <c r="U324" t="inlineStr">
        <is>
          <t>1997-06-17</t>
        </is>
      </c>
      <c r="V324" t="inlineStr">
        <is>
          <t>1997-06-17</t>
        </is>
      </c>
      <c r="W324" t="inlineStr">
        <is>
          <t>1993-03-22</t>
        </is>
      </c>
      <c r="X324" t="inlineStr">
        <is>
          <t>1993-03-22</t>
        </is>
      </c>
      <c r="Y324" t="n">
        <v>481</v>
      </c>
      <c r="Z324" t="n">
        <v>406</v>
      </c>
      <c r="AA324" t="n">
        <v>581</v>
      </c>
      <c r="AB324" t="n">
        <v>4</v>
      </c>
      <c r="AC324" t="n">
        <v>5</v>
      </c>
      <c r="AD324" t="n">
        <v>13</v>
      </c>
      <c r="AE324" t="n">
        <v>19</v>
      </c>
      <c r="AF324" t="n">
        <v>5</v>
      </c>
      <c r="AG324" t="n">
        <v>6</v>
      </c>
      <c r="AH324" t="n">
        <v>3</v>
      </c>
      <c r="AI324" t="n">
        <v>4</v>
      </c>
      <c r="AJ324" t="n">
        <v>5</v>
      </c>
      <c r="AK324" t="n">
        <v>8</v>
      </c>
      <c r="AL324" t="n">
        <v>3</v>
      </c>
      <c r="AM324" t="n">
        <v>4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HYPERLINK("https://creighton-primo.hosted.exlibrisgroup.com/primo-explore/search?tab=default_tab&amp;search_scope=EVERYTHING&amp;vid=01CRU&amp;lang=en_US&amp;offset=0&amp;query=any,contains,991000313359702656","Catalog Record")</f>
        <v/>
      </c>
      <c r="AT324">
        <f>HYPERLINK("http://www.worldcat.org/oclc/10100835","WorldCat Record")</f>
        <v/>
      </c>
      <c r="AU324" t="inlineStr">
        <is>
          <t>889694218:eng</t>
        </is>
      </c>
      <c r="AV324" t="inlineStr">
        <is>
          <t>10100835</t>
        </is>
      </c>
      <c r="AW324" t="inlineStr">
        <is>
          <t>991000313359702656</t>
        </is>
      </c>
      <c r="AX324" t="inlineStr">
        <is>
          <t>991000313359702656</t>
        </is>
      </c>
      <c r="AY324" t="inlineStr">
        <is>
          <t>2256166140002656</t>
        </is>
      </c>
      <c r="AZ324" t="inlineStr">
        <is>
          <t>BOOK</t>
        </is>
      </c>
      <c r="BB324" t="inlineStr">
        <is>
          <t>9780300032024</t>
        </is>
      </c>
      <c r="BC324" t="inlineStr">
        <is>
          <t>32285001552941</t>
        </is>
      </c>
      <c r="BD324" t="inlineStr">
        <is>
          <t>893339457</t>
        </is>
      </c>
    </row>
    <row r="325">
      <c r="A325" t="inlineStr">
        <is>
          <t>No</t>
        </is>
      </c>
      <c r="B325" t="inlineStr">
        <is>
          <t>QH325 .D4 1991</t>
        </is>
      </c>
      <c r="C325" t="inlineStr">
        <is>
          <t>0                      QH 0325000D  4           1991</t>
        </is>
      </c>
      <c r="D325" t="inlineStr">
        <is>
          <t>Blueprint for a cell : the nature and origin of life / Christian de Duve.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De Duve, Christian.</t>
        </is>
      </c>
      <c r="L325" t="inlineStr">
        <is>
          <t>Burlington, N.C. : N. Patterson, 1991.</t>
        </is>
      </c>
      <c r="M325" t="inlineStr">
        <is>
          <t>1991</t>
        </is>
      </c>
      <c r="O325" t="inlineStr">
        <is>
          <t>eng</t>
        </is>
      </c>
      <c r="P325" t="inlineStr">
        <is>
          <t>ncu</t>
        </is>
      </c>
      <c r="R325" t="inlineStr">
        <is>
          <t xml:space="preserve">QH </t>
        </is>
      </c>
      <c r="S325" t="n">
        <v>8</v>
      </c>
      <c r="T325" t="n">
        <v>8</v>
      </c>
      <c r="U325" t="inlineStr">
        <is>
          <t>1995-10-01</t>
        </is>
      </c>
      <c r="V325" t="inlineStr">
        <is>
          <t>1995-10-01</t>
        </is>
      </c>
      <c r="W325" t="inlineStr">
        <is>
          <t>1991-05-13</t>
        </is>
      </c>
      <c r="X325" t="inlineStr">
        <is>
          <t>1991-05-13</t>
        </is>
      </c>
      <c r="Y325" t="n">
        <v>882</v>
      </c>
      <c r="Z325" t="n">
        <v>763</v>
      </c>
      <c r="AA325" t="n">
        <v>788</v>
      </c>
      <c r="AB325" t="n">
        <v>8</v>
      </c>
      <c r="AC325" t="n">
        <v>8</v>
      </c>
      <c r="AD325" t="n">
        <v>38</v>
      </c>
      <c r="AE325" t="n">
        <v>39</v>
      </c>
      <c r="AF325" t="n">
        <v>15</v>
      </c>
      <c r="AG325" t="n">
        <v>15</v>
      </c>
      <c r="AH325" t="n">
        <v>6</v>
      </c>
      <c r="AI325" t="n">
        <v>7</v>
      </c>
      <c r="AJ325" t="n">
        <v>17</v>
      </c>
      <c r="AK325" t="n">
        <v>18</v>
      </c>
      <c r="AL325" t="n">
        <v>7</v>
      </c>
      <c r="AM325" t="n">
        <v>7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HYPERLINK("http://catalog.hathitrust.org/Record/002444797","HathiTrust Record")</f>
        <v/>
      </c>
      <c r="AS325">
        <f>HYPERLINK("https://creighton-primo.hosted.exlibrisgroup.com/primo-explore/search?tab=default_tab&amp;search_scope=EVERYTHING&amp;vid=01CRU&amp;lang=en_US&amp;offset=0&amp;query=any,contains,991001747219702656","Catalog Record")</f>
        <v/>
      </c>
      <c r="AT325">
        <f>HYPERLINK("http://www.worldcat.org/oclc/22116002","WorldCat Record")</f>
        <v/>
      </c>
      <c r="AU325" t="inlineStr">
        <is>
          <t>199191976:eng</t>
        </is>
      </c>
      <c r="AV325" t="inlineStr">
        <is>
          <t>22116002</t>
        </is>
      </c>
      <c r="AW325" t="inlineStr">
        <is>
          <t>991001747219702656</t>
        </is>
      </c>
      <c r="AX325" t="inlineStr">
        <is>
          <t>991001747219702656</t>
        </is>
      </c>
      <c r="AY325" t="inlineStr">
        <is>
          <t>2265200490002656</t>
        </is>
      </c>
      <c r="AZ325" t="inlineStr">
        <is>
          <t>BOOK</t>
        </is>
      </c>
      <c r="BB325" t="inlineStr">
        <is>
          <t>9780892784103</t>
        </is>
      </c>
      <c r="BC325" t="inlineStr">
        <is>
          <t>32285000572312</t>
        </is>
      </c>
      <c r="BD325" t="inlineStr">
        <is>
          <t>893772852</t>
        </is>
      </c>
    </row>
    <row r="326">
      <c r="A326" t="inlineStr">
        <is>
          <t>No</t>
        </is>
      </c>
      <c r="B326" t="inlineStr">
        <is>
          <t>QH325 .D42 1995</t>
        </is>
      </c>
      <c r="C326" t="inlineStr">
        <is>
          <t>0                      QH 0325000D  42          1995</t>
        </is>
      </c>
      <c r="D326" t="inlineStr">
        <is>
          <t>Vital dust : life as a cosmic imperative / Christian de Duve.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De Duve, Christian.</t>
        </is>
      </c>
      <c r="L326" t="inlineStr">
        <is>
          <t>New York : Basic Books, 1995.</t>
        </is>
      </c>
      <c r="M326" t="inlineStr">
        <is>
          <t>1995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QH </t>
        </is>
      </c>
      <c r="S326" t="n">
        <v>11</v>
      </c>
      <c r="T326" t="n">
        <v>11</v>
      </c>
      <c r="U326" t="inlineStr">
        <is>
          <t>1997-02-24</t>
        </is>
      </c>
      <c r="V326" t="inlineStr">
        <is>
          <t>1997-02-24</t>
        </is>
      </c>
      <c r="W326" t="inlineStr">
        <is>
          <t>1995-02-02</t>
        </is>
      </c>
      <c r="X326" t="inlineStr">
        <is>
          <t>1995-02-02</t>
        </is>
      </c>
      <c r="Y326" t="n">
        <v>985</v>
      </c>
      <c r="Z326" t="n">
        <v>871</v>
      </c>
      <c r="AA326" t="n">
        <v>889</v>
      </c>
      <c r="AB326" t="n">
        <v>6</v>
      </c>
      <c r="AC326" t="n">
        <v>6</v>
      </c>
      <c r="AD326" t="n">
        <v>35</v>
      </c>
      <c r="AE326" t="n">
        <v>35</v>
      </c>
      <c r="AF326" t="n">
        <v>13</v>
      </c>
      <c r="AG326" t="n">
        <v>13</v>
      </c>
      <c r="AH326" t="n">
        <v>8</v>
      </c>
      <c r="AI326" t="n">
        <v>8</v>
      </c>
      <c r="AJ326" t="n">
        <v>19</v>
      </c>
      <c r="AK326" t="n">
        <v>19</v>
      </c>
      <c r="AL326" t="n">
        <v>4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HYPERLINK("http://catalog.hathitrust.org/Record/002938329","HathiTrust Record")</f>
        <v/>
      </c>
      <c r="AS326">
        <f>HYPERLINK("https://creighton-primo.hosted.exlibrisgroup.com/primo-explore/search?tab=default_tab&amp;search_scope=EVERYTHING&amp;vid=01CRU&amp;lang=en_US&amp;offset=0&amp;query=any,contains,991002352659702656","Catalog Record")</f>
        <v/>
      </c>
      <c r="AT326">
        <f>HYPERLINK("http://www.worldcat.org/oclc/30624716","WorldCat Record")</f>
        <v/>
      </c>
      <c r="AU326" t="inlineStr">
        <is>
          <t>32686531:eng</t>
        </is>
      </c>
      <c r="AV326" t="inlineStr">
        <is>
          <t>30624716</t>
        </is>
      </c>
      <c r="AW326" t="inlineStr">
        <is>
          <t>991002352659702656</t>
        </is>
      </c>
      <c r="AX326" t="inlineStr">
        <is>
          <t>991002352659702656</t>
        </is>
      </c>
      <c r="AY326" t="inlineStr">
        <is>
          <t>2260252920002656</t>
        </is>
      </c>
      <c r="AZ326" t="inlineStr">
        <is>
          <t>BOOK</t>
        </is>
      </c>
      <c r="BB326" t="inlineStr">
        <is>
          <t>9780465090440</t>
        </is>
      </c>
      <c r="BC326" t="inlineStr">
        <is>
          <t>32285001996601</t>
        </is>
      </c>
      <c r="BD326" t="inlineStr">
        <is>
          <t>893716339</t>
        </is>
      </c>
    </row>
    <row r="327">
      <c r="A327" t="inlineStr">
        <is>
          <t>No</t>
        </is>
      </c>
      <c r="B327" t="inlineStr">
        <is>
          <t>QH325 .D88 1999</t>
        </is>
      </c>
      <c r="C327" t="inlineStr">
        <is>
          <t>0                      QH 0325000D  88          1999</t>
        </is>
      </c>
      <c r="D327" t="inlineStr">
        <is>
          <t>Origins of life / Freeman Dyson.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Dyson, Freeman J.</t>
        </is>
      </c>
      <c r="L327" t="inlineStr">
        <is>
          <t>Cambridge, U.K. ; New York : Cambridge University Press, 1999.</t>
        </is>
      </c>
      <c r="M327" t="inlineStr">
        <is>
          <t>1999</t>
        </is>
      </c>
      <c r="N327" t="inlineStr">
        <is>
          <t>Rev. ed.</t>
        </is>
      </c>
      <c r="O327" t="inlineStr">
        <is>
          <t>eng</t>
        </is>
      </c>
      <c r="P327" t="inlineStr">
        <is>
          <t>enk</t>
        </is>
      </c>
      <c r="R327" t="inlineStr">
        <is>
          <t xml:space="preserve">QH </t>
        </is>
      </c>
      <c r="S327" t="n">
        <v>3</v>
      </c>
      <c r="T327" t="n">
        <v>3</v>
      </c>
      <c r="U327" t="inlineStr">
        <is>
          <t>2002-11-12</t>
        </is>
      </c>
      <c r="V327" t="inlineStr">
        <is>
          <t>2002-11-12</t>
        </is>
      </c>
      <c r="W327" t="inlineStr">
        <is>
          <t>1999-12-20</t>
        </is>
      </c>
      <c r="X327" t="inlineStr">
        <is>
          <t>1999-12-20</t>
        </is>
      </c>
      <c r="Y327" t="n">
        <v>553</v>
      </c>
      <c r="Z327" t="n">
        <v>428</v>
      </c>
      <c r="AA327" t="n">
        <v>1864</v>
      </c>
      <c r="AB327" t="n">
        <v>4</v>
      </c>
      <c r="AC327" t="n">
        <v>16</v>
      </c>
      <c r="AD327" t="n">
        <v>15</v>
      </c>
      <c r="AE327" t="n">
        <v>52</v>
      </c>
      <c r="AF327" t="n">
        <v>4</v>
      </c>
      <c r="AG327" t="n">
        <v>19</v>
      </c>
      <c r="AH327" t="n">
        <v>4</v>
      </c>
      <c r="AI327" t="n">
        <v>11</v>
      </c>
      <c r="AJ327" t="n">
        <v>7</v>
      </c>
      <c r="AK327" t="n">
        <v>18</v>
      </c>
      <c r="AL327" t="n">
        <v>3</v>
      </c>
      <c r="AM327" t="n">
        <v>13</v>
      </c>
      <c r="AN327" t="n">
        <v>0</v>
      </c>
      <c r="AO327" t="n">
        <v>2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HYPERLINK("https://creighton-primo.hosted.exlibrisgroup.com/primo-explore/search?tab=default_tab&amp;search_scope=EVERYTHING&amp;vid=01CRU&amp;lang=en_US&amp;offset=0&amp;query=any,contains,991003014229702656","Catalog Record")</f>
        <v/>
      </c>
      <c r="AT327">
        <f>HYPERLINK("http://www.worldcat.org/oclc/40964815","WorldCat Record")</f>
        <v/>
      </c>
      <c r="AU327" t="inlineStr">
        <is>
          <t>909078:eng</t>
        </is>
      </c>
      <c r="AV327" t="inlineStr">
        <is>
          <t>40964815</t>
        </is>
      </c>
      <c r="AW327" t="inlineStr">
        <is>
          <t>991003014229702656</t>
        </is>
      </c>
      <c r="AX327" t="inlineStr">
        <is>
          <t>991003014229702656</t>
        </is>
      </c>
      <c r="AY327" t="inlineStr">
        <is>
          <t>2268259850002656</t>
        </is>
      </c>
      <c r="AZ327" t="inlineStr">
        <is>
          <t>BOOK</t>
        </is>
      </c>
      <c r="BB327" t="inlineStr">
        <is>
          <t>9780521626682</t>
        </is>
      </c>
      <c r="BC327" t="inlineStr">
        <is>
          <t>32285003635009</t>
        </is>
      </c>
      <c r="BD327" t="inlineStr">
        <is>
          <t>893710957</t>
        </is>
      </c>
    </row>
    <row r="328">
      <c r="A328" t="inlineStr">
        <is>
          <t>No</t>
        </is>
      </c>
      <c r="B328" t="inlineStr">
        <is>
          <t>QH325 .E543</t>
        </is>
      </c>
      <c r="C328" t="inlineStr">
        <is>
          <t>0                      QH 0325000E  543</t>
        </is>
      </c>
      <c r="D328" t="inlineStr">
        <is>
          <t>Life : origin and development.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Ehrensvärd, Gösta Carl Henrik, Greve, 1910-</t>
        </is>
      </c>
      <c r="L328" t="inlineStr">
        <is>
          <t>[Chicago] : University of Chicago Press, [1962]</t>
        </is>
      </c>
      <c r="M328" t="inlineStr">
        <is>
          <t>1962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QH </t>
        </is>
      </c>
      <c r="S328" t="n">
        <v>5</v>
      </c>
      <c r="T328" t="n">
        <v>5</v>
      </c>
      <c r="U328" t="inlineStr">
        <is>
          <t>1998-10-04</t>
        </is>
      </c>
      <c r="V328" t="inlineStr">
        <is>
          <t>1998-10-04</t>
        </is>
      </c>
      <c r="W328" t="inlineStr">
        <is>
          <t>1994-10-03</t>
        </is>
      </c>
      <c r="X328" t="inlineStr">
        <is>
          <t>1994-10-03</t>
        </is>
      </c>
      <c r="Y328" t="n">
        <v>562</v>
      </c>
      <c r="Z328" t="n">
        <v>482</v>
      </c>
      <c r="AA328" t="n">
        <v>491</v>
      </c>
      <c r="AB328" t="n">
        <v>5</v>
      </c>
      <c r="AC328" t="n">
        <v>5</v>
      </c>
      <c r="AD328" t="n">
        <v>25</v>
      </c>
      <c r="AE328" t="n">
        <v>25</v>
      </c>
      <c r="AF328" t="n">
        <v>10</v>
      </c>
      <c r="AG328" t="n">
        <v>10</v>
      </c>
      <c r="AH328" t="n">
        <v>4</v>
      </c>
      <c r="AI328" t="n">
        <v>4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HYPERLINK("http://catalog.hathitrust.org/Record/001999547","HathiTrust Record")</f>
        <v/>
      </c>
      <c r="AS328">
        <f>HYPERLINK("https://creighton-primo.hosted.exlibrisgroup.com/primo-explore/search?tab=default_tab&amp;search_scope=EVERYTHING&amp;vid=01CRU&amp;lang=en_US&amp;offset=0&amp;query=any,contains,991000623009702656","Catalog Record")</f>
        <v/>
      </c>
      <c r="AT328">
        <f>HYPERLINK("http://www.worldcat.org/oclc/14593115","WorldCat Record")</f>
        <v/>
      </c>
      <c r="AU328" t="inlineStr">
        <is>
          <t>4542147:eng</t>
        </is>
      </c>
      <c r="AV328" t="inlineStr">
        <is>
          <t>14593115</t>
        </is>
      </c>
      <c r="AW328" t="inlineStr">
        <is>
          <t>991000623009702656</t>
        </is>
      </c>
      <c r="AX328" t="inlineStr">
        <is>
          <t>991000623009702656</t>
        </is>
      </c>
      <c r="AY328" t="inlineStr">
        <is>
          <t>2258490830002656</t>
        </is>
      </c>
      <c r="AZ328" t="inlineStr">
        <is>
          <t>BOOK</t>
        </is>
      </c>
      <c r="BC328" t="inlineStr">
        <is>
          <t>32285001953040</t>
        </is>
      </c>
      <c r="BD328" t="inlineStr">
        <is>
          <t>893521852</t>
        </is>
      </c>
    </row>
    <row r="329">
      <c r="A329" t="inlineStr">
        <is>
          <t>No</t>
        </is>
      </c>
      <c r="B329" t="inlineStr">
        <is>
          <t>QH325 .E5513 1992</t>
        </is>
      </c>
      <c r="C329" t="inlineStr">
        <is>
          <t>0                      QH 0325000E  5513        1992</t>
        </is>
      </c>
      <c r="D329" t="inlineStr">
        <is>
          <t>Steps towards life : a perspective on evolution / by Manfred Eigen with Ruthild Winkler-Oswatitsch ; translation by Paul Woolley.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Eigen, Manfred, 1927-2019.</t>
        </is>
      </c>
      <c r="L329" t="inlineStr">
        <is>
          <t>Oxford ; New York : Oxford University Press, 1992.</t>
        </is>
      </c>
      <c r="M329" t="inlineStr">
        <is>
          <t>1992</t>
        </is>
      </c>
      <c r="O329" t="inlineStr">
        <is>
          <t>eng</t>
        </is>
      </c>
      <c r="P329" t="inlineStr">
        <is>
          <t>enk</t>
        </is>
      </c>
      <c r="R329" t="inlineStr">
        <is>
          <t xml:space="preserve">QH </t>
        </is>
      </c>
      <c r="S329" t="n">
        <v>7</v>
      </c>
      <c r="T329" t="n">
        <v>7</v>
      </c>
      <c r="U329" t="inlineStr">
        <is>
          <t>2006-03-31</t>
        </is>
      </c>
      <c r="V329" t="inlineStr">
        <is>
          <t>2006-03-31</t>
        </is>
      </c>
      <c r="W329" t="inlineStr">
        <is>
          <t>1993-12-06</t>
        </is>
      </c>
      <c r="X329" t="inlineStr">
        <is>
          <t>1993-12-06</t>
        </is>
      </c>
      <c r="Y329" t="n">
        <v>654</v>
      </c>
      <c r="Z329" t="n">
        <v>535</v>
      </c>
      <c r="AA329" t="n">
        <v>562</v>
      </c>
      <c r="AB329" t="n">
        <v>5</v>
      </c>
      <c r="AC329" t="n">
        <v>5</v>
      </c>
      <c r="AD329" t="n">
        <v>30</v>
      </c>
      <c r="AE329" t="n">
        <v>30</v>
      </c>
      <c r="AF329" t="n">
        <v>13</v>
      </c>
      <c r="AG329" t="n">
        <v>13</v>
      </c>
      <c r="AH329" t="n">
        <v>6</v>
      </c>
      <c r="AI329" t="n">
        <v>6</v>
      </c>
      <c r="AJ329" t="n">
        <v>16</v>
      </c>
      <c r="AK329" t="n">
        <v>16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HYPERLINK("http://catalog.hathitrust.org/Record/002557390","HathiTrust Record")</f>
        <v/>
      </c>
      <c r="AS329">
        <f>HYPERLINK("https://creighton-primo.hosted.exlibrisgroup.com/primo-explore/search?tab=default_tab&amp;search_scope=EVERYTHING&amp;vid=01CRU&amp;lang=en_US&amp;offset=0&amp;query=any,contains,991001903839702656","Catalog Record")</f>
        <v/>
      </c>
      <c r="AT329">
        <f>HYPERLINK("http://www.worldcat.org/oclc/24065458","WorldCat Record")</f>
        <v/>
      </c>
      <c r="AU329" t="inlineStr">
        <is>
          <t>11279789:eng</t>
        </is>
      </c>
      <c r="AV329" t="inlineStr">
        <is>
          <t>24065458</t>
        </is>
      </c>
      <c r="AW329" t="inlineStr">
        <is>
          <t>991001903839702656</t>
        </is>
      </c>
      <c r="AX329" t="inlineStr">
        <is>
          <t>991001903839702656</t>
        </is>
      </c>
      <c r="AY329" t="inlineStr">
        <is>
          <t>2264050400002656</t>
        </is>
      </c>
      <c r="AZ329" t="inlineStr">
        <is>
          <t>BOOK</t>
        </is>
      </c>
      <c r="BB329" t="inlineStr">
        <is>
          <t>9780198547518</t>
        </is>
      </c>
      <c r="BC329" t="inlineStr">
        <is>
          <t>32285001814010</t>
        </is>
      </c>
      <c r="BD329" t="inlineStr">
        <is>
          <t>893590726</t>
        </is>
      </c>
    </row>
    <row r="330">
      <c r="A330" t="inlineStr">
        <is>
          <t>No</t>
        </is>
      </c>
      <c r="B330" t="inlineStr">
        <is>
          <t>QH325 .E96 1991</t>
        </is>
      </c>
      <c r="C330" t="inlineStr">
        <is>
          <t>0                      QH 0325000E  96          1991</t>
        </is>
      </c>
      <c r="D330" t="inlineStr">
        <is>
          <t>Evolution at the molecular level / edited by Robert K. Selander, Andrew G. Clark, and Thomas S. Whittam.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L330" t="inlineStr">
        <is>
          <t>Sunderland, Mass. : Sinauer Associates, c1991.</t>
        </is>
      </c>
      <c r="M330" t="inlineStr">
        <is>
          <t>1991</t>
        </is>
      </c>
      <c r="O330" t="inlineStr">
        <is>
          <t>eng</t>
        </is>
      </c>
      <c r="P330" t="inlineStr">
        <is>
          <t>mau</t>
        </is>
      </c>
      <c r="R330" t="inlineStr">
        <is>
          <t xml:space="preserve">QH </t>
        </is>
      </c>
      <c r="S330" t="n">
        <v>11</v>
      </c>
      <c r="T330" t="n">
        <v>11</v>
      </c>
      <c r="U330" t="inlineStr">
        <is>
          <t>1998-08-25</t>
        </is>
      </c>
      <c r="V330" t="inlineStr">
        <is>
          <t>1998-08-25</t>
        </is>
      </c>
      <c r="W330" t="inlineStr">
        <is>
          <t>1991-05-16</t>
        </is>
      </c>
      <c r="X330" t="inlineStr">
        <is>
          <t>1991-05-16</t>
        </is>
      </c>
      <c r="Y330" t="n">
        <v>438</v>
      </c>
      <c r="Z330" t="n">
        <v>316</v>
      </c>
      <c r="AA330" t="n">
        <v>319</v>
      </c>
      <c r="AB330" t="n">
        <v>3</v>
      </c>
      <c r="AC330" t="n">
        <v>3</v>
      </c>
      <c r="AD330" t="n">
        <v>16</v>
      </c>
      <c r="AE330" t="n">
        <v>16</v>
      </c>
      <c r="AF330" t="n">
        <v>5</v>
      </c>
      <c r="AG330" t="n">
        <v>5</v>
      </c>
      <c r="AH330" t="n">
        <v>4</v>
      </c>
      <c r="AI330" t="n">
        <v>4</v>
      </c>
      <c r="AJ330" t="n">
        <v>9</v>
      </c>
      <c r="AK330" t="n">
        <v>9</v>
      </c>
      <c r="AL330" t="n">
        <v>2</v>
      </c>
      <c r="AM330" t="n">
        <v>2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HYPERLINK("http://catalog.hathitrust.org/Record/002422506","HathiTrust Record")</f>
        <v/>
      </c>
      <c r="AS330">
        <f>HYPERLINK("https://creighton-primo.hosted.exlibrisgroup.com/primo-explore/search?tab=default_tab&amp;search_scope=EVERYTHING&amp;vid=01CRU&amp;lang=en_US&amp;offset=0&amp;query=any,contains,991001754179702656","Catalog Record")</f>
        <v/>
      </c>
      <c r="AT330">
        <f>HYPERLINK("http://www.worldcat.org/oclc/22206444","WorldCat Record")</f>
        <v/>
      </c>
      <c r="AU330" t="inlineStr">
        <is>
          <t>365922901:eng</t>
        </is>
      </c>
      <c r="AV330" t="inlineStr">
        <is>
          <t>22206444</t>
        </is>
      </c>
      <c r="AW330" t="inlineStr">
        <is>
          <t>991001754179702656</t>
        </is>
      </c>
      <c r="AX330" t="inlineStr">
        <is>
          <t>991001754179702656</t>
        </is>
      </c>
      <c r="AY330" t="inlineStr">
        <is>
          <t>2255626000002656</t>
        </is>
      </c>
      <c r="AZ330" t="inlineStr">
        <is>
          <t>BOOK</t>
        </is>
      </c>
      <c r="BB330" t="inlineStr">
        <is>
          <t>9780878938193</t>
        </is>
      </c>
      <c r="BC330" t="inlineStr">
        <is>
          <t>32285000573716</t>
        </is>
      </c>
      <c r="BD330" t="inlineStr">
        <is>
          <t>893256486</t>
        </is>
      </c>
    </row>
    <row r="331">
      <c r="A331" t="inlineStr">
        <is>
          <t>No</t>
        </is>
      </c>
      <c r="B331" t="inlineStr">
        <is>
          <t>QH325 .F24 1977</t>
        </is>
      </c>
      <c r="C331" t="inlineStr">
        <is>
          <t>0                      QH 0325000F  24          1977</t>
        </is>
      </c>
      <c r="D331" t="inlineStr">
        <is>
          <t>The spontaneous generation controversy from Descartes to Oparin / John Farley.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Farley, John, 1936-</t>
        </is>
      </c>
      <c r="L331" t="inlineStr">
        <is>
          <t>Baltimore : Johns Hopkins University Press, c1977, 1979 printing.</t>
        </is>
      </c>
      <c r="M331" t="inlineStr">
        <is>
          <t>1977</t>
        </is>
      </c>
      <c r="O331" t="inlineStr">
        <is>
          <t>eng</t>
        </is>
      </c>
      <c r="P331" t="inlineStr">
        <is>
          <t>mdu</t>
        </is>
      </c>
      <c r="R331" t="inlineStr">
        <is>
          <t xml:space="preserve">QH </t>
        </is>
      </c>
      <c r="S331" t="n">
        <v>5</v>
      </c>
      <c r="T331" t="n">
        <v>5</v>
      </c>
      <c r="U331" t="inlineStr">
        <is>
          <t>1994-10-02</t>
        </is>
      </c>
      <c r="V331" t="inlineStr">
        <is>
          <t>1994-10-02</t>
        </is>
      </c>
      <c r="W331" t="inlineStr">
        <is>
          <t>1993-03-22</t>
        </is>
      </c>
      <c r="X331" t="inlineStr">
        <is>
          <t>1993-03-22</t>
        </is>
      </c>
      <c r="Y331" t="n">
        <v>696</v>
      </c>
      <c r="Z331" t="n">
        <v>553</v>
      </c>
      <c r="AA331" t="n">
        <v>561</v>
      </c>
      <c r="AB331" t="n">
        <v>3</v>
      </c>
      <c r="AC331" t="n">
        <v>3</v>
      </c>
      <c r="AD331" t="n">
        <v>21</v>
      </c>
      <c r="AE331" t="n">
        <v>21</v>
      </c>
      <c r="AF331" t="n">
        <v>7</v>
      </c>
      <c r="AG331" t="n">
        <v>7</v>
      </c>
      <c r="AH331" t="n">
        <v>6</v>
      </c>
      <c r="AI331" t="n">
        <v>6</v>
      </c>
      <c r="AJ331" t="n">
        <v>11</v>
      </c>
      <c r="AK331" t="n">
        <v>11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HYPERLINK("http://catalog.hathitrust.org/Record/000251370","HathiTrust Record")</f>
        <v/>
      </c>
      <c r="AS331">
        <f>HYPERLINK("https://creighton-primo.hosted.exlibrisgroup.com/primo-explore/search?tab=default_tab&amp;search_scope=EVERYTHING&amp;vid=01CRU&amp;lang=en_US&amp;offset=0&amp;query=any,contains,991004314679702656","Catalog Record")</f>
        <v/>
      </c>
      <c r="AT331">
        <f>HYPERLINK("http://www.worldcat.org/oclc/3003233","WorldCat Record")</f>
        <v/>
      </c>
      <c r="AU331" t="inlineStr">
        <is>
          <t>6712085:eng</t>
        </is>
      </c>
      <c r="AV331" t="inlineStr">
        <is>
          <t>3003233</t>
        </is>
      </c>
      <c r="AW331" t="inlineStr">
        <is>
          <t>991004314679702656</t>
        </is>
      </c>
      <c r="AX331" t="inlineStr">
        <is>
          <t>991004314679702656</t>
        </is>
      </c>
      <c r="AY331" t="inlineStr">
        <is>
          <t>2270904570002656</t>
        </is>
      </c>
      <c r="AZ331" t="inlineStr">
        <is>
          <t>BOOK</t>
        </is>
      </c>
      <c r="BB331" t="inlineStr">
        <is>
          <t>9780801819025</t>
        </is>
      </c>
      <c r="BC331" t="inlineStr">
        <is>
          <t>32285001552966</t>
        </is>
      </c>
      <c r="BD331" t="inlineStr">
        <is>
          <t>893599687</t>
        </is>
      </c>
    </row>
    <row r="332">
      <c r="A332" t="inlineStr">
        <is>
          <t>No</t>
        </is>
      </c>
      <c r="B332" t="inlineStr">
        <is>
          <t>QH325 .F5</t>
        </is>
      </c>
      <c r="C332" t="inlineStr">
        <is>
          <t>0                      QH 0325000F  5</t>
        </is>
      </c>
      <c r="D332" t="inlineStr">
        <is>
          <t>Aspects of the origin of life.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Florkin, Marcel, editor.</t>
        </is>
      </c>
      <c r="L332" t="inlineStr">
        <is>
          <t>Oxford, New York, Pergamon Press, 1960.</t>
        </is>
      </c>
      <c r="M332" t="inlineStr">
        <is>
          <t>1960</t>
        </is>
      </c>
      <c r="O332" t="inlineStr">
        <is>
          <t>eng</t>
        </is>
      </c>
      <c r="P332" t="inlineStr">
        <is>
          <t>enk</t>
        </is>
      </c>
      <c r="Q332" t="inlineStr">
        <is>
          <t>International series of monographs on pure and applied biology. Division, Modern trends in physiological sciences ; v. 6</t>
        </is>
      </c>
      <c r="R332" t="inlineStr">
        <is>
          <t xml:space="preserve">QH </t>
        </is>
      </c>
      <c r="S332" t="n">
        <v>1</v>
      </c>
      <c r="T332" t="n">
        <v>1</v>
      </c>
      <c r="U332" t="inlineStr">
        <is>
          <t>2002-09-04</t>
        </is>
      </c>
      <c r="V332" t="inlineStr">
        <is>
          <t>2002-09-04</t>
        </is>
      </c>
      <c r="W332" t="inlineStr">
        <is>
          <t>1997-07-01</t>
        </is>
      </c>
      <c r="X332" t="inlineStr">
        <is>
          <t>1997-07-01</t>
        </is>
      </c>
      <c r="Y332" t="n">
        <v>515</v>
      </c>
      <c r="Z332" t="n">
        <v>405</v>
      </c>
      <c r="AA332" t="n">
        <v>470</v>
      </c>
      <c r="AB332" t="n">
        <v>3</v>
      </c>
      <c r="AC332" t="n">
        <v>3</v>
      </c>
      <c r="AD332" t="n">
        <v>19</v>
      </c>
      <c r="AE332" t="n">
        <v>22</v>
      </c>
      <c r="AF332" t="n">
        <v>6</v>
      </c>
      <c r="AG332" t="n">
        <v>7</v>
      </c>
      <c r="AH332" t="n">
        <v>4</v>
      </c>
      <c r="AI332" t="n">
        <v>5</v>
      </c>
      <c r="AJ332" t="n">
        <v>11</v>
      </c>
      <c r="AK332" t="n">
        <v>12</v>
      </c>
      <c r="AL332" t="n">
        <v>2</v>
      </c>
      <c r="AM332" t="n">
        <v>2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HYPERLINK("http://catalog.hathitrust.org/Record/001495902","HathiTrust Record")</f>
        <v/>
      </c>
      <c r="AS332">
        <f>HYPERLINK("https://creighton-primo.hosted.exlibrisgroup.com/primo-explore/search?tab=default_tab&amp;search_scope=EVERYTHING&amp;vid=01CRU&amp;lang=en_US&amp;offset=0&amp;query=any,contains,991002977809702656","Catalog Record")</f>
        <v/>
      </c>
      <c r="AT332">
        <f>HYPERLINK("http://www.worldcat.org/oclc/553029","WorldCat Record")</f>
        <v/>
      </c>
      <c r="AU332" t="inlineStr">
        <is>
          <t>1602291:eng</t>
        </is>
      </c>
      <c r="AV332" t="inlineStr">
        <is>
          <t>553029</t>
        </is>
      </c>
      <c r="AW332" t="inlineStr">
        <is>
          <t>991002977809702656</t>
        </is>
      </c>
      <c r="AX332" t="inlineStr">
        <is>
          <t>991002977809702656</t>
        </is>
      </c>
      <c r="AY332" t="inlineStr">
        <is>
          <t>2259103940002656</t>
        </is>
      </c>
      <c r="AZ332" t="inlineStr">
        <is>
          <t>BOOK</t>
        </is>
      </c>
      <c r="BC332" t="inlineStr">
        <is>
          <t>32285002868577</t>
        </is>
      </c>
      <c r="BD332" t="inlineStr">
        <is>
          <t>893505055</t>
        </is>
      </c>
    </row>
    <row r="333">
      <c r="A333" t="inlineStr">
        <is>
          <t>No</t>
        </is>
      </c>
      <c r="B333" t="inlineStr">
        <is>
          <t>QH325 .F57</t>
        </is>
      </c>
      <c r="C333" t="inlineStr">
        <is>
          <t>0                      QH 0325000F  57</t>
        </is>
      </c>
      <c r="D333" t="inlineStr">
        <is>
          <t>The origin of life : a warm little pond / Clair Edwin Folsome.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Folsome, Clair Edwin, 1935-</t>
        </is>
      </c>
      <c r="L333" t="inlineStr">
        <is>
          <t>San Francisco : W. H. Freeman, c1979.</t>
        </is>
      </c>
      <c r="M333" t="inlineStr">
        <is>
          <t>1979</t>
        </is>
      </c>
      <c r="O333" t="inlineStr">
        <is>
          <t>eng</t>
        </is>
      </c>
      <c r="P333" t="inlineStr">
        <is>
          <t>cau</t>
        </is>
      </c>
      <c r="Q333" t="inlineStr">
        <is>
          <t>A Series of books in biology</t>
        </is>
      </c>
      <c r="R333" t="inlineStr">
        <is>
          <t xml:space="preserve">QH </t>
        </is>
      </c>
      <c r="S333" t="n">
        <v>13</v>
      </c>
      <c r="T333" t="n">
        <v>13</v>
      </c>
      <c r="U333" t="inlineStr">
        <is>
          <t>2002-10-05</t>
        </is>
      </c>
      <c r="V333" t="inlineStr">
        <is>
          <t>2002-10-05</t>
        </is>
      </c>
      <c r="W333" t="inlineStr">
        <is>
          <t>1992-03-17</t>
        </is>
      </c>
      <c r="X333" t="inlineStr">
        <is>
          <t>1992-03-17</t>
        </is>
      </c>
      <c r="Y333" t="n">
        <v>579</v>
      </c>
      <c r="Z333" t="n">
        <v>437</v>
      </c>
      <c r="AA333" t="n">
        <v>442</v>
      </c>
      <c r="AB333" t="n">
        <v>4</v>
      </c>
      <c r="AC333" t="n">
        <v>4</v>
      </c>
      <c r="AD333" t="n">
        <v>14</v>
      </c>
      <c r="AE333" t="n">
        <v>14</v>
      </c>
      <c r="AF333" t="n">
        <v>5</v>
      </c>
      <c r="AG333" t="n">
        <v>5</v>
      </c>
      <c r="AH333" t="n">
        <v>2</v>
      </c>
      <c r="AI333" t="n">
        <v>2</v>
      </c>
      <c r="AJ333" t="n">
        <v>6</v>
      </c>
      <c r="AK333" t="n">
        <v>6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HYPERLINK("https://creighton-primo.hosted.exlibrisgroup.com/primo-explore/search?tab=default_tab&amp;search_scope=EVERYTHING&amp;vid=01CRU&amp;lang=en_US&amp;offset=0&amp;query=any,contains,991004658109702656","Catalog Record")</f>
        <v/>
      </c>
      <c r="AT333">
        <f>HYPERLINK("http://www.worldcat.org/oclc/4495872","WorldCat Record")</f>
        <v/>
      </c>
      <c r="AU333" t="inlineStr">
        <is>
          <t>822174456:eng</t>
        </is>
      </c>
      <c r="AV333" t="inlineStr">
        <is>
          <t>4495872</t>
        </is>
      </c>
      <c r="AW333" t="inlineStr">
        <is>
          <t>991004658109702656</t>
        </is>
      </c>
      <c r="AX333" t="inlineStr">
        <is>
          <t>991004658109702656</t>
        </is>
      </c>
      <c r="AY333" t="inlineStr">
        <is>
          <t>2267940520002656</t>
        </is>
      </c>
      <c r="AZ333" t="inlineStr">
        <is>
          <t>BOOK</t>
        </is>
      </c>
      <c r="BB333" t="inlineStr">
        <is>
          <t>9780716702948</t>
        </is>
      </c>
      <c r="BC333" t="inlineStr">
        <is>
          <t>32285001013142</t>
        </is>
      </c>
      <c r="BD333" t="inlineStr">
        <is>
          <t>893618923</t>
        </is>
      </c>
    </row>
    <row r="334">
      <c r="A334" t="inlineStr">
        <is>
          <t>No</t>
        </is>
      </c>
      <c r="B334" t="inlineStr">
        <is>
          <t>QH325 .F658 1988</t>
        </is>
      </c>
      <c r="C334" t="inlineStr">
        <is>
          <t>0                      QH 0325000F  658         1988</t>
        </is>
      </c>
      <c r="D334" t="inlineStr">
        <is>
          <t>The emergence of life : Darwinian evolution from the inside / Sidney Fox.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Fox, Sidney W.</t>
        </is>
      </c>
      <c r="L334" t="inlineStr">
        <is>
          <t>New York : Basic Books, c1988.</t>
        </is>
      </c>
      <c r="M334" t="inlineStr">
        <is>
          <t>1988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QH </t>
        </is>
      </c>
      <c r="S334" t="n">
        <v>8</v>
      </c>
      <c r="T334" t="n">
        <v>8</v>
      </c>
      <c r="U334" t="inlineStr">
        <is>
          <t>1996-09-03</t>
        </is>
      </c>
      <c r="V334" t="inlineStr">
        <is>
          <t>1996-09-03</t>
        </is>
      </c>
      <c r="W334" t="inlineStr">
        <is>
          <t>1993-03-22</t>
        </is>
      </c>
      <c r="X334" t="inlineStr">
        <is>
          <t>1993-03-22</t>
        </is>
      </c>
      <c r="Y334" t="n">
        <v>676</v>
      </c>
      <c r="Z334" t="n">
        <v>612</v>
      </c>
      <c r="AA334" t="n">
        <v>617</v>
      </c>
      <c r="AB334" t="n">
        <v>3</v>
      </c>
      <c r="AC334" t="n">
        <v>3</v>
      </c>
      <c r="AD334" t="n">
        <v>21</v>
      </c>
      <c r="AE334" t="n">
        <v>21</v>
      </c>
      <c r="AF334" t="n">
        <v>11</v>
      </c>
      <c r="AG334" t="n">
        <v>11</v>
      </c>
      <c r="AH334" t="n">
        <v>2</v>
      </c>
      <c r="AI334" t="n">
        <v>2</v>
      </c>
      <c r="AJ334" t="n">
        <v>13</v>
      </c>
      <c r="AK334" t="n">
        <v>13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HYPERLINK("https://creighton-primo.hosted.exlibrisgroup.com/primo-explore/search?tab=default_tab&amp;search_scope=EVERYTHING&amp;vid=01CRU&amp;lang=en_US&amp;offset=0&amp;query=any,contains,991001225949702656","Catalog Record")</f>
        <v/>
      </c>
      <c r="AT334">
        <f>HYPERLINK("http://www.worldcat.org/oclc/17507294","WorldCat Record")</f>
        <v/>
      </c>
      <c r="AU334" t="inlineStr">
        <is>
          <t>1102095083:eng</t>
        </is>
      </c>
      <c r="AV334" t="inlineStr">
        <is>
          <t>17507294</t>
        </is>
      </c>
      <c r="AW334" t="inlineStr">
        <is>
          <t>991001225949702656</t>
        </is>
      </c>
      <c r="AX334" t="inlineStr">
        <is>
          <t>991001225949702656</t>
        </is>
      </c>
      <c r="AY334" t="inlineStr">
        <is>
          <t>2271213140002656</t>
        </is>
      </c>
      <c r="AZ334" t="inlineStr">
        <is>
          <t>BOOK</t>
        </is>
      </c>
      <c r="BB334" t="inlineStr">
        <is>
          <t>9780465019250</t>
        </is>
      </c>
      <c r="BC334" t="inlineStr">
        <is>
          <t>32285001552974</t>
        </is>
      </c>
      <c r="BD334" t="inlineStr">
        <is>
          <t>893509488</t>
        </is>
      </c>
    </row>
    <row r="335">
      <c r="A335" t="inlineStr">
        <is>
          <t>No</t>
        </is>
      </c>
      <c r="B335" t="inlineStr">
        <is>
          <t>QH325 .F66 1977</t>
        </is>
      </c>
      <c r="C335" t="inlineStr">
        <is>
          <t>0                      QH 0325000F  66          1977</t>
        </is>
      </c>
      <c r="D335" t="inlineStr">
        <is>
          <t>Molecular evolution and the origin of life / Sidney W. Fox, Klaus Dose ; with a foreword by A. Oparin.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Fox, Sidney W.</t>
        </is>
      </c>
      <c r="L335" t="inlineStr">
        <is>
          <t>New York : M. Dekker, c1977.</t>
        </is>
      </c>
      <c r="M335" t="inlineStr">
        <is>
          <t>1977</t>
        </is>
      </c>
      <c r="N335" t="inlineStr">
        <is>
          <t>Rev. ed.</t>
        </is>
      </c>
      <c r="O335" t="inlineStr">
        <is>
          <t>eng</t>
        </is>
      </c>
      <c r="P335" t="inlineStr">
        <is>
          <t>nyu</t>
        </is>
      </c>
      <c r="Q335" t="inlineStr">
        <is>
          <t>Biology ; v. 2</t>
        </is>
      </c>
      <c r="R335" t="inlineStr">
        <is>
          <t xml:space="preserve">QH </t>
        </is>
      </c>
      <c r="S335" t="n">
        <v>8</v>
      </c>
      <c r="T335" t="n">
        <v>8</v>
      </c>
      <c r="U335" t="inlineStr">
        <is>
          <t>1998-06-21</t>
        </is>
      </c>
      <c r="V335" t="inlineStr">
        <is>
          <t>1998-06-21</t>
        </is>
      </c>
      <c r="W335" t="inlineStr">
        <is>
          <t>1995-02-24</t>
        </is>
      </c>
      <c r="X335" t="inlineStr">
        <is>
          <t>1995-02-24</t>
        </is>
      </c>
      <c r="Y335" t="n">
        <v>294</v>
      </c>
      <c r="Z335" t="n">
        <v>222</v>
      </c>
      <c r="AA335" t="n">
        <v>666</v>
      </c>
      <c r="AB335" t="n">
        <v>4</v>
      </c>
      <c r="AC335" t="n">
        <v>6</v>
      </c>
      <c r="AD335" t="n">
        <v>10</v>
      </c>
      <c r="AE335" t="n">
        <v>26</v>
      </c>
      <c r="AF335" t="n">
        <v>2</v>
      </c>
      <c r="AG335" t="n">
        <v>8</v>
      </c>
      <c r="AH335" t="n">
        <v>2</v>
      </c>
      <c r="AI335" t="n">
        <v>5</v>
      </c>
      <c r="AJ335" t="n">
        <v>5</v>
      </c>
      <c r="AK335" t="n">
        <v>13</v>
      </c>
      <c r="AL335" t="n">
        <v>3</v>
      </c>
      <c r="AM335" t="n">
        <v>5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HYPERLINK("http://catalog.hathitrust.org/Record/007237112","HathiTrust Record")</f>
        <v/>
      </c>
      <c r="AS335">
        <f>HYPERLINK("https://creighton-primo.hosted.exlibrisgroup.com/primo-explore/search?tab=default_tab&amp;search_scope=EVERYTHING&amp;vid=01CRU&amp;lang=en_US&amp;offset=0&amp;query=any,contains,991004377439702656","Catalog Record")</f>
        <v/>
      </c>
      <c r="AT335">
        <f>HYPERLINK("http://www.worldcat.org/oclc/3205658","WorldCat Record")</f>
        <v/>
      </c>
      <c r="AU335" t="inlineStr">
        <is>
          <t>1628755:eng</t>
        </is>
      </c>
      <c r="AV335" t="inlineStr">
        <is>
          <t>3205658</t>
        </is>
      </c>
      <c r="AW335" t="inlineStr">
        <is>
          <t>991004377439702656</t>
        </is>
      </c>
      <c r="AX335" t="inlineStr">
        <is>
          <t>991004377439702656</t>
        </is>
      </c>
      <c r="AY335" t="inlineStr">
        <is>
          <t>2269235720002656</t>
        </is>
      </c>
      <c r="AZ335" t="inlineStr">
        <is>
          <t>BOOK</t>
        </is>
      </c>
      <c r="BB335" t="inlineStr">
        <is>
          <t>9780824766191</t>
        </is>
      </c>
      <c r="BC335" t="inlineStr">
        <is>
          <t>32285002010311</t>
        </is>
      </c>
      <c r="BD335" t="inlineStr">
        <is>
          <t>893241351</t>
        </is>
      </c>
    </row>
    <row r="336">
      <c r="A336" t="inlineStr">
        <is>
          <t>No</t>
        </is>
      </c>
      <c r="B336" t="inlineStr">
        <is>
          <t>QH325 .F67</t>
        </is>
      </c>
      <c r="C336" t="inlineStr">
        <is>
          <t>0                      QH 0325000F  67</t>
        </is>
      </c>
      <c r="D336" t="inlineStr">
        <is>
          <t>The origins of prebiological systems and of their molecular matrices; proceedings of a conference conducted at Wakulla Springs, Florida, on 27-30 October, 1963, under the auspices of the Institute for Space Biosciences [of] the Florida State University and the National Aeronautics and Space Administration. Edited by Sidney W. Fox.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Fox, Sidney W. editor.</t>
        </is>
      </c>
      <c r="L336" t="inlineStr">
        <is>
          <t>New York, Academic Press, 1965.</t>
        </is>
      </c>
      <c r="M336" t="inlineStr">
        <is>
          <t>1965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QH </t>
        </is>
      </c>
      <c r="S336" t="n">
        <v>1</v>
      </c>
      <c r="T336" t="n">
        <v>1</v>
      </c>
      <c r="U336" t="inlineStr">
        <is>
          <t>1998-10-09</t>
        </is>
      </c>
      <c r="V336" t="inlineStr">
        <is>
          <t>1998-10-09</t>
        </is>
      </c>
      <c r="W336" t="inlineStr">
        <is>
          <t>1997-07-01</t>
        </is>
      </c>
      <c r="X336" t="inlineStr">
        <is>
          <t>1997-07-01</t>
        </is>
      </c>
      <c r="Y336" t="n">
        <v>572</v>
      </c>
      <c r="Z336" t="n">
        <v>471</v>
      </c>
      <c r="AA336" t="n">
        <v>517</v>
      </c>
      <c r="AB336" t="n">
        <v>4</v>
      </c>
      <c r="AC336" t="n">
        <v>4</v>
      </c>
      <c r="AD336" t="n">
        <v>21</v>
      </c>
      <c r="AE336" t="n">
        <v>23</v>
      </c>
      <c r="AF336" t="n">
        <v>6</v>
      </c>
      <c r="AG336" t="n">
        <v>7</v>
      </c>
      <c r="AH336" t="n">
        <v>5</v>
      </c>
      <c r="AI336" t="n">
        <v>6</v>
      </c>
      <c r="AJ336" t="n">
        <v>12</v>
      </c>
      <c r="AK336" t="n">
        <v>12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HYPERLINK("http://catalog.hathitrust.org/Record/001491387","HathiTrust Record")</f>
        <v/>
      </c>
      <c r="AS336">
        <f>HYPERLINK("https://creighton-primo.hosted.exlibrisgroup.com/primo-explore/search?tab=default_tab&amp;search_scope=EVERYTHING&amp;vid=01CRU&amp;lang=en_US&amp;offset=0&amp;query=any,contains,991002370999702656","Catalog Record")</f>
        <v/>
      </c>
      <c r="AT336">
        <f>HYPERLINK("http://www.worldcat.org/oclc/326954","WorldCat Record")</f>
        <v/>
      </c>
      <c r="AU336" t="inlineStr">
        <is>
          <t>889642016:eng</t>
        </is>
      </c>
      <c r="AV336" t="inlineStr">
        <is>
          <t>326954</t>
        </is>
      </c>
      <c r="AW336" t="inlineStr">
        <is>
          <t>991002370999702656</t>
        </is>
      </c>
      <c r="AX336" t="inlineStr">
        <is>
          <t>991002370999702656</t>
        </is>
      </c>
      <c r="AY336" t="inlineStr">
        <is>
          <t>2272016220002656</t>
        </is>
      </c>
      <c r="AZ336" t="inlineStr">
        <is>
          <t>BOOK</t>
        </is>
      </c>
      <c r="BC336" t="inlineStr">
        <is>
          <t>32285002868585</t>
        </is>
      </c>
      <c r="BD336" t="inlineStr">
        <is>
          <t>893534986</t>
        </is>
      </c>
    </row>
    <row r="337">
      <c r="A337" t="inlineStr">
        <is>
          <t>No</t>
        </is>
      </c>
      <c r="B337" t="inlineStr">
        <is>
          <t>QH325 .H68 1978</t>
        </is>
      </c>
      <c r="C337" t="inlineStr">
        <is>
          <t>0                      QH 0325000H  68          1978</t>
        </is>
      </c>
      <c r="D337" t="inlineStr">
        <is>
          <t>Lifecloud, the origin of life in the universe / Fred Hoyle and Chandra Wickramasinghe.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Hoyle, Fred, 1915-2001.</t>
        </is>
      </c>
      <c r="L337" t="inlineStr">
        <is>
          <t>New York : Harper &amp; Row, c1978.</t>
        </is>
      </c>
      <c r="M337" t="inlineStr">
        <is>
          <t>1978</t>
        </is>
      </c>
      <c r="N337" t="inlineStr">
        <is>
          <t>1st U.S. ed.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QH </t>
        </is>
      </c>
      <c r="S337" t="n">
        <v>4</v>
      </c>
      <c r="T337" t="n">
        <v>4</v>
      </c>
      <c r="U337" t="inlineStr">
        <is>
          <t>2007-11-13</t>
        </is>
      </c>
      <c r="V337" t="inlineStr">
        <is>
          <t>2007-11-13</t>
        </is>
      </c>
      <c r="W337" t="inlineStr">
        <is>
          <t>1993-03-22</t>
        </is>
      </c>
      <c r="X337" t="inlineStr">
        <is>
          <t>1993-03-22</t>
        </is>
      </c>
      <c r="Y337" t="n">
        <v>737</v>
      </c>
      <c r="Z337" t="n">
        <v>710</v>
      </c>
      <c r="AA337" t="n">
        <v>778</v>
      </c>
      <c r="AB337" t="n">
        <v>5</v>
      </c>
      <c r="AC337" t="n">
        <v>7</v>
      </c>
      <c r="AD337" t="n">
        <v>21</v>
      </c>
      <c r="AE337" t="n">
        <v>23</v>
      </c>
      <c r="AF337" t="n">
        <v>9</v>
      </c>
      <c r="AG337" t="n">
        <v>9</v>
      </c>
      <c r="AH337" t="n">
        <v>6</v>
      </c>
      <c r="AI337" t="n">
        <v>6</v>
      </c>
      <c r="AJ337" t="n">
        <v>7</v>
      </c>
      <c r="AK337" t="n">
        <v>7</v>
      </c>
      <c r="AL337" t="n">
        <v>4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HYPERLINK("https://creighton-primo.hosted.exlibrisgroup.com/primo-explore/search?tab=default_tab&amp;search_scope=EVERYTHING&amp;vid=01CRU&amp;lang=en_US&amp;offset=0&amp;query=any,contains,991004803059702656","Catalog Record")</f>
        <v/>
      </c>
      <c r="AT337">
        <f>HYPERLINK("http://www.worldcat.org/oclc/5220961","WorldCat Record")</f>
        <v/>
      </c>
      <c r="AU337" t="inlineStr">
        <is>
          <t>16450513:eng</t>
        </is>
      </c>
      <c r="AV337" t="inlineStr">
        <is>
          <t>5220961</t>
        </is>
      </c>
      <c r="AW337" t="inlineStr">
        <is>
          <t>991004803059702656</t>
        </is>
      </c>
      <c r="AX337" t="inlineStr">
        <is>
          <t>991004803059702656</t>
        </is>
      </c>
      <c r="AY337" t="inlineStr">
        <is>
          <t>2267564980002656</t>
        </is>
      </c>
      <c r="AZ337" t="inlineStr">
        <is>
          <t>BOOK</t>
        </is>
      </c>
      <c r="BB337" t="inlineStr">
        <is>
          <t>9780060119546</t>
        </is>
      </c>
      <c r="BC337" t="inlineStr">
        <is>
          <t>32285001552982</t>
        </is>
      </c>
      <c r="BD337" t="inlineStr">
        <is>
          <t>893338144</t>
        </is>
      </c>
    </row>
    <row r="338">
      <c r="A338" t="inlineStr">
        <is>
          <t>No</t>
        </is>
      </c>
      <c r="B338" t="inlineStr">
        <is>
          <t>QH325 .I48 1970</t>
        </is>
      </c>
      <c r="C338" t="inlineStr">
        <is>
          <t>0                      QH 0325000I  48          1970</t>
        </is>
      </c>
      <c r="D338" t="inlineStr">
        <is>
          <t>Chemical evolution and the origin of life. Proceedings of the International Conference on the Origin of Life. Ed. by R. Buvet and C. Ponnamperuma.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International Conference on the Origin of Life (3rd : 1970 : Pont-à-Mousson, France)</t>
        </is>
      </c>
      <c r="L338" t="inlineStr">
        <is>
          <t>Amsterdam, North-Holland Pub. Cy., 1971.</t>
        </is>
      </c>
      <c r="M338" t="inlineStr">
        <is>
          <t>1971</t>
        </is>
      </c>
      <c r="O338" t="inlineStr">
        <is>
          <t>eng</t>
        </is>
      </c>
      <c r="P338" t="inlineStr">
        <is>
          <t xml:space="preserve">ne </t>
        </is>
      </c>
      <c r="Q338" t="inlineStr">
        <is>
          <t>Molecular evolution ; 1</t>
        </is>
      </c>
      <c r="R338" t="inlineStr">
        <is>
          <t xml:space="preserve">QH </t>
        </is>
      </c>
      <c r="S338" t="n">
        <v>1</v>
      </c>
      <c r="T338" t="n">
        <v>1</v>
      </c>
      <c r="U338" t="inlineStr">
        <is>
          <t>1998-06-21</t>
        </is>
      </c>
      <c r="V338" t="inlineStr">
        <is>
          <t>1998-06-21</t>
        </is>
      </c>
      <c r="W338" t="inlineStr">
        <is>
          <t>1997-07-01</t>
        </is>
      </c>
      <c r="X338" t="inlineStr">
        <is>
          <t>1997-07-01</t>
        </is>
      </c>
      <c r="Y338" t="n">
        <v>403</v>
      </c>
      <c r="Z338" t="n">
        <v>291</v>
      </c>
      <c r="AA338" t="n">
        <v>296</v>
      </c>
      <c r="AB338" t="n">
        <v>3</v>
      </c>
      <c r="AC338" t="n">
        <v>3</v>
      </c>
      <c r="AD338" t="n">
        <v>7</v>
      </c>
      <c r="AE338" t="n">
        <v>7</v>
      </c>
      <c r="AF338" t="n">
        <v>1</v>
      </c>
      <c r="AG338" t="n">
        <v>1</v>
      </c>
      <c r="AH338" t="n">
        <v>2</v>
      </c>
      <c r="AI338" t="n">
        <v>2</v>
      </c>
      <c r="AJ338" t="n">
        <v>3</v>
      </c>
      <c r="AK338" t="n">
        <v>3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HYPERLINK("http://catalog.hathitrust.org/Record/001495935","HathiTrust Record")</f>
        <v/>
      </c>
      <c r="AS338">
        <f>HYPERLINK("https://creighton-primo.hosted.exlibrisgroup.com/primo-explore/search?tab=default_tab&amp;search_scope=EVERYTHING&amp;vid=01CRU&amp;lang=en_US&amp;offset=0&amp;query=any,contains,991002881959702656","Catalog Record")</f>
        <v/>
      </c>
      <c r="AT338">
        <f>HYPERLINK("http://www.worldcat.org/oclc/506069","WorldCat Record")</f>
        <v/>
      </c>
      <c r="AU338" t="inlineStr">
        <is>
          <t>3753504957:eng</t>
        </is>
      </c>
      <c r="AV338" t="inlineStr">
        <is>
          <t>506069</t>
        </is>
      </c>
      <c r="AW338" t="inlineStr">
        <is>
          <t>991002881959702656</t>
        </is>
      </c>
      <c r="AX338" t="inlineStr">
        <is>
          <t>991002881959702656</t>
        </is>
      </c>
      <c r="AY338" t="inlineStr">
        <is>
          <t>2260220690002656</t>
        </is>
      </c>
      <c r="AZ338" t="inlineStr">
        <is>
          <t>BOOK</t>
        </is>
      </c>
      <c r="BB338" t="inlineStr">
        <is>
          <t>9780720440836</t>
        </is>
      </c>
      <c r="BC338" t="inlineStr">
        <is>
          <t>32285002868593</t>
        </is>
      </c>
      <c r="BD338" t="inlineStr">
        <is>
          <t>893348044</t>
        </is>
      </c>
    </row>
    <row r="339">
      <c r="A339" t="inlineStr">
        <is>
          <t>No</t>
        </is>
      </c>
      <c r="B339" t="inlineStr">
        <is>
          <t>QH325 .I48 1977</t>
        </is>
      </c>
      <c r="C339" t="inlineStr">
        <is>
          <t>0                      QH 0325000I  48          1977</t>
        </is>
      </c>
      <c r="D339" t="inlineStr">
        <is>
          <t>Origin of life : proceedings of the second ISSOL meeting, the fifth ICOL meeting / edited by Haruhiko Noda.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International Conference on the Origin of Life (5th : 1977 : Kyoto, Japan)</t>
        </is>
      </c>
      <c r="L339" t="inlineStr">
        <is>
          <t>Tokyo : Center for Academic Publications Japan, Japan Scientific Societies Press, 1978.</t>
        </is>
      </c>
      <c r="M339" t="inlineStr">
        <is>
          <t>1978</t>
        </is>
      </c>
      <c r="O339" t="inlineStr">
        <is>
          <t>eng</t>
        </is>
      </c>
      <c r="P339" t="inlineStr">
        <is>
          <t xml:space="preserve">ja </t>
        </is>
      </c>
      <c r="R339" t="inlineStr">
        <is>
          <t xml:space="preserve">QH </t>
        </is>
      </c>
      <c r="S339" t="n">
        <v>10</v>
      </c>
      <c r="T339" t="n">
        <v>10</v>
      </c>
      <c r="U339" t="inlineStr">
        <is>
          <t>2002-11-12</t>
        </is>
      </c>
      <c r="V339" t="inlineStr">
        <is>
          <t>2002-11-12</t>
        </is>
      </c>
      <c r="W339" t="inlineStr">
        <is>
          <t>1993-03-22</t>
        </is>
      </c>
      <c r="X339" t="inlineStr">
        <is>
          <t>1993-03-22</t>
        </is>
      </c>
      <c r="Y339" t="n">
        <v>119</v>
      </c>
      <c r="Z339" t="n">
        <v>91</v>
      </c>
      <c r="AA339" t="n">
        <v>93</v>
      </c>
      <c r="AB339" t="n">
        <v>1</v>
      </c>
      <c r="AC339" t="n">
        <v>1</v>
      </c>
      <c r="AD339" t="n">
        <v>2</v>
      </c>
      <c r="AE339" t="n">
        <v>2</v>
      </c>
      <c r="AF339" t="n">
        <v>1</v>
      </c>
      <c r="AG339" t="n">
        <v>1</v>
      </c>
      <c r="AH339" t="n">
        <v>1</v>
      </c>
      <c r="AI339" t="n">
        <v>1</v>
      </c>
      <c r="AJ339" t="n">
        <v>1</v>
      </c>
      <c r="AK339" t="n">
        <v>1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HYPERLINK("http://catalog.hathitrust.org/Record/000696958","HathiTrust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HYPERLINK("https://creighton-primo.hosted.exlibrisgroup.com/primo-explore/search?tab=default_tab&amp;search_scope=EVERYTHING&amp;vid=01CRU&amp;lang=en_US&amp;offset=0&amp;query=any,contains,991004626859702656","Catalog Record")</f>
        <v/>
      </c>
      <c r="AT339">
        <f>HYPERLINK("http://www.worldcat.org/oclc/26836828","WorldCat Record")</f>
        <v/>
      </c>
      <c r="AU339" t="inlineStr">
        <is>
          <t>3857131356:eng</t>
        </is>
      </c>
      <c r="AV339" t="inlineStr">
        <is>
          <t>26836828</t>
        </is>
      </c>
      <c r="AW339" t="inlineStr">
        <is>
          <t>991004626859702656</t>
        </is>
      </c>
      <c r="AX339" t="inlineStr">
        <is>
          <t>991004626859702656</t>
        </is>
      </c>
      <c r="AY339" t="inlineStr">
        <is>
          <t>2266490590002656</t>
        </is>
      </c>
      <c r="AZ339" t="inlineStr">
        <is>
          <t>BOOK</t>
        </is>
      </c>
      <c r="BC339" t="inlineStr">
        <is>
          <t>32285001552990</t>
        </is>
      </c>
      <c r="BD339" t="inlineStr">
        <is>
          <t>893424009</t>
        </is>
      </c>
    </row>
    <row r="340">
      <c r="A340" t="inlineStr">
        <is>
          <t>No</t>
        </is>
      </c>
      <c r="B340" t="inlineStr">
        <is>
          <t>QH325 .I62 2004</t>
        </is>
      </c>
      <c r="C340" t="inlineStr">
        <is>
          <t>0                      QH 0325000I  62          2004</t>
        </is>
      </c>
      <c r="D340" t="inlineStr">
        <is>
          <t>An introduction to astrobiology / edited by Iain Gilmour and Mark A. Sephton.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[Milton Keynes, UK] : Open University ; [Cambridge, UK] : Cambridge University Press, 2004.</t>
        </is>
      </c>
      <c r="M340" t="inlineStr">
        <is>
          <t>2004</t>
        </is>
      </c>
      <c r="O340" t="inlineStr">
        <is>
          <t>eng</t>
        </is>
      </c>
      <c r="P340" t="inlineStr">
        <is>
          <t>enk</t>
        </is>
      </c>
      <c r="R340" t="inlineStr">
        <is>
          <t xml:space="preserve">QH </t>
        </is>
      </c>
      <c r="S340" t="n">
        <v>1</v>
      </c>
      <c r="T340" t="n">
        <v>1</v>
      </c>
      <c r="U340" t="inlineStr">
        <is>
          <t>2006-07-24</t>
        </is>
      </c>
      <c r="V340" t="inlineStr">
        <is>
          <t>2006-07-24</t>
        </is>
      </c>
      <c r="W340" t="inlineStr">
        <is>
          <t>2006-07-24</t>
        </is>
      </c>
      <c r="X340" t="inlineStr">
        <is>
          <t>2006-07-24</t>
        </is>
      </c>
      <c r="Y340" t="n">
        <v>520</v>
      </c>
      <c r="Z340" t="n">
        <v>388</v>
      </c>
      <c r="AA340" t="n">
        <v>437</v>
      </c>
      <c r="AB340" t="n">
        <v>5</v>
      </c>
      <c r="AC340" t="n">
        <v>5</v>
      </c>
      <c r="AD340" t="n">
        <v>17</v>
      </c>
      <c r="AE340" t="n">
        <v>19</v>
      </c>
      <c r="AF340" t="n">
        <v>8</v>
      </c>
      <c r="AG340" t="n">
        <v>10</v>
      </c>
      <c r="AH340" t="n">
        <v>3</v>
      </c>
      <c r="AI340" t="n">
        <v>3</v>
      </c>
      <c r="AJ340" t="n">
        <v>8</v>
      </c>
      <c r="AK340" t="n">
        <v>8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HYPERLINK("https://creighton-primo.hosted.exlibrisgroup.com/primo-explore/search?tab=default_tab&amp;search_scope=EVERYTHING&amp;vid=01CRU&amp;lang=en_US&amp;offset=0&amp;query=any,contains,991004852759702656","Catalog Record")</f>
        <v/>
      </c>
      <c r="AT340">
        <f>HYPERLINK("http://www.worldcat.org/oclc/55760213","WorldCat Record")</f>
        <v/>
      </c>
      <c r="AU340" t="inlineStr">
        <is>
          <t>364588590:eng</t>
        </is>
      </c>
      <c r="AV340" t="inlineStr">
        <is>
          <t>55760213</t>
        </is>
      </c>
      <c r="AW340" t="inlineStr">
        <is>
          <t>991004852759702656</t>
        </is>
      </c>
      <c r="AX340" t="inlineStr">
        <is>
          <t>991004852759702656</t>
        </is>
      </c>
      <c r="AY340" t="inlineStr">
        <is>
          <t>2268901840002656</t>
        </is>
      </c>
      <c r="AZ340" t="inlineStr">
        <is>
          <t>BOOK</t>
        </is>
      </c>
      <c r="BB340" t="inlineStr">
        <is>
          <t>9780521546218</t>
        </is>
      </c>
      <c r="BC340" t="inlineStr">
        <is>
          <t>32285005196836</t>
        </is>
      </c>
      <c r="BD340" t="inlineStr">
        <is>
          <t>893876645</t>
        </is>
      </c>
    </row>
    <row r="341">
      <c r="A341" t="inlineStr">
        <is>
          <t>No</t>
        </is>
      </c>
      <c r="B341" t="inlineStr">
        <is>
          <t>QH325 .K388 1995</t>
        </is>
      </c>
      <c r="C341" t="inlineStr">
        <is>
          <t>0                      QH 0325000K  388         1995</t>
        </is>
      </c>
      <c r="D341" t="inlineStr">
        <is>
          <t>At home in the universe : the search for laws of self-organization and complexity / Stuart Kauffman.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Kauffman, Stuart A.</t>
        </is>
      </c>
      <c r="L341" t="inlineStr">
        <is>
          <t>New York : Oxford University Press,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QH </t>
        </is>
      </c>
      <c r="S341" t="n">
        <v>8</v>
      </c>
      <c r="T341" t="n">
        <v>8</v>
      </c>
      <c r="U341" t="inlineStr">
        <is>
          <t>2005-07-13</t>
        </is>
      </c>
      <c r="V341" t="inlineStr">
        <is>
          <t>2005-07-13</t>
        </is>
      </c>
      <c r="W341" t="inlineStr">
        <is>
          <t>1995-11-27</t>
        </is>
      </c>
      <c r="X341" t="inlineStr">
        <is>
          <t>1995-11-27</t>
        </is>
      </c>
      <c r="Y341" t="n">
        <v>1235</v>
      </c>
      <c r="Z341" t="n">
        <v>1070</v>
      </c>
      <c r="AA341" t="n">
        <v>1213</v>
      </c>
      <c r="AB341" t="n">
        <v>7</v>
      </c>
      <c r="AC341" t="n">
        <v>8</v>
      </c>
      <c r="AD341" t="n">
        <v>36</v>
      </c>
      <c r="AE341" t="n">
        <v>40</v>
      </c>
      <c r="AF341" t="n">
        <v>14</v>
      </c>
      <c r="AG341" t="n">
        <v>15</v>
      </c>
      <c r="AH341" t="n">
        <v>5</v>
      </c>
      <c r="AI341" t="n">
        <v>6</v>
      </c>
      <c r="AJ341" t="n">
        <v>20</v>
      </c>
      <c r="AK341" t="n">
        <v>21</v>
      </c>
      <c r="AL341" t="n">
        <v>5</v>
      </c>
      <c r="AM341" t="n">
        <v>6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HYPERLINK("http://catalog.hathitrust.org/Record/002994206","HathiTrust Record")</f>
        <v/>
      </c>
      <c r="AS341">
        <f>HYPERLINK("https://creighton-primo.hosted.exlibrisgroup.com/primo-explore/search?tab=default_tab&amp;search_scope=EVERYTHING&amp;vid=01CRU&amp;lang=en_US&amp;offset=0&amp;query=any,contains,991002428239702656","Catalog Record")</f>
        <v/>
      </c>
      <c r="AT341">
        <f>HYPERLINK("http://www.worldcat.org/oclc/31646998","WorldCat Record")</f>
        <v/>
      </c>
      <c r="AU341" t="inlineStr">
        <is>
          <t>836995160:eng</t>
        </is>
      </c>
      <c r="AV341" t="inlineStr">
        <is>
          <t>31646998</t>
        </is>
      </c>
      <c r="AW341" t="inlineStr">
        <is>
          <t>991002428239702656</t>
        </is>
      </c>
      <c r="AX341" t="inlineStr">
        <is>
          <t>991002428239702656</t>
        </is>
      </c>
      <c r="AY341" t="inlineStr">
        <is>
          <t>2270175360002656</t>
        </is>
      </c>
      <c r="AZ341" t="inlineStr">
        <is>
          <t>BOOK</t>
        </is>
      </c>
      <c r="BB341" t="inlineStr">
        <is>
          <t>9780195095999</t>
        </is>
      </c>
      <c r="BC341" t="inlineStr">
        <is>
          <t>32285002105475</t>
        </is>
      </c>
      <c r="BD341" t="inlineStr">
        <is>
          <t>893622267</t>
        </is>
      </c>
    </row>
    <row r="342">
      <c r="A342" t="inlineStr">
        <is>
          <t>No</t>
        </is>
      </c>
      <c r="B342" t="inlineStr">
        <is>
          <t>QH325 .K39 1993</t>
        </is>
      </c>
      <c r="C342" t="inlineStr">
        <is>
          <t>0                      QH 0325000K  39          1993</t>
        </is>
      </c>
      <c r="D342" t="inlineStr">
        <is>
          <t>The origins of order : self-organization and selection in evolution / Stuart A. Kauffman.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Kauffman, Stuart A.</t>
        </is>
      </c>
      <c r="L342" t="inlineStr">
        <is>
          <t>New York : Oxford University Press, 1993.</t>
        </is>
      </c>
      <c r="M342" t="inlineStr">
        <is>
          <t>1993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QH </t>
        </is>
      </c>
      <c r="S342" t="n">
        <v>22</v>
      </c>
      <c r="T342" t="n">
        <v>22</v>
      </c>
      <c r="U342" t="inlineStr">
        <is>
          <t>2006-04-07</t>
        </is>
      </c>
      <c r="V342" t="inlineStr">
        <is>
          <t>2006-04-07</t>
        </is>
      </c>
      <c r="W342" t="inlineStr">
        <is>
          <t>1993-10-21</t>
        </is>
      </c>
      <c r="X342" t="inlineStr">
        <is>
          <t>1993-10-21</t>
        </is>
      </c>
      <c r="Y342" t="n">
        <v>1015</v>
      </c>
      <c r="Z342" t="n">
        <v>767</v>
      </c>
      <c r="AA342" t="n">
        <v>782</v>
      </c>
      <c r="AB342" t="n">
        <v>6</v>
      </c>
      <c r="AC342" t="n">
        <v>6</v>
      </c>
      <c r="AD342" t="n">
        <v>39</v>
      </c>
      <c r="AE342" t="n">
        <v>39</v>
      </c>
      <c r="AF342" t="n">
        <v>18</v>
      </c>
      <c r="AG342" t="n">
        <v>18</v>
      </c>
      <c r="AH342" t="n">
        <v>8</v>
      </c>
      <c r="AI342" t="n">
        <v>8</v>
      </c>
      <c r="AJ342" t="n">
        <v>18</v>
      </c>
      <c r="AK342" t="n">
        <v>18</v>
      </c>
      <c r="AL342" t="n">
        <v>5</v>
      </c>
      <c r="AM342" t="n">
        <v>5</v>
      </c>
      <c r="AN342" t="n">
        <v>1</v>
      </c>
      <c r="AO342" t="n">
        <v>1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HYPERLINK("https://creighton-primo.hosted.exlibrisgroup.com/primo-explore/search?tab=default_tab&amp;search_scope=EVERYTHING&amp;vid=01CRU&amp;lang=en_US&amp;offset=0&amp;query=any,contains,991001853159702656","Catalog Record")</f>
        <v/>
      </c>
      <c r="AT342">
        <f>HYPERLINK("http://www.worldcat.org/oclc/23253930","WorldCat Record")</f>
        <v/>
      </c>
      <c r="AU342" t="inlineStr">
        <is>
          <t>807056286:eng</t>
        </is>
      </c>
      <c r="AV342" t="inlineStr">
        <is>
          <t>23253930</t>
        </is>
      </c>
      <c r="AW342" t="inlineStr">
        <is>
          <t>991001853159702656</t>
        </is>
      </c>
      <c r="AX342" t="inlineStr">
        <is>
          <t>991001853159702656</t>
        </is>
      </c>
      <c r="AY342" t="inlineStr">
        <is>
          <t>2265977830002656</t>
        </is>
      </c>
      <c r="AZ342" t="inlineStr">
        <is>
          <t>BOOK</t>
        </is>
      </c>
      <c r="BB342" t="inlineStr">
        <is>
          <t>9780195079517</t>
        </is>
      </c>
      <c r="BC342" t="inlineStr">
        <is>
          <t>32285001787182</t>
        </is>
      </c>
      <c r="BD342" t="inlineStr">
        <is>
          <t>893903601</t>
        </is>
      </c>
    </row>
    <row r="343">
      <c r="A343" t="inlineStr">
        <is>
          <t>No</t>
        </is>
      </c>
      <c r="B343" t="inlineStr">
        <is>
          <t>QH325 .L48 1997</t>
        </is>
      </c>
      <c r="C343" t="inlineStr">
        <is>
          <t>0                      QH 0325000L  48          1997</t>
        </is>
      </c>
      <c r="D343" t="inlineStr">
        <is>
          <t>Patterns in evolution : the new molecular view / Roger Lewin.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Lewin, Roger.</t>
        </is>
      </c>
      <c r="L343" t="inlineStr">
        <is>
          <t>New York : Scientific American Library, 1997.</t>
        </is>
      </c>
      <c r="M343" t="inlineStr">
        <is>
          <t>1997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QH </t>
        </is>
      </c>
      <c r="S343" t="n">
        <v>1</v>
      </c>
      <c r="T343" t="n">
        <v>1</v>
      </c>
      <c r="U343" t="inlineStr">
        <is>
          <t>1997-02-12</t>
        </is>
      </c>
      <c r="V343" t="inlineStr">
        <is>
          <t>1997-02-12</t>
        </is>
      </c>
      <c r="W343" t="inlineStr">
        <is>
          <t>1997-01-09</t>
        </is>
      </c>
      <c r="X343" t="inlineStr">
        <is>
          <t>1997-01-09</t>
        </is>
      </c>
      <c r="Y343" t="n">
        <v>518</v>
      </c>
      <c r="Z343" t="n">
        <v>434</v>
      </c>
      <c r="AA343" t="n">
        <v>615</v>
      </c>
      <c r="AB343" t="n">
        <v>5</v>
      </c>
      <c r="AC343" t="n">
        <v>5</v>
      </c>
      <c r="AD343" t="n">
        <v>16</v>
      </c>
      <c r="AE343" t="n">
        <v>21</v>
      </c>
      <c r="AF343" t="n">
        <v>3</v>
      </c>
      <c r="AG343" t="n">
        <v>6</v>
      </c>
      <c r="AH343" t="n">
        <v>4</v>
      </c>
      <c r="AI343" t="n">
        <v>6</v>
      </c>
      <c r="AJ343" t="n">
        <v>8</v>
      </c>
      <c r="AK343" t="n">
        <v>10</v>
      </c>
      <c r="AL343" t="n">
        <v>4</v>
      </c>
      <c r="AM343" t="n">
        <v>4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HYPERLINK("https://creighton-primo.hosted.exlibrisgroup.com/primo-explore/search?tab=default_tab&amp;search_scope=EVERYTHING&amp;vid=01CRU&amp;lang=en_US&amp;offset=0&amp;query=any,contains,991002666669702656","Catalog Record")</f>
        <v/>
      </c>
      <c r="AT343">
        <f>HYPERLINK("http://www.worldcat.org/oclc/34878887","WorldCat Record")</f>
        <v/>
      </c>
      <c r="AU343" t="inlineStr">
        <is>
          <t>287637284:eng</t>
        </is>
      </c>
      <c r="AV343" t="inlineStr">
        <is>
          <t>34878887</t>
        </is>
      </c>
      <c r="AW343" t="inlineStr">
        <is>
          <t>991002666669702656</t>
        </is>
      </c>
      <c r="AX343" t="inlineStr">
        <is>
          <t>991002666669702656</t>
        </is>
      </c>
      <c r="AY343" t="inlineStr">
        <is>
          <t>2268620690002656</t>
        </is>
      </c>
      <c r="AZ343" t="inlineStr">
        <is>
          <t>BOOK</t>
        </is>
      </c>
      <c r="BB343" t="inlineStr">
        <is>
          <t>9780716750697</t>
        </is>
      </c>
      <c r="BC343" t="inlineStr">
        <is>
          <t>32285002405750</t>
        </is>
      </c>
      <c r="BD343" t="inlineStr">
        <is>
          <t>893716753</t>
        </is>
      </c>
    </row>
    <row r="344">
      <c r="A344" t="inlineStr">
        <is>
          <t>No</t>
        </is>
      </c>
      <c r="B344" t="inlineStr">
        <is>
          <t>QH325 .L65 1991</t>
        </is>
      </c>
      <c r="C344" t="inlineStr">
        <is>
          <t>0                      QH 0325000L  65          1991</t>
        </is>
      </c>
      <c r="D344" t="inlineStr">
        <is>
          <t>Fundamentals of molecular evolution / Wen-Hsiung Li and Dan Graur.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Li, Wen-Hsiung, 1942-</t>
        </is>
      </c>
      <c r="L344" t="inlineStr">
        <is>
          <t>Sunderland, Mass. : Sinauer Associates, c1991.</t>
        </is>
      </c>
      <c r="M344" t="inlineStr">
        <is>
          <t>1991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QH </t>
        </is>
      </c>
      <c r="S344" t="n">
        <v>18</v>
      </c>
      <c r="T344" t="n">
        <v>18</v>
      </c>
      <c r="U344" t="inlineStr">
        <is>
          <t>2000-10-21</t>
        </is>
      </c>
      <c r="V344" t="inlineStr">
        <is>
          <t>2000-10-21</t>
        </is>
      </c>
      <c r="W344" t="inlineStr">
        <is>
          <t>1991-01-17</t>
        </is>
      </c>
      <c r="X344" t="inlineStr">
        <is>
          <t>1991-01-17</t>
        </is>
      </c>
      <c r="Y344" t="n">
        <v>516</v>
      </c>
      <c r="Z344" t="n">
        <v>362</v>
      </c>
      <c r="AA344" t="n">
        <v>562</v>
      </c>
      <c r="AB344" t="n">
        <v>6</v>
      </c>
      <c r="AC344" t="n">
        <v>7</v>
      </c>
      <c r="AD344" t="n">
        <v>23</v>
      </c>
      <c r="AE344" t="n">
        <v>31</v>
      </c>
      <c r="AF344" t="n">
        <v>7</v>
      </c>
      <c r="AG344" t="n">
        <v>13</v>
      </c>
      <c r="AH344" t="n">
        <v>4</v>
      </c>
      <c r="AI344" t="n">
        <v>6</v>
      </c>
      <c r="AJ344" t="n">
        <v>11</v>
      </c>
      <c r="AK344" t="n">
        <v>13</v>
      </c>
      <c r="AL344" t="n">
        <v>5</v>
      </c>
      <c r="AM344" t="n">
        <v>6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HYPERLINK("http://catalog.hathitrust.org/Record/002456724","HathiTrust Record")</f>
        <v/>
      </c>
      <c r="AS344">
        <f>HYPERLINK("https://creighton-primo.hosted.exlibrisgroup.com/primo-explore/search?tab=default_tab&amp;search_scope=EVERYTHING&amp;vid=01CRU&amp;lang=en_US&amp;offset=0&amp;query=any,contains,991005412599702656","Catalog Record")</f>
        <v/>
      </c>
      <c r="AT344">
        <f>HYPERLINK("http://www.worldcat.org/oclc/22113526","WorldCat Record")</f>
        <v/>
      </c>
      <c r="AU344" t="inlineStr">
        <is>
          <t>27842310:eng</t>
        </is>
      </c>
      <c r="AV344" t="inlineStr">
        <is>
          <t>22113526</t>
        </is>
      </c>
      <c r="AW344" t="inlineStr">
        <is>
          <t>991005412599702656</t>
        </is>
      </c>
      <c r="AX344" t="inlineStr">
        <is>
          <t>991005412599702656</t>
        </is>
      </c>
      <c r="AY344" t="inlineStr">
        <is>
          <t>2266792540002656</t>
        </is>
      </c>
      <c r="AZ344" t="inlineStr">
        <is>
          <t>BOOK</t>
        </is>
      </c>
      <c r="BB344" t="inlineStr">
        <is>
          <t>9780878934522</t>
        </is>
      </c>
      <c r="BC344" t="inlineStr">
        <is>
          <t>32285000408871</t>
        </is>
      </c>
      <c r="BD344" t="inlineStr">
        <is>
          <t>893607349</t>
        </is>
      </c>
    </row>
    <row r="345">
      <c r="A345" t="inlineStr">
        <is>
          <t>No</t>
        </is>
      </c>
      <c r="B345" t="inlineStr">
        <is>
          <t>QH325 .M29 1982</t>
        </is>
      </c>
      <c r="C345" t="inlineStr">
        <is>
          <t>0                      QH 0325000M  29          1982</t>
        </is>
      </c>
      <c r="D345" t="inlineStr">
        <is>
          <t>Early life / Lynn Margulis.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Margulis, Lynn, 1938-2011.</t>
        </is>
      </c>
      <c r="L345" t="inlineStr">
        <is>
          <t>Boston, Mass. : Science Books International, c1982.</t>
        </is>
      </c>
      <c r="M345" t="inlineStr">
        <is>
          <t>1982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QH </t>
        </is>
      </c>
      <c r="S345" t="n">
        <v>12</v>
      </c>
      <c r="T345" t="n">
        <v>12</v>
      </c>
      <c r="U345" t="inlineStr">
        <is>
          <t>2001-03-13</t>
        </is>
      </c>
      <c r="V345" t="inlineStr">
        <is>
          <t>2001-03-13</t>
        </is>
      </c>
      <c r="W345" t="inlineStr">
        <is>
          <t>1992-09-03</t>
        </is>
      </c>
      <c r="X345" t="inlineStr">
        <is>
          <t>1992-09-03</t>
        </is>
      </c>
      <c r="Y345" t="n">
        <v>583</v>
      </c>
      <c r="Z345" t="n">
        <v>531</v>
      </c>
      <c r="AA345" t="n">
        <v>704</v>
      </c>
      <c r="AB345" t="n">
        <v>4</v>
      </c>
      <c r="AC345" t="n">
        <v>4</v>
      </c>
      <c r="AD345" t="n">
        <v>20</v>
      </c>
      <c r="AE345" t="n">
        <v>28</v>
      </c>
      <c r="AF345" t="n">
        <v>8</v>
      </c>
      <c r="AG345" t="n">
        <v>11</v>
      </c>
      <c r="AH345" t="n">
        <v>4</v>
      </c>
      <c r="AI345" t="n">
        <v>6</v>
      </c>
      <c r="AJ345" t="n">
        <v>11</v>
      </c>
      <c r="AK345" t="n">
        <v>16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HYPERLINK("http://catalog.hathitrust.org/Record/004395445","HathiTrust Record")</f>
        <v/>
      </c>
      <c r="AS345">
        <f>HYPERLINK("https://creighton-primo.hosted.exlibrisgroup.com/primo-explore/search?tab=default_tab&amp;search_scope=EVERYTHING&amp;vid=01CRU&amp;lang=en_US&amp;offset=0&amp;query=any,contains,991005176969702656","Catalog Record")</f>
        <v/>
      </c>
      <c r="AT345">
        <f>HYPERLINK("http://www.worldcat.org/oclc/7924284","WorldCat Record")</f>
        <v/>
      </c>
      <c r="AU345" t="inlineStr">
        <is>
          <t>4683022:eng</t>
        </is>
      </c>
      <c r="AV345" t="inlineStr">
        <is>
          <t>7924284</t>
        </is>
      </c>
      <c r="AW345" t="inlineStr">
        <is>
          <t>991005176969702656</t>
        </is>
      </c>
      <c r="AX345" t="inlineStr">
        <is>
          <t>991005176969702656</t>
        </is>
      </c>
      <c r="AY345" t="inlineStr">
        <is>
          <t>2269319780002656</t>
        </is>
      </c>
      <c r="AZ345" t="inlineStr">
        <is>
          <t>BOOK</t>
        </is>
      </c>
      <c r="BB345" t="inlineStr">
        <is>
          <t>9780867200034</t>
        </is>
      </c>
      <c r="BC345" t="inlineStr">
        <is>
          <t>32285001295897</t>
        </is>
      </c>
      <c r="BD345" t="inlineStr">
        <is>
          <t>893807939</t>
        </is>
      </c>
    </row>
    <row r="346">
      <c r="A346" t="inlineStr">
        <is>
          <t>No</t>
        </is>
      </c>
      <c r="B346" t="inlineStr">
        <is>
          <t>QH325 .M32 1991</t>
        </is>
      </c>
      <c r="C346" t="inlineStr">
        <is>
          <t>0                      QH 0325000M  32          1991</t>
        </is>
      </c>
      <c r="D346" t="inlineStr">
        <is>
          <t>Chemical evolution : origin of the elements, molecules, and living systems / Stephen F. Mason.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Mason, Stephen F. (Stephen Finney), 1923-2007.</t>
        </is>
      </c>
      <c r="L346" t="inlineStr">
        <is>
          <t>Oxford, [England] : Clarendon Press ; New York : Oxford University Press, 1991.</t>
        </is>
      </c>
      <c r="M346" t="inlineStr">
        <is>
          <t>1991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QH </t>
        </is>
      </c>
      <c r="S346" t="n">
        <v>9</v>
      </c>
      <c r="T346" t="n">
        <v>9</v>
      </c>
      <c r="U346" t="inlineStr">
        <is>
          <t>2002-11-12</t>
        </is>
      </c>
      <c r="V346" t="inlineStr">
        <is>
          <t>2002-11-12</t>
        </is>
      </c>
      <c r="W346" t="inlineStr">
        <is>
          <t>1991-10-04</t>
        </is>
      </c>
      <c r="X346" t="inlineStr">
        <is>
          <t>1991-10-04</t>
        </is>
      </c>
      <c r="Y346" t="n">
        <v>729</v>
      </c>
      <c r="Z346" t="n">
        <v>588</v>
      </c>
      <c r="AA346" t="n">
        <v>641</v>
      </c>
      <c r="AB346" t="n">
        <v>9</v>
      </c>
      <c r="AC346" t="n">
        <v>9</v>
      </c>
      <c r="AD346" t="n">
        <v>29</v>
      </c>
      <c r="AE346" t="n">
        <v>30</v>
      </c>
      <c r="AF346" t="n">
        <v>10</v>
      </c>
      <c r="AG346" t="n">
        <v>11</v>
      </c>
      <c r="AH346" t="n">
        <v>6</v>
      </c>
      <c r="AI346" t="n">
        <v>6</v>
      </c>
      <c r="AJ346" t="n">
        <v>11</v>
      </c>
      <c r="AK346" t="n">
        <v>12</v>
      </c>
      <c r="AL346" t="n">
        <v>8</v>
      </c>
      <c r="AM346" t="n">
        <v>8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HYPERLINK("http://catalog.hathitrust.org/Record/002552760","HathiTrust Record")</f>
        <v/>
      </c>
      <c r="AS346">
        <f>HYPERLINK("https://creighton-primo.hosted.exlibrisgroup.com/primo-explore/search?tab=default_tab&amp;search_scope=EVERYTHING&amp;vid=01CRU&amp;lang=en_US&amp;offset=0&amp;query=any,contains,991001702489702656","Catalog Record")</f>
        <v/>
      </c>
      <c r="AT346">
        <f>HYPERLINK("http://www.worldcat.org/oclc/21525122","WorldCat Record")</f>
        <v/>
      </c>
      <c r="AU346" t="inlineStr">
        <is>
          <t>23228401:eng</t>
        </is>
      </c>
      <c r="AV346" t="inlineStr">
        <is>
          <t>21525122</t>
        </is>
      </c>
      <c r="AW346" t="inlineStr">
        <is>
          <t>991001702489702656</t>
        </is>
      </c>
      <c r="AX346" t="inlineStr">
        <is>
          <t>991001702489702656</t>
        </is>
      </c>
      <c r="AY346" t="inlineStr">
        <is>
          <t>2255855310002656</t>
        </is>
      </c>
      <c r="AZ346" t="inlineStr">
        <is>
          <t>BOOK</t>
        </is>
      </c>
      <c r="BB346" t="inlineStr">
        <is>
          <t>9780198552727</t>
        </is>
      </c>
      <c r="BC346" t="inlineStr">
        <is>
          <t>32285000725597</t>
        </is>
      </c>
      <c r="BD346" t="inlineStr">
        <is>
          <t>893703260</t>
        </is>
      </c>
    </row>
    <row r="347">
      <c r="A347" t="inlineStr">
        <is>
          <t>No</t>
        </is>
      </c>
      <c r="B347" t="inlineStr">
        <is>
          <t>QH325 .M55</t>
        </is>
      </c>
      <c r="C347" t="inlineStr">
        <is>
          <t>0                      QH 0325000M  55</t>
        </is>
      </c>
      <c r="D347" t="inlineStr">
        <is>
          <t>The origins of life on the earth [by] Stanley L. Miller [and] Leslie E. Orgel.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Miller, Stanley Lloyd, 1930-2007.</t>
        </is>
      </c>
      <c r="L347" t="inlineStr">
        <is>
          <t>Englewood Cliffs, N.J., Prentice-Hall [1974]</t>
        </is>
      </c>
      <c r="M347" t="inlineStr">
        <is>
          <t>1974</t>
        </is>
      </c>
      <c r="O347" t="inlineStr">
        <is>
          <t>eng</t>
        </is>
      </c>
      <c r="P347" t="inlineStr">
        <is>
          <t>nju</t>
        </is>
      </c>
      <c r="Q347" t="inlineStr">
        <is>
          <t>Concepts of modern biology series</t>
        </is>
      </c>
      <c r="R347" t="inlineStr">
        <is>
          <t xml:space="preserve">QH </t>
        </is>
      </c>
      <c r="S347" t="n">
        <v>2</v>
      </c>
      <c r="T347" t="n">
        <v>2</v>
      </c>
      <c r="U347" t="inlineStr">
        <is>
          <t>2007-11-12</t>
        </is>
      </c>
      <c r="V347" t="inlineStr">
        <is>
          <t>2007-11-12</t>
        </is>
      </c>
      <c r="W347" t="inlineStr">
        <is>
          <t>1997-07-01</t>
        </is>
      </c>
      <c r="X347" t="inlineStr">
        <is>
          <t>1997-07-01</t>
        </is>
      </c>
      <c r="Y347" t="n">
        <v>718</v>
      </c>
      <c r="Z347" t="n">
        <v>541</v>
      </c>
      <c r="AA347" t="n">
        <v>547</v>
      </c>
      <c r="AB347" t="n">
        <v>4</v>
      </c>
      <c r="AC347" t="n">
        <v>4</v>
      </c>
      <c r="AD347" t="n">
        <v>24</v>
      </c>
      <c r="AE347" t="n">
        <v>24</v>
      </c>
      <c r="AF347" t="n">
        <v>8</v>
      </c>
      <c r="AG347" t="n">
        <v>8</v>
      </c>
      <c r="AH347" t="n">
        <v>4</v>
      </c>
      <c r="AI347" t="n">
        <v>4</v>
      </c>
      <c r="AJ347" t="n">
        <v>12</v>
      </c>
      <c r="AK347" t="n">
        <v>12</v>
      </c>
      <c r="AL347" t="n">
        <v>3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HYPERLINK("http://catalog.hathitrust.org/Record/003483528","HathiTrust Record")</f>
        <v/>
      </c>
      <c r="AS347">
        <f>HYPERLINK("https://creighton-primo.hosted.exlibrisgroup.com/primo-explore/search?tab=default_tab&amp;search_scope=EVERYTHING&amp;vid=01CRU&amp;lang=en_US&amp;offset=0&amp;query=any,contains,991003080819702656","Catalog Record")</f>
        <v/>
      </c>
      <c r="AT347">
        <f>HYPERLINK("http://www.worldcat.org/oclc/632524","WorldCat Record")</f>
        <v/>
      </c>
      <c r="AU347" t="inlineStr">
        <is>
          <t>195488188:eng</t>
        </is>
      </c>
      <c r="AV347" t="inlineStr">
        <is>
          <t>632524</t>
        </is>
      </c>
      <c r="AW347" t="inlineStr">
        <is>
          <t>991003080819702656</t>
        </is>
      </c>
      <c r="AX347" t="inlineStr">
        <is>
          <t>991003080819702656</t>
        </is>
      </c>
      <c r="AY347" t="inlineStr">
        <is>
          <t>2263875120002656</t>
        </is>
      </c>
      <c r="AZ347" t="inlineStr">
        <is>
          <t>BOOK</t>
        </is>
      </c>
      <c r="BB347" t="inlineStr">
        <is>
          <t>9780136420828</t>
        </is>
      </c>
      <c r="BC347" t="inlineStr">
        <is>
          <t>32285002868627</t>
        </is>
      </c>
      <c r="BD347" t="inlineStr">
        <is>
          <t>893904242</t>
        </is>
      </c>
    </row>
    <row r="348">
      <c r="A348" t="inlineStr">
        <is>
          <t>No</t>
        </is>
      </c>
      <c r="B348" t="inlineStr">
        <is>
          <t>QH325 .M65</t>
        </is>
      </c>
      <c r="C348" t="inlineStr">
        <is>
          <t>0                      QH 0325000M  65</t>
        </is>
      </c>
      <c r="D348" t="inlineStr">
        <is>
          <t>Molecular evolution: prebiological and biological. Edited by Duane L. Rohlfing and A. I. Oparin.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York, Plenum Press,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QH </t>
        </is>
      </c>
      <c r="S348" t="n">
        <v>3</v>
      </c>
      <c r="T348" t="n">
        <v>3</v>
      </c>
      <c r="U348" t="inlineStr">
        <is>
          <t>1998-06-21</t>
        </is>
      </c>
      <c r="V348" t="inlineStr">
        <is>
          <t>1998-06-21</t>
        </is>
      </c>
      <c r="W348" t="inlineStr">
        <is>
          <t>1997-07-01</t>
        </is>
      </c>
      <c r="X348" t="inlineStr">
        <is>
          <t>1997-07-01</t>
        </is>
      </c>
      <c r="Y348" t="n">
        <v>383</v>
      </c>
      <c r="Z348" t="n">
        <v>293</v>
      </c>
      <c r="AA348" t="n">
        <v>314</v>
      </c>
      <c r="AB348" t="n">
        <v>5</v>
      </c>
      <c r="AC348" t="n">
        <v>5</v>
      </c>
      <c r="AD348" t="n">
        <v>11</v>
      </c>
      <c r="AE348" t="n">
        <v>12</v>
      </c>
      <c r="AF348" t="n">
        <v>0</v>
      </c>
      <c r="AG348" t="n">
        <v>1</v>
      </c>
      <c r="AH348" t="n">
        <v>3</v>
      </c>
      <c r="AI348" t="n">
        <v>3</v>
      </c>
      <c r="AJ348" t="n">
        <v>5</v>
      </c>
      <c r="AK348" t="n">
        <v>6</v>
      </c>
      <c r="AL348" t="n">
        <v>4</v>
      </c>
      <c r="AM348" t="n">
        <v>4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HYPERLINK("http://catalog.hathitrust.org/Record/001491400","HathiTrust Record")</f>
        <v/>
      </c>
      <c r="AS348">
        <f>HYPERLINK("https://creighton-primo.hosted.exlibrisgroup.com/primo-explore/search?tab=default_tab&amp;search_scope=EVERYTHING&amp;vid=01CRU&amp;lang=en_US&amp;offset=0&amp;query=any,contains,991003011729702656","Catalog Record")</f>
        <v/>
      </c>
      <c r="AT348">
        <f>HYPERLINK("http://www.worldcat.org/oclc/578270","WorldCat Record")</f>
        <v/>
      </c>
      <c r="AU348" t="inlineStr">
        <is>
          <t>912027951:eng</t>
        </is>
      </c>
      <c r="AV348" t="inlineStr">
        <is>
          <t>578270</t>
        </is>
      </c>
      <c r="AW348" t="inlineStr">
        <is>
          <t>991003011729702656</t>
        </is>
      </c>
      <c r="AX348" t="inlineStr">
        <is>
          <t>991003011729702656</t>
        </is>
      </c>
      <c r="AY348" t="inlineStr">
        <is>
          <t>2258725400002656</t>
        </is>
      </c>
      <c r="AZ348" t="inlineStr">
        <is>
          <t>BOOK</t>
        </is>
      </c>
      <c r="BC348" t="inlineStr">
        <is>
          <t>32285002868635</t>
        </is>
      </c>
      <c r="BD348" t="inlineStr">
        <is>
          <t>893616896</t>
        </is>
      </c>
    </row>
    <row r="349">
      <c r="A349" t="inlineStr">
        <is>
          <t>No</t>
        </is>
      </c>
      <c r="B349" t="inlineStr">
        <is>
          <t>QH325 .M68 1998</t>
        </is>
      </c>
      <c r="C349" t="inlineStr">
        <is>
          <t>0                      QH 0325000M  68          1998</t>
        </is>
      </c>
      <c r="D349" t="inlineStr">
        <is>
          <t>The molecular origins of life : assembling pieces of the puzzle / edited by André Brack.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Cambridge : Cambridge University Press, c1998.</t>
        </is>
      </c>
      <c r="M349" t="inlineStr">
        <is>
          <t>1998</t>
        </is>
      </c>
      <c r="O349" t="inlineStr">
        <is>
          <t>eng</t>
        </is>
      </c>
      <c r="P349" t="inlineStr">
        <is>
          <t>enk</t>
        </is>
      </c>
      <c r="R349" t="inlineStr">
        <is>
          <t xml:space="preserve">QH </t>
        </is>
      </c>
      <c r="S349" t="n">
        <v>5</v>
      </c>
      <c r="T349" t="n">
        <v>5</v>
      </c>
      <c r="U349" t="inlineStr">
        <is>
          <t>2006-10-10</t>
        </is>
      </c>
      <c r="V349" t="inlineStr">
        <is>
          <t>2006-10-10</t>
        </is>
      </c>
      <c r="W349" t="inlineStr">
        <is>
          <t>2000-07-20</t>
        </is>
      </c>
      <c r="X349" t="inlineStr">
        <is>
          <t>2000-07-20</t>
        </is>
      </c>
      <c r="Y349" t="n">
        <v>700</v>
      </c>
      <c r="Z349" t="n">
        <v>594</v>
      </c>
      <c r="AA349" t="n">
        <v>606</v>
      </c>
      <c r="AB349" t="n">
        <v>3</v>
      </c>
      <c r="AC349" t="n">
        <v>3</v>
      </c>
      <c r="AD349" t="n">
        <v>29</v>
      </c>
      <c r="AE349" t="n">
        <v>29</v>
      </c>
      <c r="AF349" t="n">
        <v>14</v>
      </c>
      <c r="AG349" t="n">
        <v>14</v>
      </c>
      <c r="AH349" t="n">
        <v>6</v>
      </c>
      <c r="AI349" t="n">
        <v>6</v>
      </c>
      <c r="AJ349" t="n">
        <v>15</v>
      </c>
      <c r="AK349" t="n">
        <v>15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HYPERLINK("https://creighton-primo.hosted.exlibrisgroup.com/primo-explore/search?tab=default_tab&amp;search_scope=EVERYTHING&amp;vid=01CRU&amp;lang=en_US&amp;offset=0&amp;query=any,contains,991003210339702656","Catalog Record")</f>
        <v/>
      </c>
      <c r="AT349">
        <f>HYPERLINK("http://www.worldcat.org/oclc/40559549","WorldCat Record")</f>
        <v/>
      </c>
      <c r="AU349" t="inlineStr">
        <is>
          <t>793851342:eng</t>
        </is>
      </c>
      <c r="AV349" t="inlineStr">
        <is>
          <t>40559549</t>
        </is>
      </c>
      <c r="AW349" t="inlineStr">
        <is>
          <t>991003210339702656</t>
        </is>
      </c>
      <c r="AX349" t="inlineStr">
        <is>
          <t>991003210339702656</t>
        </is>
      </c>
      <c r="AY349" t="inlineStr">
        <is>
          <t>2262518990002656</t>
        </is>
      </c>
      <c r="AZ349" t="inlineStr">
        <is>
          <t>BOOK</t>
        </is>
      </c>
      <c r="BB349" t="inlineStr">
        <is>
          <t>9780521564120</t>
        </is>
      </c>
      <c r="BC349" t="inlineStr">
        <is>
          <t>32285003711941</t>
        </is>
      </c>
      <c r="BD349" t="inlineStr">
        <is>
          <t>893686304</t>
        </is>
      </c>
    </row>
    <row r="350">
      <c r="A350" t="inlineStr">
        <is>
          <t>No</t>
        </is>
      </c>
      <c r="B350" t="inlineStr">
        <is>
          <t>QH325 .O5313</t>
        </is>
      </c>
      <c r="C350" t="inlineStr">
        <is>
          <t>0                      QH 0325000O  5313</t>
        </is>
      </c>
      <c r="D350" t="inlineStr">
        <is>
          <t>The chemical origin of life, by Alexander I. Oparin. Translated from Russian by Ann Synge.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Oparin, A. I. (Aleksandr Ivanovich), 1894-1980.</t>
        </is>
      </c>
      <c r="L350" t="inlineStr">
        <is>
          <t>Springfield, Ill., C.C. Thomas [1964]</t>
        </is>
      </c>
      <c r="M350" t="inlineStr">
        <is>
          <t>1964</t>
        </is>
      </c>
      <c r="O350" t="inlineStr">
        <is>
          <t>eng</t>
        </is>
      </c>
      <c r="P350" t="inlineStr">
        <is>
          <t>ilu</t>
        </is>
      </c>
      <c r="Q350" t="inlineStr">
        <is>
          <t>American lecture series, publication no. 588. A monograph in American lectures in living chemistry</t>
        </is>
      </c>
      <c r="R350" t="inlineStr">
        <is>
          <t xml:space="preserve">QH </t>
        </is>
      </c>
      <c r="S350" t="n">
        <v>2</v>
      </c>
      <c r="T350" t="n">
        <v>2</v>
      </c>
      <c r="U350" t="inlineStr">
        <is>
          <t>2002-11-12</t>
        </is>
      </c>
      <c r="V350" t="inlineStr">
        <is>
          <t>2002-11-12</t>
        </is>
      </c>
      <c r="W350" t="inlineStr">
        <is>
          <t>1997-07-01</t>
        </is>
      </c>
      <c r="X350" t="inlineStr">
        <is>
          <t>1997-07-01</t>
        </is>
      </c>
      <c r="Y350" t="n">
        <v>394</v>
      </c>
      <c r="Z350" t="n">
        <v>316</v>
      </c>
      <c r="AA350" t="n">
        <v>322</v>
      </c>
      <c r="AB350" t="n">
        <v>4</v>
      </c>
      <c r="AC350" t="n">
        <v>4</v>
      </c>
      <c r="AD350" t="n">
        <v>11</v>
      </c>
      <c r="AE350" t="n">
        <v>11</v>
      </c>
      <c r="AF350" t="n">
        <v>1</v>
      </c>
      <c r="AG350" t="n">
        <v>1</v>
      </c>
      <c r="AH350" t="n">
        <v>4</v>
      </c>
      <c r="AI350" t="n">
        <v>4</v>
      </c>
      <c r="AJ350" t="n">
        <v>5</v>
      </c>
      <c r="AK350" t="n">
        <v>5</v>
      </c>
      <c r="AL350" t="n">
        <v>3</v>
      </c>
      <c r="AM350" t="n">
        <v>3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HYPERLINK("http://catalog.hathitrust.org/Record/000859107","HathiTrust Record")</f>
        <v/>
      </c>
      <c r="AS350">
        <f>HYPERLINK("https://creighton-primo.hosted.exlibrisgroup.com/primo-explore/search?tab=default_tab&amp;search_scope=EVERYTHING&amp;vid=01CRU&amp;lang=en_US&amp;offset=0&amp;query=any,contains,991003490099702656","Catalog Record")</f>
        <v/>
      </c>
      <c r="AT350">
        <f>HYPERLINK("http://www.worldcat.org/oclc/1039222","WorldCat Record")</f>
        <v/>
      </c>
      <c r="AU350" t="inlineStr">
        <is>
          <t>2002642:eng</t>
        </is>
      </c>
      <c r="AV350" t="inlineStr">
        <is>
          <t>1039222</t>
        </is>
      </c>
      <c r="AW350" t="inlineStr">
        <is>
          <t>991003490099702656</t>
        </is>
      </c>
      <c r="AX350" t="inlineStr">
        <is>
          <t>991003490099702656</t>
        </is>
      </c>
      <c r="AY350" t="inlineStr">
        <is>
          <t>2264719890002656</t>
        </is>
      </c>
      <c r="AZ350" t="inlineStr">
        <is>
          <t>BOOK</t>
        </is>
      </c>
      <c r="BC350" t="inlineStr">
        <is>
          <t>32285002868643</t>
        </is>
      </c>
      <c r="BD350" t="inlineStr">
        <is>
          <t>893874801</t>
        </is>
      </c>
    </row>
    <row r="351">
      <c r="A351" t="inlineStr">
        <is>
          <t>No</t>
        </is>
      </c>
      <c r="B351" t="inlineStr">
        <is>
          <t>QH325 .O68</t>
        </is>
      </c>
      <c r="C351" t="inlineStr">
        <is>
          <t>0                      QH 0325000O  68</t>
        </is>
      </c>
      <c r="D351" t="inlineStr">
        <is>
          <t>The origins of life : molecules and natural selection / [by] L. E. Orgel.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Orgel, Leslie E.</t>
        </is>
      </c>
      <c r="L351" t="inlineStr">
        <is>
          <t>New York : Wiley, [1973]</t>
        </is>
      </c>
      <c r="M351" t="inlineStr">
        <is>
          <t>1973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QH </t>
        </is>
      </c>
      <c r="S351" t="n">
        <v>13</v>
      </c>
      <c r="T351" t="n">
        <v>13</v>
      </c>
      <c r="U351" t="inlineStr">
        <is>
          <t>1998-10-04</t>
        </is>
      </c>
      <c r="V351" t="inlineStr">
        <is>
          <t>1998-10-04</t>
        </is>
      </c>
      <c r="W351" t="inlineStr">
        <is>
          <t>1994-05-06</t>
        </is>
      </c>
      <c r="X351" t="inlineStr">
        <is>
          <t>1994-05-06</t>
        </is>
      </c>
      <c r="Y351" t="n">
        <v>437</v>
      </c>
      <c r="Z351" t="n">
        <v>380</v>
      </c>
      <c r="AA351" t="n">
        <v>394</v>
      </c>
      <c r="AB351" t="n">
        <v>3</v>
      </c>
      <c r="AC351" t="n">
        <v>3</v>
      </c>
      <c r="AD351" t="n">
        <v>14</v>
      </c>
      <c r="AE351" t="n">
        <v>14</v>
      </c>
      <c r="AF351" t="n">
        <v>3</v>
      </c>
      <c r="AG351" t="n">
        <v>3</v>
      </c>
      <c r="AH351" t="n">
        <v>3</v>
      </c>
      <c r="AI351" t="n">
        <v>3</v>
      </c>
      <c r="AJ351" t="n">
        <v>8</v>
      </c>
      <c r="AK351" t="n">
        <v>8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HYPERLINK("http://catalog.hathitrust.org/Record/000006510","HathiTrust Record")</f>
        <v/>
      </c>
      <c r="AS351">
        <f>HYPERLINK("https://creighton-primo.hosted.exlibrisgroup.com/primo-explore/search?tab=default_tab&amp;search_scope=EVERYTHING&amp;vid=01CRU&amp;lang=en_US&amp;offset=0&amp;query=any,contains,991002853809702656","Catalog Record")</f>
        <v/>
      </c>
      <c r="AT351">
        <f>HYPERLINK("http://www.worldcat.org/oclc/488333","WorldCat Record")</f>
        <v/>
      </c>
      <c r="AU351" t="inlineStr">
        <is>
          <t>490138:eng</t>
        </is>
      </c>
      <c r="AV351" t="inlineStr">
        <is>
          <t>488333</t>
        </is>
      </c>
      <c r="AW351" t="inlineStr">
        <is>
          <t>991002853809702656</t>
        </is>
      </c>
      <c r="AX351" t="inlineStr">
        <is>
          <t>991002853809702656</t>
        </is>
      </c>
      <c r="AY351" t="inlineStr">
        <is>
          <t>2255962650002656</t>
        </is>
      </c>
      <c r="AZ351" t="inlineStr">
        <is>
          <t>BOOK</t>
        </is>
      </c>
      <c r="BB351" t="inlineStr">
        <is>
          <t>9780471656920</t>
        </is>
      </c>
      <c r="BC351" t="inlineStr">
        <is>
          <t>32285001908101</t>
        </is>
      </c>
      <c r="BD351" t="inlineStr">
        <is>
          <t>893434372</t>
        </is>
      </c>
    </row>
    <row r="352">
      <c r="A352" t="inlineStr">
        <is>
          <t>No</t>
        </is>
      </c>
      <c r="B352" t="inlineStr">
        <is>
          <t>QH325 .O6914</t>
        </is>
      </c>
      <c r="C352" t="inlineStr">
        <is>
          <t>0                      QH 0325000O  6914</t>
        </is>
      </c>
      <c r="D352" t="inlineStr">
        <is>
          <t>Origin of life : proceedings of the 3rd ISSOL meeting and the 6th ICOL meeting, Jerusalem, June 22-27, 1980 / edited by Yecheskel Wolman.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Dordrecht, Holland ; Boston : D. Reidel Pub. Co. ; Hingham, MA : Sold and distributed in the U.S.A. and Canada by Kluwer Boston, c1981.</t>
        </is>
      </c>
      <c r="M352" t="inlineStr">
        <is>
          <t>1981</t>
        </is>
      </c>
      <c r="O352" t="inlineStr">
        <is>
          <t>eng</t>
        </is>
      </c>
      <c r="P352" t="inlineStr">
        <is>
          <t xml:space="preserve">ne </t>
        </is>
      </c>
      <c r="R352" t="inlineStr">
        <is>
          <t xml:space="preserve">QH </t>
        </is>
      </c>
      <c r="S352" t="n">
        <v>11</v>
      </c>
      <c r="T352" t="n">
        <v>11</v>
      </c>
      <c r="U352" t="inlineStr">
        <is>
          <t>1995-09-27</t>
        </is>
      </c>
      <c r="V352" t="inlineStr">
        <is>
          <t>1995-09-27</t>
        </is>
      </c>
      <c r="W352" t="inlineStr">
        <is>
          <t>1993-03-22</t>
        </is>
      </c>
      <c r="X352" t="inlineStr">
        <is>
          <t>1993-03-22</t>
        </is>
      </c>
      <c r="Y352" t="n">
        <v>171</v>
      </c>
      <c r="Z352" t="n">
        <v>121</v>
      </c>
      <c r="AA352" t="n">
        <v>149</v>
      </c>
      <c r="AB352" t="n">
        <v>2</v>
      </c>
      <c r="AC352" t="n">
        <v>2</v>
      </c>
      <c r="AD352" t="n">
        <v>2</v>
      </c>
      <c r="AE352" t="n">
        <v>2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HYPERLINK("https://creighton-primo.hosted.exlibrisgroup.com/primo-explore/search?tab=default_tab&amp;search_scope=EVERYTHING&amp;vid=01CRU&amp;lang=en_US&amp;offset=0&amp;query=any,contains,991005093069702656","Catalog Record")</f>
        <v/>
      </c>
      <c r="AT352">
        <f>HYPERLINK("http://www.worldcat.org/oclc/7249051","WorldCat Record")</f>
        <v/>
      </c>
      <c r="AU352" t="inlineStr">
        <is>
          <t>139989935:eng</t>
        </is>
      </c>
      <c r="AV352" t="inlineStr">
        <is>
          <t>7249051</t>
        </is>
      </c>
      <c r="AW352" t="inlineStr">
        <is>
          <t>991005093069702656</t>
        </is>
      </c>
      <c r="AX352" t="inlineStr">
        <is>
          <t>991005093069702656</t>
        </is>
      </c>
      <c r="AY352" t="inlineStr">
        <is>
          <t>2265239110002656</t>
        </is>
      </c>
      <c r="AZ352" t="inlineStr">
        <is>
          <t>BOOK</t>
        </is>
      </c>
      <c r="BB352" t="inlineStr">
        <is>
          <t>9789027712295</t>
        </is>
      </c>
      <c r="BC352" t="inlineStr">
        <is>
          <t>32285001553006</t>
        </is>
      </c>
      <c r="BD352" t="inlineStr">
        <is>
          <t>893883325</t>
        </is>
      </c>
    </row>
    <row r="353">
      <c r="A353" t="inlineStr">
        <is>
          <t>No</t>
        </is>
      </c>
      <c r="B353" t="inlineStr">
        <is>
          <t>QH325 .O6919 1994</t>
        </is>
      </c>
      <c r="C353" t="inlineStr">
        <is>
          <t>0                      QH 0325000O  6919        1994</t>
        </is>
      </c>
      <c r="D353" t="inlineStr">
        <is>
          <t>Origins of life : the central concepts / [edited by] David W. Deamer, Gail R. Fleischaker.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Boston : Jones and Bartlett Publishers, c1994.</t>
        </is>
      </c>
      <c r="M353" t="inlineStr">
        <is>
          <t>1994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QH </t>
        </is>
      </c>
      <c r="S353" t="n">
        <v>23</v>
      </c>
      <c r="T353" t="n">
        <v>23</v>
      </c>
      <c r="U353" t="inlineStr">
        <is>
          <t>2002-11-12</t>
        </is>
      </c>
      <c r="V353" t="inlineStr">
        <is>
          <t>2002-11-12</t>
        </is>
      </c>
      <c r="W353" t="inlineStr">
        <is>
          <t>1994-05-09</t>
        </is>
      </c>
      <c r="X353" t="inlineStr">
        <is>
          <t>1994-05-09</t>
        </is>
      </c>
      <c r="Y353" t="n">
        <v>297</v>
      </c>
      <c r="Z353" t="n">
        <v>244</v>
      </c>
      <c r="AA353" t="n">
        <v>247</v>
      </c>
      <c r="AB353" t="n">
        <v>2</v>
      </c>
      <c r="AC353" t="n">
        <v>2</v>
      </c>
      <c r="AD353" t="n">
        <v>13</v>
      </c>
      <c r="AE353" t="n">
        <v>13</v>
      </c>
      <c r="AF353" t="n">
        <v>5</v>
      </c>
      <c r="AG353" t="n">
        <v>5</v>
      </c>
      <c r="AH353" t="n">
        <v>3</v>
      </c>
      <c r="AI353" t="n">
        <v>3</v>
      </c>
      <c r="AJ353" t="n">
        <v>7</v>
      </c>
      <c r="AK353" t="n">
        <v>7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HYPERLINK("http://catalog.hathitrust.org/Record/002797854","HathiTrust Record")</f>
        <v/>
      </c>
      <c r="AS353">
        <f>HYPERLINK("https://creighton-primo.hosted.exlibrisgroup.com/primo-explore/search?tab=default_tab&amp;search_scope=EVERYTHING&amp;vid=01CRU&amp;lang=en_US&amp;offset=0&amp;query=any,contains,991002194849702656","Catalog Record")</f>
        <v/>
      </c>
      <c r="AT353">
        <f>HYPERLINK("http://www.worldcat.org/oclc/28218773","WorldCat Record")</f>
        <v/>
      </c>
      <c r="AU353" t="inlineStr">
        <is>
          <t>30527641:eng</t>
        </is>
      </c>
      <c r="AV353" t="inlineStr">
        <is>
          <t>28218773</t>
        </is>
      </c>
      <c r="AW353" t="inlineStr">
        <is>
          <t>991002194849702656</t>
        </is>
      </c>
      <c r="AX353" t="inlineStr">
        <is>
          <t>991002194849702656</t>
        </is>
      </c>
      <c r="AY353" t="inlineStr">
        <is>
          <t>2268342920002656</t>
        </is>
      </c>
      <c r="AZ353" t="inlineStr">
        <is>
          <t>BOOK</t>
        </is>
      </c>
      <c r="BB353" t="inlineStr">
        <is>
          <t>9780867201819</t>
        </is>
      </c>
      <c r="BC353" t="inlineStr">
        <is>
          <t>32285001879864</t>
        </is>
      </c>
      <c r="BD353" t="inlineStr">
        <is>
          <t>893792138</t>
        </is>
      </c>
    </row>
    <row r="354">
      <c r="A354" t="inlineStr">
        <is>
          <t>No</t>
        </is>
      </c>
      <c r="B354" t="inlineStr">
        <is>
          <t>QH325 .O692</t>
        </is>
      </c>
      <c r="C354" t="inlineStr">
        <is>
          <t>0                      QH 0325000O  692</t>
        </is>
      </c>
      <c r="D354" t="inlineStr">
        <is>
          <t>The Origins of life and evolution : proceedings of a symposium held at the Marine Biological Laboratory, Woods Hole, Massachusetts, July 1979 / Harlyn O. Halvorson and Kensal E. Van Holde, editors.</t>
        </is>
      </c>
      <c r="F354" t="inlineStr">
        <is>
          <t>No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A. R. Liss, 1980.</t>
        </is>
      </c>
      <c r="M354" t="inlineStr">
        <is>
          <t>1980</t>
        </is>
      </c>
      <c r="O354" t="inlineStr">
        <is>
          <t>eng</t>
        </is>
      </c>
      <c r="P354" t="inlineStr">
        <is>
          <t>nyu</t>
        </is>
      </c>
      <c r="Q354" t="inlineStr">
        <is>
          <t>MBL lectures in biology ; v. 1</t>
        </is>
      </c>
      <c r="R354" t="inlineStr">
        <is>
          <t xml:space="preserve">QH </t>
        </is>
      </c>
      <c r="S354" t="n">
        <v>11</v>
      </c>
      <c r="T354" t="n">
        <v>17</v>
      </c>
      <c r="U354" t="inlineStr">
        <is>
          <t>1996-10-01</t>
        </is>
      </c>
      <c r="V354" t="inlineStr">
        <is>
          <t>1996-10-01</t>
        </is>
      </c>
      <c r="W354" t="inlineStr">
        <is>
          <t>1993-03-22</t>
        </is>
      </c>
      <c r="X354" t="inlineStr">
        <is>
          <t>1993-03-22</t>
        </is>
      </c>
      <c r="Y354" t="n">
        <v>337</v>
      </c>
      <c r="Z354" t="n">
        <v>269</v>
      </c>
      <c r="AA354" t="n">
        <v>278</v>
      </c>
      <c r="AB354" t="n">
        <v>4</v>
      </c>
      <c r="AC354" t="n">
        <v>4</v>
      </c>
      <c r="AD354" t="n">
        <v>9</v>
      </c>
      <c r="AE354" t="n">
        <v>9</v>
      </c>
      <c r="AF354" t="n">
        <v>1</v>
      </c>
      <c r="AG354" t="n">
        <v>1</v>
      </c>
      <c r="AH354" t="n">
        <v>1</v>
      </c>
      <c r="AI354" t="n">
        <v>1</v>
      </c>
      <c r="AJ354" t="n">
        <v>6</v>
      </c>
      <c r="AK354" t="n">
        <v>6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HYPERLINK("http://catalog.hathitrust.org/Record/000146242","HathiTrust Record")</f>
        <v/>
      </c>
      <c r="AS354">
        <f>HYPERLINK("https://creighton-primo.hosted.exlibrisgroup.com/primo-explore/search?tab=default_tab&amp;search_scope=EVERYTHING&amp;vid=01CRU&amp;lang=en_US&amp;offset=0&amp;query=any,contains,991001771079702656","Catalog Record")</f>
        <v/>
      </c>
      <c r="AT354">
        <f>HYPERLINK("http://www.worldcat.org/oclc/7169380","WorldCat Record")</f>
        <v/>
      </c>
      <c r="AU354" t="inlineStr">
        <is>
          <t>3858719516:eng</t>
        </is>
      </c>
      <c r="AV354" t="inlineStr">
        <is>
          <t>7169380</t>
        </is>
      </c>
      <c r="AW354" t="inlineStr">
        <is>
          <t>991001771079702656</t>
        </is>
      </c>
      <c r="AX354" t="inlineStr">
        <is>
          <t>991001771079702656</t>
        </is>
      </c>
      <c r="AY354" t="inlineStr">
        <is>
          <t>2268694430002656</t>
        </is>
      </c>
      <c r="AZ354" t="inlineStr">
        <is>
          <t>BOOK</t>
        </is>
      </c>
      <c r="BB354" t="inlineStr">
        <is>
          <t>9780845122006</t>
        </is>
      </c>
      <c r="BC354" t="inlineStr">
        <is>
          <t>32285001553014</t>
        </is>
      </c>
      <c r="BD354" t="inlineStr">
        <is>
          <t>893772895</t>
        </is>
      </c>
    </row>
    <row r="355">
      <c r="A355" t="inlineStr">
        <is>
          <t>No</t>
        </is>
      </c>
      <c r="B355" t="inlineStr">
        <is>
          <t>QH325 .P59 1972</t>
        </is>
      </c>
      <c r="C355" t="inlineStr">
        <is>
          <t>0                      QH 0325000P  59          1972</t>
        </is>
      </c>
      <c r="D355" t="inlineStr">
        <is>
          <t>The origins of life.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Ponnamperuma, Cyril, 1923-</t>
        </is>
      </c>
      <c r="L355" t="inlineStr">
        <is>
          <t>New York : Dutton, [1972]</t>
        </is>
      </c>
      <c r="M355" t="inlineStr">
        <is>
          <t>1972</t>
        </is>
      </c>
      <c r="N355" t="inlineStr">
        <is>
          <t>[1st ed.]</t>
        </is>
      </c>
      <c r="O355" t="inlineStr">
        <is>
          <t>eng</t>
        </is>
      </c>
      <c r="P355" t="inlineStr">
        <is>
          <t>nyu</t>
        </is>
      </c>
      <c r="Q355" t="inlineStr">
        <is>
          <t>The World of science library</t>
        </is>
      </c>
      <c r="R355" t="inlineStr">
        <is>
          <t xml:space="preserve">QH </t>
        </is>
      </c>
      <c r="S355" t="n">
        <v>5</v>
      </c>
      <c r="T355" t="n">
        <v>5</v>
      </c>
      <c r="U355" t="inlineStr">
        <is>
          <t>2002-11-12</t>
        </is>
      </c>
      <c r="V355" t="inlineStr">
        <is>
          <t>2002-11-12</t>
        </is>
      </c>
      <c r="W355" t="inlineStr">
        <is>
          <t>1994-05-06</t>
        </is>
      </c>
      <c r="X355" t="inlineStr">
        <is>
          <t>1994-05-06</t>
        </is>
      </c>
      <c r="Y355" t="n">
        <v>423</v>
      </c>
      <c r="Z355" t="n">
        <v>384</v>
      </c>
      <c r="AA355" t="n">
        <v>401</v>
      </c>
      <c r="AB355" t="n">
        <v>3</v>
      </c>
      <c r="AC355" t="n">
        <v>3</v>
      </c>
      <c r="AD355" t="n">
        <v>9</v>
      </c>
      <c r="AE355" t="n">
        <v>10</v>
      </c>
      <c r="AF355" t="n">
        <v>2</v>
      </c>
      <c r="AG355" t="n">
        <v>3</v>
      </c>
      <c r="AH355" t="n">
        <v>1</v>
      </c>
      <c r="AI355" t="n">
        <v>1</v>
      </c>
      <c r="AJ355" t="n">
        <v>4</v>
      </c>
      <c r="AK355" t="n">
        <v>4</v>
      </c>
      <c r="AL355" t="n">
        <v>2</v>
      </c>
      <c r="AM355" t="n">
        <v>2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HYPERLINK("http://catalog.hathitrust.org/Record/001491408","HathiTrust Record")</f>
        <v/>
      </c>
      <c r="AS355">
        <f>HYPERLINK("https://creighton-primo.hosted.exlibrisgroup.com/primo-explore/search?tab=default_tab&amp;search_scope=EVERYTHING&amp;vid=01CRU&amp;lang=en_US&amp;offset=0&amp;query=any,contains,991002886469702656","Catalog Record")</f>
        <v/>
      </c>
      <c r="AT355">
        <f>HYPERLINK("http://www.worldcat.org/oclc/508643","WorldCat Record")</f>
        <v/>
      </c>
      <c r="AU355" t="inlineStr">
        <is>
          <t>4020096646:eng</t>
        </is>
      </c>
      <c r="AV355" t="inlineStr">
        <is>
          <t>508643</t>
        </is>
      </c>
      <c r="AW355" t="inlineStr">
        <is>
          <t>991002886469702656</t>
        </is>
      </c>
      <c r="AX355" t="inlineStr">
        <is>
          <t>991002886469702656</t>
        </is>
      </c>
      <c r="AY355" t="inlineStr">
        <is>
          <t>2261170690002656</t>
        </is>
      </c>
      <c r="AZ355" t="inlineStr">
        <is>
          <t>BOOK</t>
        </is>
      </c>
      <c r="BB355" t="inlineStr">
        <is>
          <t>9780525171959</t>
        </is>
      </c>
      <c r="BC355" t="inlineStr">
        <is>
          <t>32285001908093</t>
        </is>
      </c>
      <c r="BD355" t="inlineStr">
        <is>
          <t>893704641</t>
        </is>
      </c>
    </row>
    <row r="356">
      <c r="A356" t="inlineStr">
        <is>
          <t>No</t>
        </is>
      </c>
      <c r="B356" t="inlineStr">
        <is>
          <t>QH325 .R83</t>
        </is>
      </c>
      <c r="C356" t="inlineStr">
        <is>
          <t>0                      QH 0325000R  83</t>
        </is>
      </c>
      <c r="D356" t="inlineStr">
        <is>
          <t>The origin of life by natural causes / [by] M. G. Rutten.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Rutten, M. G. (Martin Gerard)</t>
        </is>
      </c>
      <c r="L356" t="inlineStr">
        <is>
          <t>Amsterdam ; London ; New York : Elsevier, 1971.</t>
        </is>
      </c>
      <c r="M356" t="inlineStr">
        <is>
          <t>1971</t>
        </is>
      </c>
      <c r="O356" t="inlineStr">
        <is>
          <t>eng</t>
        </is>
      </c>
      <c r="P356" t="inlineStr">
        <is>
          <t xml:space="preserve">ne </t>
        </is>
      </c>
      <c r="R356" t="inlineStr">
        <is>
          <t xml:space="preserve">QH </t>
        </is>
      </c>
      <c r="S356" t="n">
        <v>9</v>
      </c>
      <c r="T356" t="n">
        <v>9</v>
      </c>
      <c r="U356" t="inlineStr">
        <is>
          <t>2002-11-12</t>
        </is>
      </c>
      <c r="V356" t="inlineStr">
        <is>
          <t>2002-11-12</t>
        </is>
      </c>
      <c r="W356" t="inlineStr">
        <is>
          <t>1994-05-06</t>
        </is>
      </c>
      <c r="X356" t="inlineStr">
        <is>
          <t>1994-05-06</t>
        </is>
      </c>
      <c r="Y356" t="n">
        <v>572</v>
      </c>
      <c r="Z356" t="n">
        <v>416</v>
      </c>
      <c r="AA356" t="n">
        <v>423</v>
      </c>
      <c r="AB356" t="n">
        <v>3</v>
      </c>
      <c r="AC356" t="n">
        <v>3</v>
      </c>
      <c r="AD356" t="n">
        <v>11</v>
      </c>
      <c r="AE356" t="n">
        <v>11</v>
      </c>
      <c r="AF356" t="n">
        <v>3</v>
      </c>
      <c r="AG356" t="n">
        <v>3</v>
      </c>
      <c r="AH356" t="n">
        <v>3</v>
      </c>
      <c r="AI356" t="n">
        <v>3</v>
      </c>
      <c r="AJ356" t="n">
        <v>5</v>
      </c>
      <c r="AK356" t="n">
        <v>5</v>
      </c>
      <c r="AL356" t="n">
        <v>2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HYPERLINK("http://catalog.hathitrust.org/Record/001491412","HathiTrust Record")</f>
        <v/>
      </c>
      <c r="AS356">
        <f>HYPERLINK("https://creighton-primo.hosted.exlibrisgroup.com/primo-explore/search?tab=default_tab&amp;search_scope=EVERYTHING&amp;vid=01CRU&amp;lang=en_US&amp;offset=0&amp;query=any,contains,991002273149702656","Catalog Record")</f>
        <v/>
      </c>
      <c r="AT356">
        <f>HYPERLINK("http://www.worldcat.org/oclc/309151","WorldCat Record")</f>
        <v/>
      </c>
      <c r="AU356" t="inlineStr">
        <is>
          <t>1366432:eng</t>
        </is>
      </c>
      <c r="AV356" t="inlineStr">
        <is>
          <t>309151</t>
        </is>
      </c>
      <c r="AW356" t="inlineStr">
        <is>
          <t>991002273149702656</t>
        </is>
      </c>
      <c r="AX356" t="inlineStr">
        <is>
          <t>991002273149702656</t>
        </is>
      </c>
      <c r="AY356" t="inlineStr">
        <is>
          <t>2264775260002656</t>
        </is>
      </c>
      <c r="AZ356" t="inlineStr">
        <is>
          <t>BOOK</t>
        </is>
      </c>
      <c r="BB356" t="inlineStr">
        <is>
          <t>9780444408877</t>
        </is>
      </c>
      <c r="BC356" t="inlineStr">
        <is>
          <t>32285001908085</t>
        </is>
      </c>
      <c r="BD356" t="inlineStr">
        <is>
          <t>893898558</t>
        </is>
      </c>
    </row>
    <row r="357">
      <c r="A357" t="inlineStr">
        <is>
          <t>No</t>
        </is>
      </c>
      <c r="B357" t="inlineStr">
        <is>
          <t>QH325 .S24 1992</t>
        </is>
      </c>
      <c r="C357" t="inlineStr">
        <is>
          <t>0                      QH 0325000S  24          1992</t>
        </is>
      </c>
      <c r="D357" t="inlineStr">
        <is>
          <t>Shadows of forgotten ancestors : a search for who we are / Carl Sagan, Ann Druyan.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Sagan, Carl, 1934-1996.</t>
        </is>
      </c>
      <c r="L357" t="inlineStr">
        <is>
          <t>New York : Random House, c1992.</t>
        </is>
      </c>
      <c r="M357" t="inlineStr">
        <is>
          <t>1992</t>
        </is>
      </c>
      <c r="N357" t="inlineStr">
        <is>
          <t>1st ed.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QH </t>
        </is>
      </c>
      <c r="S357" t="n">
        <v>14</v>
      </c>
      <c r="T357" t="n">
        <v>14</v>
      </c>
      <c r="U357" t="inlineStr">
        <is>
          <t>2003-09-02</t>
        </is>
      </c>
      <c r="V357" t="inlineStr">
        <is>
          <t>2003-09-02</t>
        </is>
      </c>
      <c r="W357" t="inlineStr">
        <is>
          <t>1992-11-20</t>
        </is>
      </c>
      <c r="X357" t="inlineStr">
        <is>
          <t>1992-11-20</t>
        </is>
      </c>
      <c r="Y357" t="n">
        <v>2050</v>
      </c>
      <c r="Z357" t="n">
        <v>1962</v>
      </c>
      <c r="AA357" t="n">
        <v>2223</v>
      </c>
      <c r="AB357" t="n">
        <v>20</v>
      </c>
      <c r="AC357" t="n">
        <v>22</v>
      </c>
      <c r="AD357" t="n">
        <v>39</v>
      </c>
      <c r="AE357" t="n">
        <v>43</v>
      </c>
      <c r="AF357" t="n">
        <v>11</v>
      </c>
      <c r="AG357" t="n">
        <v>14</v>
      </c>
      <c r="AH357" t="n">
        <v>7</v>
      </c>
      <c r="AI357" t="n">
        <v>7</v>
      </c>
      <c r="AJ357" t="n">
        <v>16</v>
      </c>
      <c r="AK357" t="n">
        <v>16</v>
      </c>
      <c r="AL357" t="n">
        <v>10</v>
      </c>
      <c r="AM357" t="n">
        <v>11</v>
      </c>
      <c r="AN357" t="n">
        <v>1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HYPERLINK("https://creighton-primo.hosted.exlibrisgroup.com/primo-explore/search?tab=default_tab&amp;search_scope=EVERYTHING&amp;vid=01CRU&amp;lang=en_US&amp;offset=0&amp;query=any,contains,991002018659702656","Catalog Record")</f>
        <v/>
      </c>
      <c r="AT357">
        <f>HYPERLINK("http://www.worldcat.org/oclc/25675747","WorldCat Record")</f>
        <v/>
      </c>
      <c r="AU357" t="inlineStr">
        <is>
          <t>53316266:eng</t>
        </is>
      </c>
      <c r="AV357" t="inlineStr">
        <is>
          <t>25675747</t>
        </is>
      </c>
      <c r="AW357" t="inlineStr">
        <is>
          <t>991002018659702656</t>
        </is>
      </c>
      <c r="AX357" t="inlineStr">
        <is>
          <t>991002018659702656</t>
        </is>
      </c>
      <c r="AY357" t="inlineStr">
        <is>
          <t>2267028680002656</t>
        </is>
      </c>
      <c r="AZ357" t="inlineStr">
        <is>
          <t>BOOK</t>
        </is>
      </c>
      <c r="BB357" t="inlineStr">
        <is>
          <t>9780394534817</t>
        </is>
      </c>
      <c r="BC357" t="inlineStr">
        <is>
          <t>32285001364313</t>
        </is>
      </c>
      <c r="BD357" t="inlineStr">
        <is>
          <t>893804132</t>
        </is>
      </c>
    </row>
    <row r="358">
      <c r="A358" t="inlineStr">
        <is>
          <t>No</t>
        </is>
      </c>
      <c r="B358" t="inlineStr">
        <is>
          <t>QH325 .S384 1999</t>
        </is>
      </c>
      <c r="C358" t="inlineStr">
        <is>
          <t>0                      QH 0325000S  384         1999</t>
        </is>
      </c>
      <c r="D358" t="inlineStr">
        <is>
          <t>Cradle of life : the discovery of earth's earliest fossils / J. William Schopf.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Schopf, J. William, 1941-</t>
        </is>
      </c>
      <c r="L358" t="inlineStr">
        <is>
          <t>Princeton, N.J. : Princeton University Press, c1999.</t>
        </is>
      </c>
      <c r="M358" t="inlineStr">
        <is>
          <t>1999</t>
        </is>
      </c>
      <c r="O358" t="inlineStr">
        <is>
          <t>eng</t>
        </is>
      </c>
      <c r="P358" t="inlineStr">
        <is>
          <t>nju</t>
        </is>
      </c>
      <c r="R358" t="inlineStr">
        <is>
          <t xml:space="preserve">QH </t>
        </is>
      </c>
      <c r="S358" t="n">
        <v>6</v>
      </c>
      <c r="T358" t="n">
        <v>6</v>
      </c>
      <c r="U358" t="inlineStr">
        <is>
          <t>2001-02-10</t>
        </is>
      </c>
      <c r="V358" t="inlineStr">
        <is>
          <t>2001-02-10</t>
        </is>
      </c>
      <c r="W358" t="inlineStr">
        <is>
          <t>1999-08-05</t>
        </is>
      </c>
      <c r="X358" t="inlineStr">
        <is>
          <t>1999-08-05</t>
        </is>
      </c>
      <c r="Y358" t="n">
        <v>1267</v>
      </c>
      <c r="Z358" t="n">
        <v>1118</v>
      </c>
      <c r="AA358" t="n">
        <v>1132</v>
      </c>
      <c r="AB358" t="n">
        <v>11</v>
      </c>
      <c r="AC358" t="n">
        <v>11</v>
      </c>
      <c r="AD358" t="n">
        <v>39</v>
      </c>
      <c r="AE358" t="n">
        <v>39</v>
      </c>
      <c r="AF358" t="n">
        <v>15</v>
      </c>
      <c r="AG358" t="n">
        <v>15</v>
      </c>
      <c r="AH358" t="n">
        <v>7</v>
      </c>
      <c r="AI358" t="n">
        <v>7</v>
      </c>
      <c r="AJ358" t="n">
        <v>16</v>
      </c>
      <c r="AK358" t="n">
        <v>16</v>
      </c>
      <c r="AL358" t="n">
        <v>8</v>
      </c>
      <c r="AM358" t="n">
        <v>8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HYPERLINK("https://creighton-primo.hosted.exlibrisgroup.com/primo-explore/search?tab=default_tab&amp;search_scope=EVERYTHING&amp;vid=01CRU&amp;lang=en_US&amp;offset=0&amp;query=any,contains,991002972899702656","Catalog Record")</f>
        <v/>
      </c>
      <c r="AT358">
        <f>HYPERLINK("http://www.worldcat.org/oclc/39839128","WorldCat Record")</f>
        <v/>
      </c>
      <c r="AU358" t="inlineStr">
        <is>
          <t>42475716:eng</t>
        </is>
      </c>
      <c r="AV358" t="inlineStr">
        <is>
          <t>39839128</t>
        </is>
      </c>
      <c r="AW358" t="inlineStr">
        <is>
          <t>991002972899702656</t>
        </is>
      </c>
      <c r="AX358" t="inlineStr">
        <is>
          <t>991002972899702656</t>
        </is>
      </c>
      <c r="AY358" t="inlineStr">
        <is>
          <t>2272576780002656</t>
        </is>
      </c>
      <c r="AZ358" t="inlineStr">
        <is>
          <t>BOOK</t>
        </is>
      </c>
      <c r="BB358" t="inlineStr">
        <is>
          <t>9780691002309</t>
        </is>
      </c>
      <c r="BC358" t="inlineStr">
        <is>
          <t>32285003580254</t>
        </is>
      </c>
      <c r="BD358" t="inlineStr">
        <is>
          <t>893880675</t>
        </is>
      </c>
    </row>
    <row r="359">
      <c r="A359" t="inlineStr">
        <is>
          <t>No</t>
        </is>
      </c>
      <c r="B359" t="inlineStr">
        <is>
          <t>QH325 .S39 1986</t>
        </is>
      </c>
      <c r="C359" t="inlineStr">
        <is>
          <t>0                      QH 0325000S  39          1986</t>
        </is>
      </c>
      <c r="D359" t="inlineStr">
        <is>
          <t>The creation of life : past, future, alien / Andrew Scott.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Scott, Andrew, 1955-</t>
        </is>
      </c>
      <c r="L359" t="inlineStr">
        <is>
          <t>Oxford, UK ; New York, NY, USA : Blackwell,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QH </t>
        </is>
      </c>
      <c r="S359" t="n">
        <v>7</v>
      </c>
      <c r="T359" t="n">
        <v>7</v>
      </c>
      <c r="U359" t="inlineStr">
        <is>
          <t>2002-11-12</t>
        </is>
      </c>
      <c r="V359" t="inlineStr">
        <is>
          <t>2002-11-12</t>
        </is>
      </c>
      <c r="W359" t="inlineStr">
        <is>
          <t>1993-03-22</t>
        </is>
      </c>
      <c r="X359" t="inlineStr">
        <is>
          <t>1993-03-22</t>
        </is>
      </c>
      <c r="Y359" t="n">
        <v>579</v>
      </c>
      <c r="Z359" t="n">
        <v>501</v>
      </c>
      <c r="AA359" t="n">
        <v>505</v>
      </c>
      <c r="AB359" t="n">
        <v>4</v>
      </c>
      <c r="AC359" t="n">
        <v>4</v>
      </c>
      <c r="AD359" t="n">
        <v>14</v>
      </c>
      <c r="AE359" t="n">
        <v>14</v>
      </c>
      <c r="AF359" t="n">
        <v>4</v>
      </c>
      <c r="AG359" t="n">
        <v>4</v>
      </c>
      <c r="AH359" t="n">
        <v>3</v>
      </c>
      <c r="AI359" t="n">
        <v>3</v>
      </c>
      <c r="AJ359" t="n">
        <v>8</v>
      </c>
      <c r="AK359" t="n">
        <v>8</v>
      </c>
      <c r="AL359" t="n">
        <v>3</v>
      </c>
      <c r="AM359" t="n">
        <v>3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HYPERLINK("https://creighton-primo.hosted.exlibrisgroup.com/primo-explore/search?tab=default_tab&amp;search_scope=EVERYTHING&amp;vid=01CRU&amp;lang=en_US&amp;offset=0&amp;query=any,contains,991000847999702656","Catalog Record")</f>
        <v/>
      </c>
      <c r="AT359">
        <f>HYPERLINK("http://www.worldcat.org/oclc/13580112","WorldCat Record")</f>
        <v/>
      </c>
      <c r="AU359" t="inlineStr">
        <is>
          <t>7461839:eng</t>
        </is>
      </c>
      <c r="AV359" t="inlineStr">
        <is>
          <t>13580112</t>
        </is>
      </c>
      <c r="AW359" t="inlineStr">
        <is>
          <t>991000847999702656</t>
        </is>
      </c>
      <c r="AX359" t="inlineStr">
        <is>
          <t>991000847999702656</t>
        </is>
      </c>
      <c r="AY359" t="inlineStr">
        <is>
          <t>2257851260002656</t>
        </is>
      </c>
      <c r="AZ359" t="inlineStr">
        <is>
          <t>BOOK</t>
        </is>
      </c>
      <c r="BB359" t="inlineStr">
        <is>
          <t>9780631148838</t>
        </is>
      </c>
      <c r="BC359" t="inlineStr">
        <is>
          <t>32285001553022</t>
        </is>
      </c>
      <c r="BD359" t="inlineStr">
        <is>
          <t>893702493</t>
        </is>
      </c>
    </row>
    <row r="360">
      <c r="A360" t="inlineStr">
        <is>
          <t>No</t>
        </is>
      </c>
      <c r="B360" t="inlineStr">
        <is>
          <t>QH325 .S42 1987</t>
        </is>
      </c>
      <c r="C360" t="inlineStr">
        <is>
          <t>0                      QH 0325000S  42          1987</t>
        </is>
      </c>
      <c r="D360" t="inlineStr">
        <is>
          <t>Search for the universal ancestors : the origins of life / editors, H. Hartman, J.G. Lawless, P. Morrison.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Palo Alto : Blackwell Scientific Publications, c1987.</t>
        </is>
      </c>
      <c r="M360" t="inlineStr">
        <is>
          <t>1987</t>
        </is>
      </c>
      <c r="O360" t="inlineStr">
        <is>
          <t>eng</t>
        </is>
      </c>
      <c r="P360" t="inlineStr">
        <is>
          <t>cau</t>
        </is>
      </c>
      <c r="R360" t="inlineStr">
        <is>
          <t xml:space="preserve">QH </t>
        </is>
      </c>
      <c r="S360" t="n">
        <v>4</v>
      </c>
      <c r="T360" t="n">
        <v>4</v>
      </c>
      <c r="U360" t="inlineStr">
        <is>
          <t>2002-11-12</t>
        </is>
      </c>
      <c r="V360" t="inlineStr">
        <is>
          <t>2002-11-12</t>
        </is>
      </c>
      <c r="W360" t="inlineStr">
        <is>
          <t>1993-03-22</t>
        </is>
      </c>
      <c r="X360" t="inlineStr">
        <is>
          <t>1993-03-22</t>
        </is>
      </c>
      <c r="Y360" t="n">
        <v>327</v>
      </c>
      <c r="Z360" t="n">
        <v>250</v>
      </c>
      <c r="AA360" t="n">
        <v>256</v>
      </c>
      <c r="AB360" t="n">
        <v>2</v>
      </c>
      <c r="AC360" t="n">
        <v>2</v>
      </c>
      <c r="AD360" t="n">
        <v>10</v>
      </c>
      <c r="AE360" t="n">
        <v>10</v>
      </c>
      <c r="AF360" t="n">
        <v>3</v>
      </c>
      <c r="AG360" t="n">
        <v>3</v>
      </c>
      <c r="AH360" t="n">
        <v>3</v>
      </c>
      <c r="AI360" t="n">
        <v>3</v>
      </c>
      <c r="AJ360" t="n">
        <v>6</v>
      </c>
      <c r="AK360" t="n">
        <v>6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HYPERLINK("https://creighton-primo.hosted.exlibrisgroup.com/primo-explore/search?tab=default_tab&amp;search_scope=EVERYTHING&amp;vid=01CRU&amp;lang=en_US&amp;offset=0&amp;query=any,contains,991000973099702656","Catalog Record")</f>
        <v/>
      </c>
      <c r="AT360">
        <f>HYPERLINK("http://www.worldcat.org/oclc/14967072","WorldCat Record")</f>
        <v/>
      </c>
      <c r="AU360" t="inlineStr">
        <is>
          <t>10792601871:eng</t>
        </is>
      </c>
      <c r="AV360" t="inlineStr">
        <is>
          <t>14967072</t>
        </is>
      </c>
      <c r="AW360" t="inlineStr">
        <is>
          <t>991000973099702656</t>
        </is>
      </c>
      <c r="AX360" t="inlineStr">
        <is>
          <t>991000973099702656</t>
        </is>
      </c>
      <c r="AY360" t="inlineStr">
        <is>
          <t>2262264800002656</t>
        </is>
      </c>
      <c r="AZ360" t="inlineStr">
        <is>
          <t>BOOK</t>
        </is>
      </c>
      <c r="BB360" t="inlineStr">
        <is>
          <t>9780865423282</t>
        </is>
      </c>
      <c r="BC360" t="inlineStr">
        <is>
          <t>32285001553030</t>
        </is>
      </c>
      <c r="BD360" t="inlineStr">
        <is>
          <t>893608431</t>
        </is>
      </c>
    </row>
    <row r="361">
      <c r="A361" t="inlineStr">
        <is>
          <t>No</t>
        </is>
      </c>
      <c r="B361" t="inlineStr">
        <is>
          <t>QH325 .S47 1986</t>
        </is>
      </c>
      <c r="C361" t="inlineStr">
        <is>
          <t>0                      QH 0325000S  47          1986</t>
        </is>
      </c>
      <c r="D361" t="inlineStr">
        <is>
          <t>Origins : a skeptic's guide to the creation of life on earth / Robert Shapiro.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Shapiro, Robert, 1935-</t>
        </is>
      </c>
      <c r="L361" t="inlineStr">
        <is>
          <t>New York : Summit Books, c1986.</t>
        </is>
      </c>
      <c r="M361" t="inlineStr">
        <is>
          <t>1985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QH </t>
        </is>
      </c>
      <c r="S361" t="n">
        <v>10</v>
      </c>
      <c r="T361" t="n">
        <v>10</v>
      </c>
      <c r="U361" t="inlineStr">
        <is>
          <t>2002-11-12</t>
        </is>
      </c>
      <c r="V361" t="inlineStr">
        <is>
          <t>2002-11-12</t>
        </is>
      </c>
      <c r="W361" t="inlineStr">
        <is>
          <t>1993-03-22</t>
        </is>
      </c>
      <c r="X361" t="inlineStr">
        <is>
          <t>1993-03-22</t>
        </is>
      </c>
      <c r="Y361" t="n">
        <v>637</v>
      </c>
      <c r="Z361" t="n">
        <v>602</v>
      </c>
      <c r="AA361" t="n">
        <v>744</v>
      </c>
      <c r="AB361" t="n">
        <v>2</v>
      </c>
      <c r="AC361" t="n">
        <v>4</v>
      </c>
      <c r="AD361" t="n">
        <v>20</v>
      </c>
      <c r="AE361" t="n">
        <v>23</v>
      </c>
      <c r="AF361" t="n">
        <v>9</v>
      </c>
      <c r="AG361" t="n">
        <v>9</v>
      </c>
      <c r="AH361" t="n">
        <v>3</v>
      </c>
      <c r="AI361" t="n">
        <v>4</v>
      </c>
      <c r="AJ361" t="n">
        <v>11</v>
      </c>
      <c r="AK361" t="n">
        <v>12</v>
      </c>
      <c r="AL361" t="n">
        <v>1</v>
      </c>
      <c r="AM361" t="n">
        <v>3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HYPERLINK("http://catalog.hathitrust.org/Record/000619041","HathiTrust Record")</f>
        <v/>
      </c>
      <c r="AS361">
        <f>HYPERLINK("https://creighton-primo.hosted.exlibrisgroup.com/primo-explore/search?tab=default_tab&amp;search_scope=EVERYTHING&amp;vid=01CRU&amp;lang=en_US&amp;offset=0&amp;query=any,contains,991000663469702656","Catalog Record")</f>
        <v/>
      </c>
      <c r="AT361">
        <f>HYPERLINK("http://www.worldcat.org/oclc/12262374","WorldCat Record")</f>
        <v/>
      </c>
      <c r="AU361" t="inlineStr">
        <is>
          <t>4908841:eng</t>
        </is>
      </c>
      <c r="AV361" t="inlineStr">
        <is>
          <t>12262374</t>
        </is>
      </c>
      <c r="AW361" t="inlineStr">
        <is>
          <t>991000663469702656</t>
        </is>
      </c>
      <c r="AX361" t="inlineStr">
        <is>
          <t>991000663469702656</t>
        </is>
      </c>
      <c r="AY361" t="inlineStr">
        <is>
          <t>2270676980002656</t>
        </is>
      </c>
      <c r="AZ361" t="inlineStr">
        <is>
          <t>BOOK</t>
        </is>
      </c>
      <c r="BB361" t="inlineStr">
        <is>
          <t>9780671459390</t>
        </is>
      </c>
      <c r="BC361" t="inlineStr">
        <is>
          <t>32285001553048</t>
        </is>
      </c>
      <c r="BD361" t="inlineStr">
        <is>
          <t>893771853</t>
        </is>
      </c>
    </row>
    <row r="362">
      <c r="A362" t="inlineStr">
        <is>
          <t>No</t>
        </is>
      </c>
      <c r="B362" t="inlineStr">
        <is>
          <t>QH325 .W544 2000</t>
        </is>
      </c>
      <c r="C362" t="inlineStr">
        <is>
          <t>0                      QH 0325000W  544         2000</t>
        </is>
      </c>
      <c r="D362" t="inlineStr">
        <is>
          <t>The spark of life : Darwin and the primeval soup / Christopher Wills, Jeffrey Bada.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Wills, Christopher.</t>
        </is>
      </c>
      <c r="L362" t="inlineStr">
        <is>
          <t>Cambridge, Massachusetts : Perseus Pub., c2000.</t>
        </is>
      </c>
      <c r="M362" t="inlineStr">
        <is>
          <t>2000</t>
        </is>
      </c>
      <c r="O362" t="inlineStr">
        <is>
          <t>eng</t>
        </is>
      </c>
      <c r="P362" t="inlineStr">
        <is>
          <t>mau</t>
        </is>
      </c>
      <c r="R362" t="inlineStr">
        <is>
          <t xml:space="preserve">QH </t>
        </is>
      </c>
      <c r="S362" t="n">
        <v>3</v>
      </c>
      <c r="T362" t="n">
        <v>3</v>
      </c>
      <c r="U362" t="inlineStr">
        <is>
          <t>2007-11-13</t>
        </is>
      </c>
      <c r="V362" t="inlineStr">
        <is>
          <t>2007-11-13</t>
        </is>
      </c>
      <c r="W362" t="inlineStr">
        <is>
          <t>2000-09-26</t>
        </is>
      </c>
      <c r="X362" t="inlineStr">
        <is>
          <t>2000-09-26</t>
        </is>
      </c>
      <c r="Y362" t="n">
        <v>612</v>
      </c>
      <c r="Z362" t="n">
        <v>545</v>
      </c>
      <c r="AA362" t="n">
        <v>627</v>
      </c>
      <c r="AB362" t="n">
        <v>3</v>
      </c>
      <c r="AC362" t="n">
        <v>4</v>
      </c>
      <c r="AD362" t="n">
        <v>28</v>
      </c>
      <c r="AE362" t="n">
        <v>32</v>
      </c>
      <c r="AF362" t="n">
        <v>12</v>
      </c>
      <c r="AG362" t="n">
        <v>14</v>
      </c>
      <c r="AH362" t="n">
        <v>6</v>
      </c>
      <c r="AI362" t="n">
        <v>6</v>
      </c>
      <c r="AJ362" t="n">
        <v>18</v>
      </c>
      <c r="AK362" t="n">
        <v>19</v>
      </c>
      <c r="AL362" t="n">
        <v>2</v>
      </c>
      <c r="AM362" t="n">
        <v>3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HYPERLINK("http://catalog.hathitrust.org/Record/004106514","HathiTrust Record")</f>
        <v/>
      </c>
      <c r="AS362">
        <f>HYPERLINK("https://creighton-primo.hosted.exlibrisgroup.com/primo-explore/search?tab=default_tab&amp;search_scope=EVERYTHING&amp;vid=01CRU&amp;lang=en_US&amp;offset=0&amp;query=any,contains,991003262559702656","Catalog Record")</f>
        <v/>
      </c>
      <c r="AT362">
        <f>HYPERLINK("http://www.worldcat.org/oclc/43945723","WorldCat Record")</f>
        <v/>
      </c>
      <c r="AU362" t="inlineStr">
        <is>
          <t>20661072:eng</t>
        </is>
      </c>
      <c r="AV362" t="inlineStr">
        <is>
          <t>43945723</t>
        </is>
      </c>
      <c r="AW362" t="inlineStr">
        <is>
          <t>991003262559702656</t>
        </is>
      </c>
      <c r="AX362" t="inlineStr">
        <is>
          <t>991003262559702656</t>
        </is>
      </c>
      <c r="AY362" t="inlineStr">
        <is>
          <t>2271925220002656</t>
        </is>
      </c>
      <c r="AZ362" t="inlineStr">
        <is>
          <t>BOOK</t>
        </is>
      </c>
      <c r="BB362" t="inlineStr">
        <is>
          <t>9780738201962</t>
        </is>
      </c>
      <c r="BC362" t="inlineStr">
        <is>
          <t>32285003764668</t>
        </is>
      </c>
      <c r="BD362" t="inlineStr">
        <is>
          <t>893692542</t>
        </is>
      </c>
    </row>
    <row r="363">
      <c r="A363" t="inlineStr">
        <is>
          <t>No</t>
        </is>
      </c>
      <c r="B363" t="inlineStr">
        <is>
          <t>QH327 .B65 1999</t>
        </is>
      </c>
      <c r="C363" t="inlineStr">
        <is>
          <t>0                      QH 0327000B  65          1999</t>
        </is>
      </c>
      <c r="D363" t="inlineStr">
        <is>
          <t>Zero G : life and survival in space / Peter Bond.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Bond, Peter, 1948-</t>
        </is>
      </c>
      <c r="L363" t="inlineStr">
        <is>
          <t>London : Cassell, 1999.</t>
        </is>
      </c>
      <c r="M363" t="inlineStr">
        <is>
          <t>1999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QH </t>
        </is>
      </c>
      <c r="S363" t="n">
        <v>2</v>
      </c>
      <c r="T363" t="n">
        <v>2</v>
      </c>
      <c r="U363" t="inlineStr">
        <is>
          <t>2006-03-13</t>
        </is>
      </c>
      <c r="V363" t="inlineStr">
        <is>
          <t>2006-03-13</t>
        </is>
      </c>
      <c r="W363" t="inlineStr">
        <is>
          <t>2000-07-24</t>
        </is>
      </c>
      <c r="X363" t="inlineStr">
        <is>
          <t>2000-07-24</t>
        </is>
      </c>
      <c r="Y363" t="n">
        <v>398</v>
      </c>
      <c r="Z363" t="n">
        <v>353</v>
      </c>
      <c r="AA363" t="n">
        <v>359</v>
      </c>
      <c r="AB363" t="n">
        <v>2</v>
      </c>
      <c r="AC363" t="n">
        <v>2</v>
      </c>
      <c r="AD363" t="n">
        <v>5</v>
      </c>
      <c r="AE363" t="n">
        <v>5</v>
      </c>
      <c r="AF363" t="n">
        <v>2</v>
      </c>
      <c r="AG363" t="n">
        <v>2</v>
      </c>
      <c r="AH363" t="n">
        <v>0</v>
      </c>
      <c r="AI363" t="n">
        <v>0</v>
      </c>
      <c r="AJ363" t="n">
        <v>3</v>
      </c>
      <c r="AK363" t="n">
        <v>3</v>
      </c>
      <c r="AL363" t="n">
        <v>1</v>
      </c>
      <c r="AM363" t="n">
        <v>1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HYPERLINK("https://creighton-primo.hosted.exlibrisgroup.com/primo-explore/search?tab=default_tab&amp;search_scope=EVERYTHING&amp;vid=01CRU&amp;lang=en_US&amp;offset=0&amp;query=any,contains,991003215009702656","Catalog Record")</f>
        <v/>
      </c>
      <c r="AT363">
        <f>HYPERLINK("http://www.worldcat.org/oclc/42309779","WorldCat Record")</f>
        <v/>
      </c>
      <c r="AU363" t="inlineStr">
        <is>
          <t>479558239:eng</t>
        </is>
      </c>
      <c r="AV363" t="inlineStr">
        <is>
          <t>42309779</t>
        </is>
      </c>
      <c r="AW363" t="inlineStr">
        <is>
          <t>991003215009702656</t>
        </is>
      </c>
      <c r="AX363" t="inlineStr">
        <is>
          <t>991003215009702656</t>
        </is>
      </c>
      <c r="AY363" t="inlineStr">
        <is>
          <t>2254882970002656</t>
        </is>
      </c>
      <c r="AZ363" t="inlineStr">
        <is>
          <t>BOOK</t>
        </is>
      </c>
      <c r="BB363" t="inlineStr">
        <is>
          <t>9780304350759</t>
        </is>
      </c>
      <c r="BC363" t="inlineStr">
        <is>
          <t>32285003711834</t>
        </is>
      </c>
      <c r="BD363" t="inlineStr">
        <is>
          <t>893227803</t>
        </is>
      </c>
    </row>
    <row r="364">
      <c r="A364" t="inlineStr">
        <is>
          <t>No</t>
        </is>
      </c>
      <c r="B364" t="inlineStr">
        <is>
          <t>QH331 .A37 1968c</t>
        </is>
      </c>
      <c r="C364" t="inlineStr">
        <is>
          <t>0                      QH 0331000A  37          1968c</t>
        </is>
      </c>
      <c r="D364" t="inlineStr">
        <is>
          <t>Beyond reductionism; new perspectives in the life sciences. Edited by Arthur Koestler &amp; J.R. Smythies.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Alpbach Symposium (1968)</t>
        </is>
      </c>
      <c r="L364" t="inlineStr">
        <is>
          <t>Boston, Beacon Press [1971, c1969]</t>
        </is>
      </c>
      <c r="M364" t="inlineStr">
        <is>
          <t>1971</t>
        </is>
      </c>
      <c r="O364" t="inlineStr">
        <is>
          <t>eng</t>
        </is>
      </c>
      <c r="P364" t="inlineStr">
        <is>
          <t>mau</t>
        </is>
      </c>
      <c r="Q364" t="inlineStr">
        <is>
          <t>Beacon paperback 406</t>
        </is>
      </c>
      <c r="R364" t="inlineStr">
        <is>
          <t xml:space="preserve">QH </t>
        </is>
      </c>
      <c r="S364" t="n">
        <v>3</v>
      </c>
      <c r="T364" t="n">
        <v>3</v>
      </c>
      <c r="U364" t="inlineStr">
        <is>
          <t>1999-11-23</t>
        </is>
      </c>
      <c r="V364" t="inlineStr">
        <is>
          <t>1999-11-23</t>
        </is>
      </c>
      <c r="W364" t="inlineStr">
        <is>
          <t>1997-07-01</t>
        </is>
      </c>
      <c r="X364" t="inlineStr">
        <is>
          <t>1997-07-01</t>
        </is>
      </c>
      <c r="Y364" t="n">
        <v>85</v>
      </c>
      <c r="Z364" t="n">
        <v>75</v>
      </c>
      <c r="AA364" t="n">
        <v>501</v>
      </c>
      <c r="AB364" t="n">
        <v>1</v>
      </c>
      <c r="AC364" t="n">
        <v>4</v>
      </c>
      <c r="AD364" t="n">
        <v>2</v>
      </c>
      <c r="AE364" t="n">
        <v>29</v>
      </c>
      <c r="AF364" t="n">
        <v>1</v>
      </c>
      <c r="AG364" t="n">
        <v>10</v>
      </c>
      <c r="AH364" t="n">
        <v>0</v>
      </c>
      <c r="AI364" t="n">
        <v>5</v>
      </c>
      <c r="AJ364" t="n">
        <v>1</v>
      </c>
      <c r="AK364" t="n">
        <v>17</v>
      </c>
      <c r="AL364" t="n">
        <v>0</v>
      </c>
      <c r="AM364" t="n">
        <v>3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HYPERLINK("https://creighton-primo.hosted.exlibrisgroup.com/primo-explore/search?tab=default_tab&amp;search_scope=EVERYTHING&amp;vid=01CRU&amp;lang=en_US&amp;offset=0&amp;query=any,contains,991003258669702656","Catalog Record")</f>
        <v/>
      </c>
      <c r="AT364">
        <f>HYPERLINK("http://www.worldcat.org/oclc/784212","WorldCat Record")</f>
        <v/>
      </c>
      <c r="AU364" t="inlineStr">
        <is>
          <t>917298318:eng</t>
        </is>
      </c>
      <c r="AV364" t="inlineStr">
        <is>
          <t>784212</t>
        </is>
      </c>
      <c r="AW364" t="inlineStr">
        <is>
          <t>991003258669702656</t>
        </is>
      </c>
      <c r="AX364" t="inlineStr">
        <is>
          <t>991003258669702656</t>
        </is>
      </c>
      <c r="AY364" t="inlineStr">
        <is>
          <t>2262480270002656</t>
        </is>
      </c>
      <c r="AZ364" t="inlineStr">
        <is>
          <t>BOOK</t>
        </is>
      </c>
      <c r="BC364" t="inlineStr">
        <is>
          <t>32285002868692</t>
        </is>
      </c>
      <c r="BD364" t="inlineStr">
        <is>
          <t>893499116</t>
        </is>
      </c>
    </row>
    <row r="365">
      <c r="A365" t="inlineStr">
        <is>
          <t>No</t>
        </is>
      </c>
      <c r="B365" t="inlineStr">
        <is>
          <t>QH331 .B475 2000</t>
        </is>
      </c>
      <c r="C365" t="inlineStr">
        <is>
          <t>0                      QH 0331000B  475         2000</t>
        </is>
      </c>
      <c r="D365" t="inlineStr">
        <is>
          <t>Biology and epistemology / edited by Richard Creath, Jane Maienschein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Cambridge [England] ; New York : Cambridge University Press, 2000.</t>
        </is>
      </c>
      <c r="M365" t="inlineStr">
        <is>
          <t>2000</t>
        </is>
      </c>
      <c r="O365" t="inlineStr">
        <is>
          <t>eng</t>
        </is>
      </c>
      <c r="P365" t="inlineStr">
        <is>
          <t>enk</t>
        </is>
      </c>
      <c r="Q365" t="inlineStr">
        <is>
          <t>Cambridge studies in philosophy and biology</t>
        </is>
      </c>
      <c r="R365" t="inlineStr">
        <is>
          <t xml:space="preserve">QH </t>
        </is>
      </c>
      <c r="S365" t="n">
        <v>5</v>
      </c>
      <c r="T365" t="n">
        <v>5</v>
      </c>
      <c r="U365" t="inlineStr">
        <is>
          <t>2004-03-29</t>
        </is>
      </c>
      <c r="V365" t="inlineStr">
        <is>
          <t>2004-03-29</t>
        </is>
      </c>
      <c r="W365" t="inlineStr">
        <is>
          <t>2000-12-19</t>
        </is>
      </c>
      <c r="X365" t="inlineStr">
        <is>
          <t>2000-12-19</t>
        </is>
      </c>
      <c r="Y365" t="n">
        <v>438</v>
      </c>
      <c r="Z365" t="n">
        <v>322</v>
      </c>
      <c r="AA365" t="n">
        <v>323</v>
      </c>
      <c r="AB365" t="n">
        <v>3</v>
      </c>
      <c r="AC365" t="n">
        <v>3</v>
      </c>
      <c r="AD365" t="n">
        <v>22</v>
      </c>
      <c r="AE365" t="n">
        <v>22</v>
      </c>
      <c r="AF365" t="n">
        <v>8</v>
      </c>
      <c r="AG365" t="n">
        <v>8</v>
      </c>
      <c r="AH365" t="n">
        <v>7</v>
      </c>
      <c r="AI365" t="n">
        <v>7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HYPERLINK("https://creighton-primo.hosted.exlibrisgroup.com/primo-explore/search?tab=default_tab&amp;search_scope=EVERYTHING&amp;vid=01CRU&amp;lang=en_US&amp;offset=0&amp;query=any,contains,991003310599702656","Catalog Record")</f>
        <v/>
      </c>
      <c r="AT365">
        <f>HYPERLINK("http://www.worldcat.org/oclc/41049550","WorldCat Record")</f>
        <v/>
      </c>
      <c r="AU365" t="inlineStr">
        <is>
          <t>350388102:eng</t>
        </is>
      </c>
      <c r="AV365" t="inlineStr">
        <is>
          <t>41049550</t>
        </is>
      </c>
      <c r="AW365" t="inlineStr">
        <is>
          <t>991003310599702656</t>
        </is>
      </c>
      <c r="AX365" t="inlineStr">
        <is>
          <t>991003310599702656</t>
        </is>
      </c>
      <c r="AY365" t="inlineStr">
        <is>
          <t>2259327130002656</t>
        </is>
      </c>
      <c r="AZ365" t="inlineStr">
        <is>
          <t>BOOK</t>
        </is>
      </c>
      <c r="BB365" t="inlineStr">
        <is>
          <t>9780521592901</t>
        </is>
      </c>
      <c r="BC365" t="inlineStr">
        <is>
          <t>32285004277652</t>
        </is>
      </c>
      <c r="BD365" t="inlineStr">
        <is>
          <t>893518365</t>
        </is>
      </c>
    </row>
    <row r="366">
      <c r="A366" t="inlineStr">
        <is>
          <t>No</t>
        </is>
      </c>
      <c r="B366" t="inlineStr">
        <is>
          <t>QH331 .B5</t>
        </is>
      </c>
      <c r="C366" t="inlineStr">
        <is>
          <t>0                      QH 0331000B  5</t>
        </is>
      </c>
      <c r="D366" t="inlineStr">
        <is>
          <t>Biology, history, and natural philosophy / edited by Allen D. Breck and Wolfgang Yourgrau.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Plenum Press, 1972.</t>
        </is>
      </c>
      <c r="M366" t="inlineStr">
        <is>
          <t>1972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QH </t>
        </is>
      </c>
      <c r="S366" t="n">
        <v>1</v>
      </c>
      <c r="T366" t="n">
        <v>1</v>
      </c>
      <c r="U366" t="inlineStr">
        <is>
          <t>2001-07-24</t>
        </is>
      </c>
      <c r="V366" t="inlineStr">
        <is>
          <t>2001-07-24</t>
        </is>
      </c>
      <c r="W366" t="inlineStr">
        <is>
          <t>2000-01-18</t>
        </is>
      </c>
      <c r="X366" t="inlineStr">
        <is>
          <t>2000-01-18</t>
        </is>
      </c>
      <c r="Y366" t="n">
        <v>351</v>
      </c>
      <c r="Z366" t="n">
        <v>282</v>
      </c>
      <c r="AA366" t="n">
        <v>338</v>
      </c>
      <c r="AB366" t="n">
        <v>2</v>
      </c>
      <c r="AC366" t="n">
        <v>2</v>
      </c>
      <c r="AD366" t="n">
        <v>11</v>
      </c>
      <c r="AE366" t="n">
        <v>13</v>
      </c>
      <c r="AF366" t="n">
        <v>3</v>
      </c>
      <c r="AG366" t="n">
        <v>5</v>
      </c>
      <c r="AH366" t="n">
        <v>2</v>
      </c>
      <c r="AI366" t="n">
        <v>2</v>
      </c>
      <c r="AJ366" t="n">
        <v>7</v>
      </c>
      <c r="AK366" t="n">
        <v>9</v>
      </c>
      <c r="AL366" t="n">
        <v>1</v>
      </c>
      <c r="AM366" t="n">
        <v>1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HYPERLINK("http://catalog.hathitrust.org/Record/007473161","HathiTrust Record")</f>
        <v/>
      </c>
      <c r="AS366">
        <f>HYPERLINK("https://creighton-primo.hosted.exlibrisgroup.com/primo-explore/search?tab=default_tab&amp;search_scope=EVERYTHING&amp;vid=01CRU&amp;lang=en_US&amp;offset=0&amp;query=any,contains,991002853319702656","Catalog Record")</f>
        <v/>
      </c>
      <c r="AT366">
        <f>HYPERLINK("http://www.worldcat.org/oclc/488162","WorldCat Record")</f>
        <v/>
      </c>
      <c r="AU366" t="inlineStr">
        <is>
          <t>510135262:eng</t>
        </is>
      </c>
      <c r="AV366" t="inlineStr">
        <is>
          <t>488162</t>
        </is>
      </c>
      <c r="AW366" t="inlineStr">
        <is>
          <t>991002853319702656</t>
        </is>
      </c>
      <c r="AX366" t="inlineStr">
        <is>
          <t>991002853319702656</t>
        </is>
      </c>
      <c r="AY366" t="inlineStr">
        <is>
          <t>2254792750002656</t>
        </is>
      </c>
      <c r="AZ366" t="inlineStr">
        <is>
          <t>BOOK</t>
        </is>
      </c>
      <c r="BB366" t="inlineStr">
        <is>
          <t>9780306305733</t>
        </is>
      </c>
      <c r="BC366" t="inlineStr">
        <is>
          <t>32285003642500</t>
        </is>
      </c>
      <c r="BD366" t="inlineStr">
        <is>
          <t>893805137</t>
        </is>
      </c>
    </row>
    <row r="367">
      <c r="A367" t="inlineStr">
        <is>
          <t>No</t>
        </is>
      </c>
      <c r="B367" t="inlineStr">
        <is>
          <t>QH331 .E86 1985</t>
        </is>
      </c>
      <c r="C367" t="inlineStr">
        <is>
          <t>0                      QH 0331000E  86          1985</t>
        </is>
      </c>
      <c r="D367" t="inlineStr">
        <is>
          <t>Evolution at a crossroads : the new biology and the new philosophy of science / edited by David J. Depew and Bruce H. Weber.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Cambridge, Mass. : MIT Press, c1985.</t>
        </is>
      </c>
      <c r="M367" t="inlineStr">
        <is>
          <t>1985</t>
        </is>
      </c>
      <c r="O367" t="inlineStr">
        <is>
          <t>eng</t>
        </is>
      </c>
      <c r="P367" t="inlineStr">
        <is>
          <t>mau</t>
        </is>
      </c>
      <c r="R367" t="inlineStr">
        <is>
          <t xml:space="preserve">QH </t>
        </is>
      </c>
      <c r="S367" t="n">
        <v>6</v>
      </c>
      <c r="T367" t="n">
        <v>6</v>
      </c>
      <c r="U367" t="inlineStr">
        <is>
          <t>2001-10-01</t>
        </is>
      </c>
      <c r="V367" t="inlineStr">
        <is>
          <t>2001-10-01</t>
        </is>
      </c>
      <c r="W367" t="inlineStr">
        <is>
          <t>1993-03-22</t>
        </is>
      </c>
      <c r="X367" t="inlineStr">
        <is>
          <t>1993-03-22</t>
        </is>
      </c>
      <c r="Y367" t="n">
        <v>686</v>
      </c>
      <c r="Z367" t="n">
        <v>561</v>
      </c>
      <c r="AA367" t="n">
        <v>568</v>
      </c>
      <c r="AB367" t="n">
        <v>4</v>
      </c>
      <c r="AC367" t="n">
        <v>4</v>
      </c>
      <c r="AD367" t="n">
        <v>28</v>
      </c>
      <c r="AE367" t="n">
        <v>28</v>
      </c>
      <c r="AF367" t="n">
        <v>12</v>
      </c>
      <c r="AG367" t="n">
        <v>12</v>
      </c>
      <c r="AH367" t="n">
        <v>4</v>
      </c>
      <c r="AI367" t="n">
        <v>4</v>
      </c>
      <c r="AJ367" t="n">
        <v>18</v>
      </c>
      <c r="AK367" t="n">
        <v>18</v>
      </c>
      <c r="AL367" t="n">
        <v>3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HYPERLINK("http://catalog.hathitrust.org/Record/000418263","HathiTrust Record")</f>
        <v/>
      </c>
      <c r="AS367">
        <f>HYPERLINK("https://creighton-primo.hosted.exlibrisgroup.com/primo-explore/search?tab=default_tab&amp;search_scope=EVERYTHING&amp;vid=01CRU&amp;lang=en_US&amp;offset=0&amp;query=any,contains,991005404529702656","Catalog Record")</f>
        <v/>
      </c>
      <c r="AT367">
        <f>HYPERLINK("http://www.worldcat.org/oclc/11235816","WorldCat Record")</f>
        <v/>
      </c>
      <c r="AU367" t="inlineStr">
        <is>
          <t>796100970:eng</t>
        </is>
      </c>
      <c r="AV367" t="inlineStr">
        <is>
          <t>11235816</t>
        </is>
      </c>
      <c r="AW367" t="inlineStr">
        <is>
          <t>991005404529702656</t>
        </is>
      </c>
      <c r="AX367" t="inlineStr">
        <is>
          <t>991005404529702656</t>
        </is>
      </c>
      <c r="AY367" t="inlineStr">
        <is>
          <t>2257121020002656</t>
        </is>
      </c>
      <c r="AZ367" t="inlineStr">
        <is>
          <t>BOOK</t>
        </is>
      </c>
      <c r="BB367" t="inlineStr">
        <is>
          <t>9780262040792</t>
        </is>
      </c>
      <c r="BC367" t="inlineStr">
        <is>
          <t>32285001553055</t>
        </is>
      </c>
      <c r="BD367" t="inlineStr">
        <is>
          <t>893601153</t>
        </is>
      </c>
    </row>
    <row r="368">
      <c r="A368" t="inlineStr">
        <is>
          <t>No</t>
        </is>
      </c>
      <c r="B368" t="inlineStr">
        <is>
          <t>QH331 .G727</t>
        </is>
      </c>
      <c r="C368" t="inlineStr">
        <is>
          <t>0                      QH 0331000G  727</t>
        </is>
      </c>
      <c r="D368" t="inlineStr">
        <is>
          <t>Science, ideology, and world view : essays in the history of evolutionary ideas / John C. Greene.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Greene, John C.</t>
        </is>
      </c>
      <c r="L368" t="inlineStr">
        <is>
          <t>Berkeley : University of California Press, 1981.</t>
        </is>
      </c>
      <c r="M368" t="inlineStr">
        <is>
          <t>1981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QH </t>
        </is>
      </c>
      <c r="S368" t="n">
        <v>12</v>
      </c>
      <c r="T368" t="n">
        <v>12</v>
      </c>
      <c r="U368" t="inlineStr">
        <is>
          <t>1996-09-29</t>
        </is>
      </c>
      <c r="V368" t="inlineStr">
        <is>
          <t>1996-09-29</t>
        </is>
      </c>
      <c r="W368" t="inlineStr">
        <is>
          <t>1993-03-22</t>
        </is>
      </c>
      <c r="X368" t="inlineStr">
        <is>
          <t>1993-03-22</t>
        </is>
      </c>
      <c r="Y368" t="n">
        <v>780</v>
      </c>
      <c r="Z368" t="n">
        <v>636</v>
      </c>
      <c r="AA368" t="n">
        <v>637</v>
      </c>
      <c r="AB368" t="n">
        <v>6</v>
      </c>
      <c r="AC368" t="n">
        <v>6</v>
      </c>
      <c r="AD368" t="n">
        <v>29</v>
      </c>
      <c r="AE368" t="n">
        <v>29</v>
      </c>
      <c r="AF368" t="n">
        <v>11</v>
      </c>
      <c r="AG368" t="n">
        <v>11</v>
      </c>
      <c r="AH368" t="n">
        <v>5</v>
      </c>
      <c r="AI368" t="n">
        <v>5</v>
      </c>
      <c r="AJ368" t="n">
        <v>13</v>
      </c>
      <c r="AK368" t="n">
        <v>13</v>
      </c>
      <c r="AL368" t="n">
        <v>5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HYPERLINK("https://creighton-primo.hosted.exlibrisgroup.com/primo-explore/search?tab=default_tab&amp;search_scope=EVERYTHING&amp;vid=01CRU&amp;lang=en_US&amp;offset=0&amp;query=any,contains,991005019699702656","Catalog Record")</f>
        <v/>
      </c>
      <c r="AT368">
        <f>HYPERLINK("http://www.worldcat.org/oclc/6648475","WorldCat Record")</f>
        <v/>
      </c>
      <c r="AU368" t="inlineStr">
        <is>
          <t>795556832:eng</t>
        </is>
      </c>
      <c r="AV368" t="inlineStr">
        <is>
          <t>6648475</t>
        </is>
      </c>
      <c r="AW368" t="inlineStr">
        <is>
          <t>991005019699702656</t>
        </is>
      </c>
      <c r="AX368" t="inlineStr">
        <is>
          <t>991005019699702656</t>
        </is>
      </c>
      <c r="AY368" t="inlineStr">
        <is>
          <t>2268249170002656</t>
        </is>
      </c>
      <c r="AZ368" t="inlineStr">
        <is>
          <t>BOOK</t>
        </is>
      </c>
      <c r="BB368" t="inlineStr">
        <is>
          <t>9780520042179</t>
        </is>
      </c>
      <c r="BC368" t="inlineStr">
        <is>
          <t>32285001553071</t>
        </is>
      </c>
      <c r="BD368" t="inlineStr">
        <is>
          <t>893344523</t>
        </is>
      </c>
    </row>
    <row r="369">
      <c r="A369" t="inlineStr">
        <is>
          <t>No</t>
        </is>
      </c>
      <c r="B369" t="inlineStr">
        <is>
          <t>QH331 .G74 1967</t>
        </is>
      </c>
      <c r="C369" t="inlineStr">
        <is>
          <t>0                      QH 0331000G  74          1967</t>
        </is>
      </c>
      <c r="D369" t="inlineStr">
        <is>
          <t>Biologic relativity / by E. R. N. Grigg.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Grigg, E. R. N. (Emanuel R. N.), 1916-</t>
        </is>
      </c>
      <c r="L369" t="inlineStr">
        <is>
          <t>Chicago : Amaranth Books, 1967.</t>
        </is>
      </c>
      <c r="M369" t="inlineStr">
        <is>
          <t>1967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QH </t>
        </is>
      </c>
      <c r="S369" t="n">
        <v>3</v>
      </c>
      <c r="T369" t="n">
        <v>3</v>
      </c>
      <c r="U369" t="inlineStr">
        <is>
          <t>1995-09-27</t>
        </is>
      </c>
      <c r="V369" t="inlineStr">
        <is>
          <t>1995-09-27</t>
        </is>
      </c>
      <c r="W369" t="inlineStr">
        <is>
          <t>1992-07-22</t>
        </is>
      </c>
      <c r="X369" t="inlineStr">
        <is>
          <t>1992-07-22</t>
        </is>
      </c>
      <c r="Y369" t="n">
        <v>136</v>
      </c>
      <c r="Z369" t="n">
        <v>132</v>
      </c>
      <c r="AA369" t="n">
        <v>139</v>
      </c>
      <c r="AB369" t="n">
        <v>2</v>
      </c>
      <c r="AC369" t="n">
        <v>2</v>
      </c>
      <c r="AD369" t="n">
        <v>3</v>
      </c>
      <c r="AE369" t="n">
        <v>3</v>
      </c>
      <c r="AF369" t="n">
        <v>1</v>
      </c>
      <c r="AG369" t="n">
        <v>1</v>
      </c>
      <c r="AH369" t="n">
        <v>0</v>
      </c>
      <c r="AI369" t="n">
        <v>0</v>
      </c>
      <c r="AJ369" t="n">
        <v>2</v>
      </c>
      <c r="AK369" t="n">
        <v>2</v>
      </c>
      <c r="AL369" t="n">
        <v>1</v>
      </c>
      <c r="AM369" t="n">
        <v>1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HYPERLINK("http://catalog.hathitrust.org/Record/002563406","HathiTrust Record")</f>
        <v/>
      </c>
      <c r="AS369">
        <f>HYPERLINK("https://creighton-primo.hosted.exlibrisgroup.com/primo-explore/search?tab=default_tab&amp;search_scope=EVERYTHING&amp;vid=01CRU&amp;lang=en_US&amp;offset=0&amp;query=any,contains,991003952389702656","Catalog Record")</f>
        <v/>
      </c>
      <c r="AT369">
        <f>HYPERLINK("http://www.worldcat.org/oclc/1959154","WorldCat Record")</f>
        <v/>
      </c>
      <c r="AU369" t="inlineStr">
        <is>
          <t>2634462:eng</t>
        </is>
      </c>
      <c r="AV369" t="inlineStr">
        <is>
          <t>1959154</t>
        </is>
      </c>
      <c r="AW369" t="inlineStr">
        <is>
          <t>991003952389702656</t>
        </is>
      </c>
      <c r="AX369" t="inlineStr">
        <is>
          <t>991003952389702656</t>
        </is>
      </c>
      <c r="AY369" t="inlineStr">
        <is>
          <t>2265947280002656</t>
        </is>
      </c>
      <c r="AZ369" t="inlineStr">
        <is>
          <t>BOOK</t>
        </is>
      </c>
      <c r="BC369" t="inlineStr">
        <is>
          <t>32285001189637</t>
        </is>
      </c>
      <c r="BD369" t="inlineStr">
        <is>
          <t>893788108</t>
        </is>
      </c>
    </row>
    <row r="370">
      <c r="A370" t="inlineStr">
        <is>
          <t>No</t>
        </is>
      </c>
      <c r="B370" t="inlineStr">
        <is>
          <t>QH331 .H3413 1984</t>
        </is>
      </c>
      <c r="C370" t="inlineStr">
        <is>
          <t>0                      QH 0331000H  3413        1984</t>
        </is>
      </c>
      <c r="D370" t="inlineStr">
        <is>
          <t>The science of structure : synergetics / Hermann Haken ; translated by Fred Bradley.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Haken, H.</t>
        </is>
      </c>
      <c r="L370" t="inlineStr">
        <is>
          <t>New York : Van Nostrand Reinhold, c1984.</t>
        </is>
      </c>
      <c r="M370" t="inlineStr">
        <is>
          <t>1984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QH </t>
        </is>
      </c>
      <c r="S370" t="n">
        <v>2</v>
      </c>
      <c r="T370" t="n">
        <v>2</v>
      </c>
      <c r="U370" t="inlineStr">
        <is>
          <t>1995-09-06</t>
        </is>
      </c>
      <c r="V370" t="inlineStr">
        <is>
          <t>1995-09-06</t>
        </is>
      </c>
      <c r="W370" t="inlineStr">
        <is>
          <t>1993-03-22</t>
        </is>
      </c>
      <c r="X370" t="inlineStr">
        <is>
          <t>1993-03-22</t>
        </is>
      </c>
      <c r="Y370" t="n">
        <v>358</v>
      </c>
      <c r="Z370" t="n">
        <v>329</v>
      </c>
      <c r="AA370" t="n">
        <v>332</v>
      </c>
      <c r="AB370" t="n">
        <v>3</v>
      </c>
      <c r="AC370" t="n">
        <v>3</v>
      </c>
      <c r="AD370" t="n">
        <v>9</v>
      </c>
      <c r="AE370" t="n">
        <v>9</v>
      </c>
      <c r="AF370" t="n">
        <v>3</v>
      </c>
      <c r="AG370" t="n">
        <v>3</v>
      </c>
      <c r="AH370" t="n">
        <v>3</v>
      </c>
      <c r="AI370" t="n">
        <v>3</v>
      </c>
      <c r="AJ370" t="n">
        <v>3</v>
      </c>
      <c r="AK370" t="n">
        <v>3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HYPERLINK("http://catalog.hathitrust.org/Record/000280153","HathiTrust Record")</f>
        <v/>
      </c>
      <c r="AS370">
        <f>HYPERLINK("https://creighton-primo.hosted.exlibrisgroup.com/primo-explore/search?tab=default_tab&amp;search_scope=EVERYTHING&amp;vid=01CRU&amp;lang=en_US&amp;offset=0&amp;query=any,contains,991000231459702656","Catalog Record")</f>
        <v/>
      </c>
      <c r="AT370">
        <f>HYPERLINK("http://www.worldcat.org/oclc/9644102","WorldCat Record")</f>
        <v/>
      </c>
      <c r="AU370" t="inlineStr">
        <is>
          <t>4927438791:eng</t>
        </is>
      </c>
      <c r="AV370" t="inlineStr">
        <is>
          <t>9644102</t>
        </is>
      </c>
      <c r="AW370" t="inlineStr">
        <is>
          <t>991000231459702656</t>
        </is>
      </c>
      <c r="AX370" t="inlineStr">
        <is>
          <t>991000231459702656</t>
        </is>
      </c>
      <c r="AY370" t="inlineStr">
        <is>
          <t>2267496800002656</t>
        </is>
      </c>
      <c r="AZ370" t="inlineStr">
        <is>
          <t>BOOK</t>
        </is>
      </c>
      <c r="BB370" t="inlineStr">
        <is>
          <t>9780442237035</t>
        </is>
      </c>
      <c r="BC370" t="inlineStr">
        <is>
          <t>32285001553089</t>
        </is>
      </c>
      <c r="BD370" t="inlineStr">
        <is>
          <t>893865218</t>
        </is>
      </c>
    </row>
    <row r="371">
      <c r="A371" t="inlineStr">
        <is>
          <t>No</t>
        </is>
      </c>
      <c r="B371" t="inlineStr">
        <is>
          <t>QH331 .H59</t>
        </is>
      </c>
      <c r="C371" t="inlineStr">
        <is>
          <t>0                      QH 0331000H  59</t>
        </is>
      </c>
      <c r="D371" t="inlineStr">
        <is>
          <t>The life and death of cells.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Hoffman, Joseph, 1909-1997.</t>
        </is>
      </c>
      <c r="L371" t="inlineStr">
        <is>
          <t>Garden City, N.Y., Hanover House Books [1957]</t>
        </is>
      </c>
      <c r="M371" t="inlineStr">
        <is>
          <t>1957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QH </t>
        </is>
      </c>
      <c r="S371" t="n">
        <v>2</v>
      </c>
      <c r="T371" t="n">
        <v>2</v>
      </c>
      <c r="U371" t="inlineStr">
        <is>
          <t>1998-02-18</t>
        </is>
      </c>
      <c r="V371" t="inlineStr">
        <is>
          <t>1998-02-18</t>
        </is>
      </c>
      <c r="W371" t="inlineStr">
        <is>
          <t>1997-07-01</t>
        </is>
      </c>
      <c r="X371" t="inlineStr">
        <is>
          <t>1997-07-01</t>
        </is>
      </c>
      <c r="Y371" t="n">
        <v>248</v>
      </c>
      <c r="Z371" t="n">
        <v>234</v>
      </c>
      <c r="AA371" t="n">
        <v>301</v>
      </c>
      <c r="AB371" t="n">
        <v>2</v>
      </c>
      <c r="AC371" t="n">
        <v>2</v>
      </c>
      <c r="AD371" t="n">
        <v>10</v>
      </c>
      <c r="AE371" t="n">
        <v>13</v>
      </c>
      <c r="AF371" t="n">
        <v>4</v>
      </c>
      <c r="AG371" t="n">
        <v>6</v>
      </c>
      <c r="AH371" t="n">
        <v>1</v>
      </c>
      <c r="AI371" t="n">
        <v>2</v>
      </c>
      <c r="AJ371" t="n">
        <v>7</v>
      </c>
      <c r="AK371" t="n">
        <v>9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Yes</t>
        </is>
      </c>
      <c r="AQ371" t="inlineStr">
        <is>
          <t>No</t>
        </is>
      </c>
      <c r="AR371">
        <f>HYPERLINK("http://catalog.hathitrust.org/Record/001491446","HathiTrust Record")</f>
        <v/>
      </c>
      <c r="AS371">
        <f>HYPERLINK("https://creighton-primo.hosted.exlibrisgroup.com/primo-explore/search?tab=default_tab&amp;search_scope=EVERYTHING&amp;vid=01CRU&amp;lang=en_US&amp;offset=0&amp;query=any,contains,991002850609702656","Catalog Record")</f>
        <v/>
      </c>
      <c r="AT371">
        <f>HYPERLINK("http://www.worldcat.org/oclc/486490","WorldCat Record")</f>
        <v/>
      </c>
      <c r="AU371" t="inlineStr">
        <is>
          <t>1571529:eng</t>
        </is>
      </c>
      <c r="AV371" t="inlineStr">
        <is>
          <t>486490</t>
        </is>
      </c>
      <c r="AW371" t="inlineStr">
        <is>
          <t>991002850609702656</t>
        </is>
      </c>
      <c r="AX371" t="inlineStr">
        <is>
          <t>991002850609702656</t>
        </is>
      </c>
      <c r="AY371" t="inlineStr">
        <is>
          <t>2256581170002656</t>
        </is>
      </c>
      <c r="AZ371" t="inlineStr">
        <is>
          <t>BOOK</t>
        </is>
      </c>
      <c r="BC371" t="inlineStr">
        <is>
          <t>32285002868817</t>
        </is>
      </c>
      <c r="BD371" t="inlineStr">
        <is>
          <t>893348001</t>
        </is>
      </c>
    </row>
    <row r="372">
      <c r="A372" t="inlineStr">
        <is>
          <t>No</t>
        </is>
      </c>
      <c r="B372" t="inlineStr">
        <is>
          <t>QH331 .H84</t>
        </is>
      </c>
      <c r="C372" t="inlineStr">
        <is>
          <t>0                      QH 0331000H  84</t>
        </is>
      </c>
      <c r="D372" t="inlineStr">
        <is>
          <t>Philosophy of biological science / [by] David L. Hull.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Hull, David L.</t>
        </is>
      </c>
      <c r="L372" t="inlineStr">
        <is>
          <t>[Englewood Cliffs, N.J. : Prentice-Hall, 1974]</t>
        </is>
      </c>
      <c r="M372" t="inlineStr">
        <is>
          <t>1974</t>
        </is>
      </c>
      <c r="O372" t="inlineStr">
        <is>
          <t>eng</t>
        </is>
      </c>
      <c r="P372" t="inlineStr">
        <is>
          <t>nju</t>
        </is>
      </c>
      <c r="Q372" t="inlineStr">
        <is>
          <t>Prentice-Hall foundations of philosophy series</t>
        </is>
      </c>
      <c r="R372" t="inlineStr">
        <is>
          <t xml:space="preserve">QH </t>
        </is>
      </c>
      <c r="S372" t="n">
        <v>4</v>
      </c>
      <c r="T372" t="n">
        <v>4</v>
      </c>
      <c r="U372" t="inlineStr">
        <is>
          <t>1996-09-06</t>
        </is>
      </c>
      <c r="V372" t="inlineStr">
        <is>
          <t>1996-09-06</t>
        </is>
      </c>
      <c r="W372" t="inlineStr">
        <is>
          <t>1993-12-08</t>
        </is>
      </c>
      <c r="X372" t="inlineStr">
        <is>
          <t>1993-12-08</t>
        </is>
      </c>
      <c r="Y372" t="n">
        <v>871</v>
      </c>
      <c r="Z372" t="n">
        <v>683</v>
      </c>
      <c r="AA372" t="n">
        <v>689</v>
      </c>
      <c r="AB372" t="n">
        <v>6</v>
      </c>
      <c r="AC372" t="n">
        <v>6</v>
      </c>
      <c r="AD372" t="n">
        <v>29</v>
      </c>
      <c r="AE372" t="n">
        <v>29</v>
      </c>
      <c r="AF372" t="n">
        <v>11</v>
      </c>
      <c r="AG372" t="n">
        <v>11</v>
      </c>
      <c r="AH372" t="n">
        <v>4</v>
      </c>
      <c r="AI372" t="n">
        <v>4</v>
      </c>
      <c r="AJ372" t="n">
        <v>14</v>
      </c>
      <c r="AK372" t="n">
        <v>14</v>
      </c>
      <c r="AL372" t="n">
        <v>5</v>
      </c>
      <c r="AM372" t="n">
        <v>5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HYPERLINK("http://catalog.hathitrust.org/Record/001491448","HathiTrust Record")</f>
        <v/>
      </c>
      <c r="AS372">
        <f>HYPERLINK("https://creighton-primo.hosted.exlibrisgroup.com/primo-explore/search?tab=default_tab&amp;search_scope=EVERYTHING&amp;vid=01CRU&amp;lang=en_US&amp;offset=0&amp;query=any,contains,991003156629702656","Catalog Record")</f>
        <v/>
      </c>
      <c r="AT372">
        <f>HYPERLINK("http://www.worldcat.org/oclc/695658","WorldCat Record")</f>
        <v/>
      </c>
      <c r="AU372" t="inlineStr">
        <is>
          <t>9438527393:eng</t>
        </is>
      </c>
      <c r="AV372" t="inlineStr">
        <is>
          <t>695658</t>
        </is>
      </c>
      <c r="AW372" t="inlineStr">
        <is>
          <t>991003156629702656</t>
        </is>
      </c>
      <c r="AX372" t="inlineStr">
        <is>
          <t>991003156629702656</t>
        </is>
      </c>
      <c r="AY372" t="inlineStr">
        <is>
          <t>2267731000002656</t>
        </is>
      </c>
      <c r="AZ372" t="inlineStr">
        <is>
          <t>BOOK</t>
        </is>
      </c>
      <c r="BB372" t="inlineStr">
        <is>
          <t>9780136636090</t>
        </is>
      </c>
      <c r="BC372" t="inlineStr">
        <is>
          <t>32285001806495</t>
        </is>
      </c>
      <c r="BD372" t="inlineStr">
        <is>
          <t>893604500</t>
        </is>
      </c>
    </row>
    <row r="373">
      <c r="A373" t="inlineStr">
        <is>
          <t>No</t>
        </is>
      </c>
      <c r="B373" t="inlineStr">
        <is>
          <t>QH331 .K654</t>
        </is>
      </c>
      <c r="C373" t="inlineStr">
        <is>
          <t>0                      QH 0331000K  654</t>
        </is>
      </c>
      <c r="D373" t="inlineStr">
        <is>
          <t>Biology and the philosophy of science / Johnemery Konecsni. --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Konecsni, Johnemery.</t>
        </is>
      </c>
      <c r="L373" t="inlineStr">
        <is>
          <t>Washington : University Press of America, 1977.</t>
        </is>
      </c>
      <c r="M373" t="inlineStr">
        <is>
          <t>1977</t>
        </is>
      </c>
      <c r="O373" t="inlineStr">
        <is>
          <t>eng</t>
        </is>
      </c>
      <c r="P373" t="inlineStr">
        <is>
          <t>dcu</t>
        </is>
      </c>
      <c r="R373" t="inlineStr">
        <is>
          <t xml:space="preserve">QH </t>
        </is>
      </c>
      <c r="S373" t="n">
        <v>10</v>
      </c>
      <c r="T373" t="n">
        <v>10</v>
      </c>
      <c r="U373" t="inlineStr">
        <is>
          <t>1996-09-28</t>
        </is>
      </c>
      <c r="V373" t="inlineStr">
        <is>
          <t>1996-09-28</t>
        </is>
      </c>
      <c r="W373" t="inlineStr">
        <is>
          <t>1993-03-22</t>
        </is>
      </c>
      <c r="X373" t="inlineStr">
        <is>
          <t>1993-03-22</t>
        </is>
      </c>
      <c r="Y373" t="n">
        <v>61</v>
      </c>
      <c r="Z373" t="n">
        <v>58</v>
      </c>
      <c r="AA373" t="n">
        <v>60</v>
      </c>
      <c r="AB373" t="n">
        <v>2</v>
      </c>
      <c r="AC373" t="n">
        <v>2</v>
      </c>
      <c r="AD373" t="n">
        <v>4</v>
      </c>
      <c r="AE373" t="n">
        <v>4</v>
      </c>
      <c r="AF373" t="n">
        <v>0</v>
      </c>
      <c r="AG373" t="n">
        <v>0</v>
      </c>
      <c r="AH373" t="n">
        <v>1</v>
      </c>
      <c r="AI373" t="n">
        <v>1</v>
      </c>
      <c r="AJ373" t="n">
        <v>3</v>
      </c>
      <c r="AK373" t="n">
        <v>3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HYPERLINK("http://catalog.hathitrust.org/Record/007902011","HathiTrust Record")</f>
        <v/>
      </c>
      <c r="AS373">
        <f>HYPERLINK("https://creighton-primo.hosted.exlibrisgroup.com/primo-explore/search?tab=default_tab&amp;search_scope=EVERYTHING&amp;vid=01CRU&amp;lang=en_US&amp;offset=0&amp;query=any,contains,991004417819702656","Catalog Record")</f>
        <v/>
      </c>
      <c r="AT373">
        <f>HYPERLINK("http://www.worldcat.org/oclc/3370660","WorldCat Record")</f>
        <v/>
      </c>
      <c r="AU373" t="inlineStr">
        <is>
          <t>9662380:eng</t>
        </is>
      </c>
      <c r="AV373" t="inlineStr">
        <is>
          <t>3370660</t>
        </is>
      </c>
      <c r="AW373" t="inlineStr">
        <is>
          <t>991004417819702656</t>
        </is>
      </c>
      <c r="AX373" t="inlineStr">
        <is>
          <t>991004417819702656</t>
        </is>
      </c>
      <c r="AY373" t="inlineStr">
        <is>
          <t>2267235890002656</t>
        </is>
      </c>
      <c r="AZ373" t="inlineStr">
        <is>
          <t>BOOK</t>
        </is>
      </c>
      <c r="BB373" t="inlineStr">
        <is>
          <t>9780819101402</t>
        </is>
      </c>
      <c r="BC373" t="inlineStr">
        <is>
          <t>32285001553097</t>
        </is>
      </c>
      <c r="BD373" t="inlineStr">
        <is>
          <t>893706386</t>
        </is>
      </c>
    </row>
    <row r="374">
      <c r="A374" t="inlineStr">
        <is>
          <t>No</t>
        </is>
      </c>
      <c r="B374" t="inlineStr">
        <is>
          <t>QH331 .L528 2001</t>
        </is>
      </c>
      <c r="C374" t="inlineStr">
        <is>
          <t>0                      QH 0331000L  528         2001</t>
        </is>
      </c>
      <c r="D374" t="inlineStr">
        <is>
          <t>Aristotle's philosophy of biology : studies in the origins of life science / James G. Lennox.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Lennox, James G.</t>
        </is>
      </c>
      <c r="L374" t="inlineStr">
        <is>
          <t>Cambridge, UK ; New York : Cambridge University Press, 2001.</t>
        </is>
      </c>
      <c r="M374" t="inlineStr">
        <is>
          <t>2001</t>
        </is>
      </c>
      <c r="O374" t="inlineStr">
        <is>
          <t>eng</t>
        </is>
      </c>
      <c r="P374" t="inlineStr">
        <is>
          <t>enk</t>
        </is>
      </c>
      <c r="Q374" t="inlineStr">
        <is>
          <t>Cambridge studies in philosophy and biology</t>
        </is>
      </c>
      <c r="R374" t="inlineStr">
        <is>
          <t xml:space="preserve">QH </t>
        </is>
      </c>
      <c r="S374" t="n">
        <v>1</v>
      </c>
      <c r="T374" t="n">
        <v>1</v>
      </c>
      <c r="U374" t="inlineStr">
        <is>
          <t>2001-02-05</t>
        </is>
      </c>
      <c r="V374" t="inlineStr">
        <is>
          <t>2001-02-05</t>
        </is>
      </c>
      <c r="W374" t="inlineStr">
        <is>
          <t>2001-02-05</t>
        </is>
      </c>
      <c r="X374" t="inlineStr">
        <is>
          <t>2001-02-05</t>
        </is>
      </c>
      <c r="Y374" t="n">
        <v>469</v>
      </c>
      <c r="Z374" t="n">
        <v>341</v>
      </c>
      <c r="AA374" t="n">
        <v>343</v>
      </c>
      <c r="AB374" t="n">
        <v>3</v>
      </c>
      <c r="AC374" t="n">
        <v>3</v>
      </c>
      <c r="AD374" t="n">
        <v>21</v>
      </c>
      <c r="AE374" t="n">
        <v>21</v>
      </c>
      <c r="AF374" t="n">
        <v>7</v>
      </c>
      <c r="AG374" t="n">
        <v>7</v>
      </c>
      <c r="AH374" t="n">
        <v>4</v>
      </c>
      <c r="AI374" t="n">
        <v>4</v>
      </c>
      <c r="AJ374" t="n">
        <v>14</v>
      </c>
      <c r="AK374" t="n">
        <v>14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HYPERLINK("https://creighton-primo.hosted.exlibrisgroup.com/primo-explore/search?tab=default_tab&amp;search_scope=EVERYTHING&amp;vid=01CRU&amp;lang=en_US&amp;offset=0&amp;query=any,contains,991003472839702656","Catalog Record")</f>
        <v/>
      </c>
      <c r="AT374">
        <f>HYPERLINK("http://www.worldcat.org/oclc/43694261","WorldCat Record")</f>
        <v/>
      </c>
      <c r="AU374" t="inlineStr">
        <is>
          <t>806942347:eng</t>
        </is>
      </c>
      <c r="AV374" t="inlineStr">
        <is>
          <t>43694261</t>
        </is>
      </c>
      <c r="AW374" t="inlineStr">
        <is>
          <t>991003472839702656</t>
        </is>
      </c>
      <c r="AX374" t="inlineStr">
        <is>
          <t>991003472839702656</t>
        </is>
      </c>
      <c r="AY374" t="inlineStr">
        <is>
          <t>2272356680002656</t>
        </is>
      </c>
      <c r="AZ374" t="inlineStr">
        <is>
          <t>BOOK</t>
        </is>
      </c>
      <c r="BB374" t="inlineStr">
        <is>
          <t>9780521650274</t>
        </is>
      </c>
      <c r="BC374" t="inlineStr">
        <is>
          <t>32285004293758</t>
        </is>
      </c>
      <c r="BD374" t="inlineStr">
        <is>
          <t>893505613</t>
        </is>
      </c>
    </row>
    <row r="375">
      <c r="A375" t="inlineStr">
        <is>
          <t>No</t>
        </is>
      </c>
      <c r="B375" t="inlineStr">
        <is>
          <t>QH331 .L529 1985</t>
        </is>
      </c>
      <c r="C375" t="inlineStr">
        <is>
          <t>0                      QH 0331000L  529         1985</t>
        </is>
      </c>
      <c r="D375" t="inlineStr">
        <is>
          <t>The dialectical biologist / Richard Levins and Richard Lewontin.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Levins, Richard.</t>
        </is>
      </c>
      <c r="L375" t="inlineStr">
        <is>
          <t>Cambridge, Mass. : Harvard University Press, 1985.</t>
        </is>
      </c>
      <c r="M375" t="inlineStr">
        <is>
          <t>1985</t>
        </is>
      </c>
      <c r="O375" t="inlineStr">
        <is>
          <t>eng</t>
        </is>
      </c>
      <c r="P375" t="inlineStr">
        <is>
          <t>mau</t>
        </is>
      </c>
      <c r="R375" t="inlineStr">
        <is>
          <t xml:space="preserve">QH </t>
        </is>
      </c>
      <c r="S375" t="n">
        <v>10</v>
      </c>
      <c r="T375" t="n">
        <v>10</v>
      </c>
      <c r="U375" t="inlineStr">
        <is>
          <t>2000-09-11</t>
        </is>
      </c>
      <c r="V375" t="inlineStr">
        <is>
          <t>2000-09-11</t>
        </is>
      </c>
      <c r="W375" t="inlineStr">
        <is>
          <t>1993-03-22</t>
        </is>
      </c>
      <c r="X375" t="inlineStr">
        <is>
          <t>1993-03-22</t>
        </is>
      </c>
      <c r="Y375" t="n">
        <v>734</v>
      </c>
      <c r="Z375" t="n">
        <v>579</v>
      </c>
      <c r="AA375" t="n">
        <v>585</v>
      </c>
      <c r="AB375" t="n">
        <v>4</v>
      </c>
      <c r="AC375" t="n">
        <v>4</v>
      </c>
      <c r="AD375" t="n">
        <v>21</v>
      </c>
      <c r="AE375" t="n">
        <v>21</v>
      </c>
      <c r="AF375" t="n">
        <v>7</v>
      </c>
      <c r="AG375" t="n">
        <v>7</v>
      </c>
      <c r="AH375" t="n">
        <v>6</v>
      </c>
      <c r="AI375" t="n">
        <v>6</v>
      </c>
      <c r="AJ375" t="n">
        <v>12</v>
      </c>
      <c r="AK375" t="n">
        <v>12</v>
      </c>
      <c r="AL375" t="n">
        <v>3</v>
      </c>
      <c r="AM375" t="n">
        <v>3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HYPERLINK("http://catalog.hathitrust.org/Record/000412249","HathiTrust Record")</f>
        <v/>
      </c>
      <c r="AS375">
        <f>HYPERLINK("https://creighton-primo.hosted.exlibrisgroup.com/primo-explore/search?tab=default_tab&amp;search_scope=EVERYTHING&amp;vid=01CRU&amp;lang=en_US&amp;offset=0&amp;query=any,contains,991000517189702656","Catalog Record")</f>
        <v/>
      </c>
      <c r="AT375">
        <f>HYPERLINK("http://www.worldcat.org/oclc/11291134","WorldCat Record")</f>
        <v/>
      </c>
      <c r="AU375" t="inlineStr">
        <is>
          <t>4146491:eng</t>
        </is>
      </c>
      <c r="AV375" t="inlineStr">
        <is>
          <t>11291134</t>
        </is>
      </c>
      <c r="AW375" t="inlineStr">
        <is>
          <t>991000517189702656</t>
        </is>
      </c>
      <c r="AX375" t="inlineStr">
        <is>
          <t>991000517189702656</t>
        </is>
      </c>
      <c r="AY375" t="inlineStr">
        <is>
          <t>2262003340002656</t>
        </is>
      </c>
      <c r="AZ375" t="inlineStr">
        <is>
          <t>BOOK</t>
        </is>
      </c>
      <c r="BB375" t="inlineStr">
        <is>
          <t>9780674202818</t>
        </is>
      </c>
      <c r="BC375" t="inlineStr">
        <is>
          <t>32285001553105</t>
        </is>
      </c>
      <c r="BD375" t="inlineStr">
        <is>
          <t>893432035</t>
        </is>
      </c>
    </row>
    <row r="376">
      <c r="A376" t="inlineStr">
        <is>
          <t>No</t>
        </is>
      </c>
      <c r="B376" t="inlineStr">
        <is>
          <t>QH331 .L688 1988</t>
        </is>
      </c>
      <c r="C376" t="inlineStr">
        <is>
          <t>0                      QH 0331000L  688         1988</t>
        </is>
      </c>
      <c r="D376" t="inlineStr">
        <is>
          <t>The ages of Gaia : a biography of our living earth / by James Lovelock.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Lovelock, James.</t>
        </is>
      </c>
      <c r="L376" t="inlineStr">
        <is>
          <t>New York : Norton, c1988.</t>
        </is>
      </c>
      <c r="M376" t="inlineStr">
        <is>
          <t>1988</t>
        </is>
      </c>
      <c r="N376" t="inlineStr">
        <is>
          <t>1st ed.</t>
        </is>
      </c>
      <c r="O376" t="inlineStr">
        <is>
          <t>eng</t>
        </is>
      </c>
      <c r="P376" t="inlineStr">
        <is>
          <t>nyu</t>
        </is>
      </c>
      <c r="Q376" t="inlineStr">
        <is>
          <t>The Commonwealth Fund Book Program</t>
        </is>
      </c>
      <c r="R376" t="inlineStr">
        <is>
          <t xml:space="preserve">QH </t>
        </is>
      </c>
      <c r="S376" t="n">
        <v>14</v>
      </c>
      <c r="T376" t="n">
        <v>14</v>
      </c>
      <c r="U376" t="inlineStr">
        <is>
          <t>2004-10-08</t>
        </is>
      </c>
      <c r="V376" t="inlineStr">
        <is>
          <t>2004-10-08</t>
        </is>
      </c>
      <c r="W376" t="inlineStr">
        <is>
          <t>1992-09-15</t>
        </is>
      </c>
      <c r="X376" t="inlineStr">
        <is>
          <t>1992-09-15</t>
        </is>
      </c>
      <c r="Y376" t="n">
        <v>1017</v>
      </c>
      <c r="Z376" t="n">
        <v>926</v>
      </c>
      <c r="AA376" t="n">
        <v>1268</v>
      </c>
      <c r="AB376" t="n">
        <v>6</v>
      </c>
      <c r="AC376" t="n">
        <v>8</v>
      </c>
      <c r="AD376" t="n">
        <v>24</v>
      </c>
      <c r="AE376" t="n">
        <v>31</v>
      </c>
      <c r="AF376" t="n">
        <v>10</v>
      </c>
      <c r="AG376" t="n">
        <v>12</v>
      </c>
      <c r="AH376" t="n">
        <v>6</v>
      </c>
      <c r="AI376" t="n">
        <v>7</v>
      </c>
      <c r="AJ376" t="n">
        <v>12</v>
      </c>
      <c r="AK376" t="n">
        <v>15</v>
      </c>
      <c r="AL376" t="n">
        <v>3</v>
      </c>
      <c r="AM376" t="n">
        <v>5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HYPERLINK("https://creighton-primo.hosted.exlibrisgroup.com/primo-explore/search?tab=default_tab&amp;search_scope=EVERYTHING&amp;vid=01CRU&amp;lang=en_US&amp;offset=0&amp;query=any,contains,991001209729702656","Catalog Record")</f>
        <v/>
      </c>
      <c r="AT376">
        <f>HYPERLINK("http://www.worldcat.org/oclc/17384242","WorldCat Record")</f>
        <v/>
      </c>
      <c r="AU376" t="inlineStr">
        <is>
          <t>199106706:eng</t>
        </is>
      </c>
      <c r="AV376" t="inlineStr">
        <is>
          <t>17384242</t>
        </is>
      </c>
      <c r="AW376" t="inlineStr">
        <is>
          <t>991001209729702656</t>
        </is>
      </c>
      <c r="AX376" t="inlineStr">
        <is>
          <t>991001209729702656</t>
        </is>
      </c>
      <c r="AY376" t="inlineStr">
        <is>
          <t>2269618230002656</t>
        </is>
      </c>
      <c r="AZ376" t="inlineStr">
        <is>
          <t>BOOK</t>
        </is>
      </c>
      <c r="BB376" t="inlineStr">
        <is>
          <t>9780393025835</t>
        </is>
      </c>
      <c r="BC376" t="inlineStr">
        <is>
          <t>32285001221109</t>
        </is>
      </c>
      <c r="BD376" t="inlineStr">
        <is>
          <t>893503197</t>
        </is>
      </c>
    </row>
    <row r="377">
      <c r="A377" t="inlineStr">
        <is>
          <t>No</t>
        </is>
      </c>
      <c r="B377" t="inlineStr">
        <is>
          <t>QH331 .M374 1988</t>
        </is>
      </c>
      <c r="C377" t="inlineStr">
        <is>
          <t>0                      QH 0331000M  374         1988</t>
        </is>
      </c>
      <c r="D377" t="inlineStr">
        <is>
          <t>Toward a new philosophy of biology : observations of an evolutionist / Ernst Mayr.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Mayr, Ernst, 1904-2005.</t>
        </is>
      </c>
      <c r="L377" t="inlineStr">
        <is>
          <t>Cambridge, Mass. : Belknap Press of Harvard University Press, 1988.</t>
        </is>
      </c>
      <c r="M377" t="inlineStr">
        <is>
          <t>1988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QH </t>
        </is>
      </c>
      <c r="S377" t="n">
        <v>11</v>
      </c>
      <c r="T377" t="n">
        <v>11</v>
      </c>
      <c r="U377" t="inlineStr">
        <is>
          <t>2009-04-06</t>
        </is>
      </c>
      <c r="V377" t="inlineStr">
        <is>
          <t>2009-04-06</t>
        </is>
      </c>
      <c r="W377" t="inlineStr">
        <is>
          <t>1990-07-11</t>
        </is>
      </c>
      <c r="X377" t="inlineStr">
        <is>
          <t>1990-07-11</t>
        </is>
      </c>
      <c r="Y377" t="n">
        <v>1020</v>
      </c>
      <c r="Z377" t="n">
        <v>794</v>
      </c>
      <c r="AA377" t="n">
        <v>810</v>
      </c>
      <c r="AB377" t="n">
        <v>6</v>
      </c>
      <c r="AC377" t="n">
        <v>6</v>
      </c>
      <c r="AD377" t="n">
        <v>36</v>
      </c>
      <c r="AE377" t="n">
        <v>36</v>
      </c>
      <c r="AF377" t="n">
        <v>15</v>
      </c>
      <c r="AG377" t="n">
        <v>15</v>
      </c>
      <c r="AH377" t="n">
        <v>7</v>
      </c>
      <c r="AI377" t="n">
        <v>7</v>
      </c>
      <c r="AJ377" t="n">
        <v>18</v>
      </c>
      <c r="AK377" t="n">
        <v>18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HYPERLINK("http://catalog.hathitrust.org/Record/000912072","HathiTrust Record")</f>
        <v/>
      </c>
      <c r="AS377">
        <f>HYPERLINK("https://creighton-primo.hosted.exlibrisgroup.com/primo-explore/search?tab=default_tab&amp;search_scope=EVERYTHING&amp;vid=01CRU&amp;lang=en_US&amp;offset=0&amp;query=any,contains,991001180589702656","Catalog Record")</f>
        <v/>
      </c>
      <c r="AT377">
        <f>HYPERLINK("http://www.worldcat.org/oclc/17108004","WorldCat Record")</f>
        <v/>
      </c>
      <c r="AU377" t="inlineStr">
        <is>
          <t>889786265:eng</t>
        </is>
      </c>
      <c r="AV377" t="inlineStr">
        <is>
          <t>17108004</t>
        </is>
      </c>
      <c r="AW377" t="inlineStr">
        <is>
          <t>991001180589702656</t>
        </is>
      </c>
      <c r="AX377" t="inlineStr">
        <is>
          <t>991001180589702656</t>
        </is>
      </c>
      <c r="AY377" t="inlineStr">
        <is>
          <t>2259476990002656</t>
        </is>
      </c>
      <c r="AZ377" t="inlineStr">
        <is>
          <t>BOOK</t>
        </is>
      </c>
      <c r="BB377" t="inlineStr">
        <is>
          <t>9780674896659</t>
        </is>
      </c>
      <c r="BC377" t="inlineStr">
        <is>
          <t>32285000224476</t>
        </is>
      </c>
      <c r="BD377" t="inlineStr">
        <is>
          <t>893438940</t>
        </is>
      </c>
    </row>
    <row r="378">
      <c r="A378" t="inlineStr">
        <is>
          <t>No</t>
        </is>
      </c>
      <c r="B378" t="inlineStr">
        <is>
          <t>QH331 .M86</t>
        </is>
      </c>
      <c r="C378" t="inlineStr">
        <is>
          <t>0                      QH 0331000M  86</t>
        </is>
      </c>
      <c r="D378" t="inlineStr">
        <is>
          <t>Man and nature; philosophical issues in biology. Edited and with introductions by Ronald Munson.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Munson, Ronald, 1939- compiler.</t>
        </is>
      </c>
      <c r="L378" t="inlineStr">
        <is>
          <t>[New York, Dell Pub. Co., 1971]</t>
        </is>
      </c>
      <c r="M378" t="inlineStr">
        <is>
          <t>1971</t>
        </is>
      </c>
      <c r="O378" t="inlineStr">
        <is>
          <t>eng</t>
        </is>
      </c>
      <c r="P378" t="inlineStr">
        <is>
          <t>nyu</t>
        </is>
      </c>
      <c r="Q378" t="inlineStr">
        <is>
          <t>A Delta book</t>
        </is>
      </c>
      <c r="R378" t="inlineStr">
        <is>
          <t xml:space="preserve">QH </t>
        </is>
      </c>
      <c r="S378" t="n">
        <v>1</v>
      </c>
      <c r="T378" t="n">
        <v>1</v>
      </c>
      <c r="U378" t="inlineStr">
        <is>
          <t>2004-03-30</t>
        </is>
      </c>
      <c r="V378" t="inlineStr">
        <is>
          <t>2004-03-30</t>
        </is>
      </c>
      <c r="W378" t="inlineStr">
        <is>
          <t>1997-07-01</t>
        </is>
      </c>
      <c r="X378" t="inlineStr">
        <is>
          <t>1997-07-01</t>
        </is>
      </c>
      <c r="Y378" t="n">
        <v>237</v>
      </c>
      <c r="Z378" t="n">
        <v>184</v>
      </c>
      <c r="AA378" t="n">
        <v>191</v>
      </c>
      <c r="AB378" t="n">
        <v>3</v>
      </c>
      <c r="AC378" t="n">
        <v>3</v>
      </c>
      <c r="AD378" t="n">
        <v>13</v>
      </c>
      <c r="AE378" t="n">
        <v>13</v>
      </c>
      <c r="AF378" t="n">
        <v>8</v>
      </c>
      <c r="AG378" t="n">
        <v>8</v>
      </c>
      <c r="AH378" t="n">
        <v>0</v>
      </c>
      <c r="AI378" t="n">
        <v>0</v>
      </c>
      <c r="AJ378" t="n">
        <v>7</v>
      </c>
      <c r="AK378" t="n">
        <v>7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HYPERLINK("http://catalog.hathitrust.org/Record/000003026","HathiTrust Record")</f>
        <v/>
      </c>
      <c r="AS378">
        <f>HYPERLINK("https://creighton-primo.hosted.exlibrisgroup.com/primo-explore/search?tab=default_tab&amp;search_scope=EVERYTHING&amp;vid=01CRU&amp;lang=en_US&amp;offset=0&amp;query=any,contains,991001248209702656","Catalog Record")</f>
        <v/>
      </c>
      <c r="AT378">
        <f>HYPERLINK("http://www.worldcat.org/oclc/208381","WorldCat Record")</f>
        <v/>
      </c>
      <c r="AU378" t="inlineStr">
        <is>
          <t>906236086:eng</t>
        </is>
      </c>
      <c r="AV378" t="inlineStr">
        <is>
          <t>208381</t>
        </is>
      </c>
      <c r="AW378" t="inlineStr">
        <is>
          <t>991001248209702656</t>
        </is>
      </c>
      <c r="AX378" t="inlineStr">
        <is>
          <t>991001248209702656</t>
        </is>
      </c>
      <c r="AY378" t="inlineStr">
        <is>
          <t>2270088460002656</t>
        </is>
      </c>
      <c r="AZ378" t="inlineStr">
        <is>
          <t>BOOK</t>
        </is>
      </c>
      <c r="BC378" t="inlineStr">
        <is>
          <t>32285002868866</t>
        </is>
      </c>
      <c r="BD378" t="inlineStr">
        <is>
          <t>893891432</t>
        </is>
      </c>
    </row>
    <row r="379">
      <c r="A379" t="inlineStr">
        <is>
          <t>No</t>
        </is>
      </c>
      <c r="B379" t="inlineStr">
        <is>
          <t>QH331 .N385 1998</t>
        </is>
      </c>
      <c r="C379" t="inlineStr">
        <is>
          <t>0                      QH 0331000N  385         1998</t>
        </is>
      </c>
      <c r="D379" t="inlineStr">
        <is>
          <t>Nature's purposes : analyses of function and design in biology / edited by Colin Allen, Marc Bekoff, and George Lauder.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L379" t="inlineStr">
        <is>
          <t>Cambridge, Mass. : The MIT Press, 1998.</t>
        </is>
      </c>
      <c r="M379" t="inlineStr">
        <is>
          <t>1998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QH </t>
        </is>
      </c>
      <c r="S379" t="n">
        <v>1</v>
      </c>
      <c r="T379" t="n">
        <v>1</v>
      </c>
      <c r="U379" t="inlineStr">
        <is>
          <t>1999-09-29</t>
        </is>
      </c>
      <c r="V379" t="inlineStr">
        <is>
          <t>1999-09-29</t>
        </is>
      </c>
      <c r="W379" t="inlineStr">
        <is>
          <t>1999-03-22</t>
        </is>
      </c>
      <c r="X379" t="inlineStr">
        <is>
          <t>1999-03-22</t>
        </is>
      </c>
      <c r="Y379" t="n">
        <v>381</v>
      </c>
      <c r="Z379" t="n">
        <v>263</v>
      </c>
      <c r="AA379" t="n">
        <v>263</v>
      </c>
      <c r="AB379" t="n">
        <v>2</v>
      </c>
      <c r="AC379" t="n">
        <v>2</v>
      </c>
      <c r="AD379" t="n">
        <v>14</v>
      </c>
      <c r="AE379" t="n">
        <v>14</v>
      </c>
      <c r="AF379" t="n">
        <v>4</v>
      </c>
      <c r="AG379" t="n">
        <v>4</v>
      </c>
      <c r="AH379" t="n">
        <v>5</v>
      </c>
      <c r="AI379" t="n">
        <v>5</v>
      </c>
      <c r="AJ379" t="n">
        <v>8</v>
      </c>
      <c r="AK379" t="n">
        <v>8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HYPERLINK("https://creighton-primo.hosted.exlibrisgroup.com/primo-explore/search?tab=default_tab&amp;search_scope=EVERYTHING&amp;vid=01CRU&amp;lang=en_US&amp;offset=0&amp;query=any,contains,991002844299702656","Catalog Record")</f>
        <v/>
      </c>
      <c r="AT379">
        <f>HYPERLINK("http://www.worldcat.org/oclc/37475093","WorldCat Record")</f>
        <v/>
      </c>
      <c r="AU379" t="inlineStr">
        <is>
          <t>890984839:eng</t>
        </is>
      </c>
      <c r="AV379" t="inlineStr">
        <is>
          <t>37475093</t>
        </is>
      </c>
      <c r="AW379" t="inlineStr">
        <is>
          <t>991002844299702656</t>
        </is>
      </c>
      <c r="AX379" t="inlineStr">
        <is>
          <t>991002844299702656</t>
        </is>
      </c>
      <c r="AY379" t="inlineStr">
        <is>
          <t>2260062740002656</t>
        </is>
      </c>
      <c r="AZ379" t="inlineStr">
        <is>
          <t>BOOK</t>
        </is>
      </c>
      <c r="BB379" t="inlineStr">
        <is>
          <t>9780262011686</t>
        </is>
      </c>
      <c r="BC379" t="inlineStr">
        <is>
          <t>32285003534236</t>
        </is>
      </c>
      <c r="BD379" t="inlineStr">
        <is>
          <t>893233499</t>
        </is>
      </c>
    </row>
    <row r="380">
      <c r="A380" t="inlineStr">
        <is>
          <t>No</t>
        </is>
      </c>
      <c r="B380" t="inlineStr">
        <is>
          <t>QH331 .P465 1987</t>
        </is>
      </c>
      <c r="C380" t="inlineStr">
        <is>
          <t>0                      QH 0331000P  465         1987</t>
        </is>
      </c>
      <c r="D380" t="inlineStr">
        <is>
          <t>Philosophical issues in Aristotle's biology / edited by Allan Gotthelf and James G. Lennox.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Cambridge [Cambridgeshire] ; New York : Cambridge University Press, 1987.</t>
        </is>
      </c>
      <c r="M380" t="inlineStr">
        <is>
          <t>1987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QH </t>
        </is>
      </c>
      <c r="S380" t="n">
        <v>11</v>
      </c>
      <c r="T380" t="n">
        <v>11</v>
      </c>
      <c r="U380" t="inlineStr">
        <is>
          <t>2009-11-10</t>
        </is>
      </c>
      <c r="V380" t="inlineStr">
        <is>
          <t>2009-11-10</t>
        </is>
      </c>
      <c r="W380" t="inlineStr">
        <is>
          <t>1990-03-28</t>
        </is>
      </c>
      <c r="X380" t="inlineStr">
        <is>
          <t>1990-03-28</t>
        </is>
      </c>
      <c r="Y380" t="n">
        <v>484</v>
      </c>
      <c r="Z380" t="n">
        <v>347</v>
      </c>
      <c r="AA380" t="n">
        <v>358</v>
      </c>
      <c r="AB380" t="n">
        <v>4</v>
      </c>
      <c r="AC380" t="n">
        <v>4</v>
      </c>
      <c r="AD380" t="n">
        <v>24</v>
      </c>
      <c r="AE380" t="n">
        <v>24</v>
      </c>
      <c r="AF380" t="n">
        <v>6</v>
      </c>
      <c r="AG380" t="n">
        <v>6</v>
      </c>
      <c r="AH380" t="n">
        <v>9</v>
      </c>
      <c r="AI380" t="n">
        <v>9</v>
      </c>
      <c r="AJ380" t="n">
        <v>13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HYPERLINK("https://creighton-primo.hosted.exlibrisgroup.com/primo-explore/search?tab=default_tab&amp;search_scope=EVERYTHING&amp;vid=01CRU&amp;lang=en_US&amp;offset=0&amp;query=any,contains,991000928569702656","Catalog Record")</f>
        <v/>
      </c>
      <c r="AT380">
        <f>HYPERLINK("http://www.worldcat.org/oclc/14242750","WorldCat Record")</f>
        <v/>
      </c>
      <c r="AU380" t="inlineStr">
        <is>
          <t>353979748:eng</t>
        </is>
      </c>
      <c r="AV380" t="inlineStr">
        <is>
          <t>14242750</t>
        </is>
      </c>
      <c r="AW380" t="inlineStr">
        <is>
          <t>991000928569702656</t>
        </is>
      </c>
      <c r="AX380" t="inlineStr">
        <is>
          <t>991000928569702656</t>
        </is>
      </c>
      <c r="AY380" t="inlineStr">
        <is>
          <t>2270154820002656</t>
        </is>
      </c>
      <c r="AZ380" t="inlineStr">
        <is>
          <t>BOOK</t>
        </is>
      </c>
      <c r="BB380" t="inlineStr">
        <is>
          <t>9780521310918</t>
        </is>
      </c>
      <c r="BC380" t="inlineStr">
        <is>
          <t>32285000090851</t>
        </is>
      </c>
      <c r="BD380" t="inlineStr">
        <is>
          <t>893502940</t>
        </is>
      </c>
    </row>
    <row r="381">
      <c r="A381" t="inlineStr">
        <is>
          <t>No</t>
        </is>
      </c>
      <c r="B381" t="inlineStr">
        <is>
          <t>QH331 .P469 1998</t>
        </is>
      </c>
      <c r="C381" t="inlineStr">
        <is>
          <t>0                      QH 0331000P  469         1998</t>
        </is>
      </c>
      <c r="D381" t="inlineStr">
        <is>
          <t>Philosophy of biology / edited by Michael Ruse.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L381" t="inlineStr">
        <is>
          <t>Amherst, N.Y. : Prometheus Books, 1998.</t>
        </is>
      </c>
      <c r="M381" t="inlineStr">
        <is>
          <t>1998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QH </t>
        </is>
      </c>
      <c r="S381" t="n">
        <v>14</v>
      </c>
      <c r="T381" t="n">
        <v>14</v>
      </c>
      <c r="U381" t="inlineStr">
        <is>
          <t>2009-11-10</t>
        </is>
      </c>
      <c r="V381" t="inlineStr">
        <is>
          <t>2009-11-10</t>
        </is>
      </c>
      <c r="W381" t="inlineStr">
        <is>
          <t>1998-02-26</t>
        </is>
      </c>
      <c r="X381" t="inlineStr">
        <is>
          <t>1998-02-26</t>
        </is>
      </c>
      <c r="Y381" t="n">
        <v>191</v>
      </c>
      <c r="Z381" t="n">
        <v>161</v>
      </c>
      <c r="AA381" t="n">
        <v>1459</v>
      </c>
      <c r="AB381" t="n">
        <v>2</v>
      </c>
      <c r="AC381" t="n">
        <v>8</v>
      </c>
      <c r="AD381" t="n">
        <v>3</v>
      </c>
      <c r="AE381" t="n">
        <v>40</v>
      </c>
      <c r="AF381" t="n">
        <v>0</v>
      </c>
      <c r="AG381" t="n">
        <v>16</v>
      </c>
      <c r="AH381" t="n">
        <v>2</v>
      </c>
      <c r="AI381" t="n">
        <v>8</v>
      </c>
      <c r="AJ381" t="n">
        <v>1</v>
      </c>
      <c r="AK381" t="n">
        <v>20</v>
      </c>
      <c r="AL381" t="n">
        <v>1</v>
      </c>
      <c r="AM381" t="n">
        <v>6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HYPERLINK("http://catalog.hathitrust.org/Record/003968791","HathiTrust Record")</f>
        <v/>
      </c>
      <c r="AS381">
        <f>HYPERLINK("https://creighton-primo.hosted.exlibrisgroup.com/primo-explore/search?tab=default_tab&amp;search_scope=EVERYTHING&amp;vid=01CRU&amp;lang=en_US&amp;offset=0&amp;query=any,contains,991002869029702656","Catalog Record")</f>
        <v/>
      </c>
      <c r="AT381">
        <f>HYPERLINK("http://www.worldcat.org/oclc/37819977","WorldCat Record")</f>
        <v/>
      </c>
      <c r="AU381" t="inlineStr">
        <is>
          <t>103185827:eng</t>
        </is>
      </c>
      <c r="AV381" t="inlineStr">
        <is>
          <t>37819977</t>
        </is>
      </c>
      <c r="AW381" t="inlineStr">
        <is>
          <t>991002869029702656</t>
        </is>
      </c>
      <c r="AX381" t="inlineStr">
        <is>
          <t>991002869029702656</t>
        </is>
      </c>
      <c r="AY381" t="inlineStr">
        <is>
          <t>2257533550002656</t>
        </is>
      </c>
      <c r="AZ381" t="inlineStr">
        <is>
          <t>BOOK</t>
        </is>
      </c>
      <c r="BB381" t="inlineStr">
        <is>
          <t>9781573921855</t>
        </is>
      </c>
      <c r="BC381" t="inlineStr">
        <is>
          <t>32285003355707</t>
        </is>
      </c>
      <c r="BD381" t="inlineStr">
        <is>
          <t>893867805</t>
        </is>
      </c>
    </row>
    <row r="382">
      <c r="A382" t="inlineStr">
        <is>
          <t>No</t>
        </is>
      </c>
      <c r="B382" t="inlineStr">
        <is>
          <t>QH331 .P47 1988</t>
        </is>
      </c>
      <c r="C382" t="inlineStr">
        <is>
          <t>0                      QH 0331000P  47          1988</t>
        </is>
      </c>
      <c r="D382" t="inlineStr">
        <is>
          <t>Philosophy &amp; biology / edited by Mohan Matthen &amp; Bernard Linsky.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Calgary, Alberta, Canada : University of Calgary Press, 1988.</t>
        </is>
      </c>
      <c r="M382" t="inlineStr">
        <is>
          <t>1988</t>
        </is>
      </c>
      <c r="O382" t="inlineStr">
        <is>
          <t>eng</t>
        </is>
      </c>
      <c r="P382" t="inlineStr">
        <is>
          <t>abc</t>
        </is>
      </c>
      <c r="Q382" t="inlineStr">
        <is>
          <t>Canadian journal of philosophy. Supplementary volume ; 14, 1988</t>
        </is>
      </c>
      <c r="R382" t="inlineStr">
        <is>
          <t xml:space="preserve">QH </t>
        </is>
      </c>
      <c r="S382" t="n">
        <v>19</v>
      </c>
      <c r="T382" t="n">
        <v>19</v>
      </c>
      <c r="U382" t="inlineStr">
        <is>
          <t>2001-10-01</t>
        </is>
      </c>
      <c r="V382" t="inlineStr">
        <is>
          <t>2001-10-01</t>
        </is>
      </c>
      <c r="W382" t="inlineStr">
        <is>
          <t>1990-06-20</t>
        </is>
      </c>
      <c r="X382" t="inlineStr">
        <is>
          <t>1990-06-20</t>
        </is>
      </c>
      <c r="Y382" t="n">
        <v>198</v>
      </c>
      <c r="Z382" t="n">
        <v>121</v>
      </c>
      <c r="AA382" t="n">
        <v>139</v>
      </c>
      <c r="AB382" t="n">
        <v>2</v>
      </c>
      <c r="AC382" t="n">
        <v>2</v>
      </c>
      <c r="AD382" t="n">
        <v>5</v>
      </c>
      <c r="AE382" t="n">
        <v>6</v>
      </c>
      <c r="AF382" t="n">
        <v>0</v>
      </c>
      <c r="AG382" t="n">
        <v>1</v>
      </c>
      <c r="AH382" t="n">
        <v>3</v>
      </c>
      <c r="AI382" t="n">
        <v>3</v>
      </c>
      <c r="AJ382" t="n">
        <v>4</v>
      </c>
      <c r="AK382" t="n">
        <v>5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HYPERLINK("https://creighton-primo.hosted.exlibrisgroup.com/primo-explore/search?tab=default_tab&amp;search_scope=EVERYTHING&amp;vid=01CRU&amp;lang=en_US&amp;offset=0&amp;query=any,contains,991001476509702656","Catalog Record")</f>
        <v/>
      </c>
      <c r="AT382">
        <f>HYPERLINK("http://www.worldcat.org/oclc/20264356","WorldCat Record")</f>
        <v/>
      </c>
      <c r="AU382" t="inlineStr">
        <is>
          <t>397948139:eng</t>
        </is>
      </c>
      <c r="AV382" t="inlineStr">
        <is>
          <t>20264356</t>
        </is>
      </c>
      <c r="AW382" t="inlineStr">
        <is>
          <t>991001476509702656</t>
        </is>
      </c>
      <c r="AX382" t="inlineStr">
        <is>
          <t>991001476509702656</t>
        </is>
      </c>
      <c r="AY382" t="inlineStr">
        <is>
          <t>2261548760002656</t>
        </is>
      </c>
      <c r="AZ382" t="inlineStr">
        <is>
          <t>BOOK</t>
        </is>
      </c>
      <c r="BB382" t="inlineStr">
        <is>
          <t>9780919491144</t>
        </is>
      </c>
      <c r="BC382" t="inlineStr">
        <is>
          <t>32285000178664</t>
        </is>
      </c>
      <c r="BD382" t="inlineStr">
        <is>
          <t>893785126</t>
        </is>
      </c>
    </row>
    <row r="383">
      <c r="A383" t="inlineStr">
        <is>
          <t>No</t>
        </is>
      </c>
      <c r="B383" t="inlineStr">
        <is>
          <t>QH331 .R62</t>
        </is>
      </c>
      <c r="C383" t="inlineStr">
        <is>
          <t>0                      QH 0331000R  62</t>
        </is>
      </c>
      <c r="D383" t="inlineStr">
        <is>
          <t>Science, animals, and evolution : reflections on some unrealized potentials of biology and medicine / Catherine Roberts ; foreword by Arthur M. Young.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Roberts, Catherine.</t>
        </is>
      </c>
      <c r="L383" t="inlineStr">
        <is>
          <t>Westport, Conn. : Greenwood Press, 1980.</t>
        </is>
      </c>
      <c r="M383" t="inlineStr">
        <is>
          <t>1980</t>
        </is>
      </c>
      <c r="O383" t="inlineStr">
        <is>
          <t>eng</t>
        </is>
      </c>
      <c r="P383" t="inlineStr">
        <is>
          <t>ctu</t>
        </is>
      </c>
      <c r="Q383" t="inlineStr">
        <is>
          <t>Contributions in philosophy, 0084-926X ; no. 14</t>
        </is>
      </c>
      <c r="R383" t="inlineStr">
        <is>
          <t xml:space="preserve">QH </t>
        </is>
      </c>
      <c r="S383" t="n">
        <v>3</v>
      </c>
      <c r="T383" t="n">
        <v>3</v>
      </c>
      <c r="U383" t="inlineStr">
        <is>
          <t>1996-09-23</t>
        </is>
      </c>
      <c r="V383" t="inlineStr">
        <is>
          <t>1996-09-23</t>
        </is>
      </c>
      <c r="W383" t="inlineStr">
        <is>
          <t>1993-03-22</t>
        </is>
      </c>
      <c r="X383" t="inlineStr">
        <is>
          <t>1993-03-22</t>
        </is>
      </c>
      <c r="Y383" t="n">
        <v>312</v>
      </c>
      <c r="Z383" t="n">
        <v>256</v>
      </c>
      <c r="AA383" t="n">
        <v>256</v>
      </c>
      <c r="AB383" t="n">
        <v>2</v>
      </c>
      <c r="AC383" t="n">
        <v>2</v>
      </c>
      <c r="AD383" t="n">
        <v>11</v>
      </c>
      <c r="AE383" t="n">
        <v>11</v>
      </c>
      <c r="AF383" t="n">
        <v>3</v>
      </c>
      <c r="AG383" t="n">
        <v>3</v>
      </c>
      <c r="AH383" t="n">
        <v>2</v>
      </c>
      <c r="AI383" t="n">
        <v>2</v>
      </c>
      <c r="AJ383" t="n">
        <v>8</v>
      </c>
      <c r="AK383" t="n">
        <v>8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HYPERLINK("https://creighton-primo.hosted.exlibrisgroup.com/primo-explore/search?tab=default_tab&amp;search_scope=EVERYTHING&amp;vid=01CRU&amp;lang=en_US&amp;offset=0&amp;query=any,contains,991004835169702656","Catalog Record")</f>
        <v/>
      </c>
      <c r="AT383">
        <f>HYPERLINK("http://www.worldcat.org/oclc/5447159","WorldCat Record")</f>
        <v/>
      </c>
      <c r="AU383" t="inlineStr">
        <is>
          <t>366769660:eng</t>
        </is>
      </c>
      <c r="AV383" t="inlineStr">
        <is>
          <t>5447159</t>
        </is>
      </c>
      <c r="AW383" t="inlineStr">
        <is>
          <t>991004835169702656</t>
        </is>
      </c>
      <c r="AX383" t="inlineStr">
        <is>
          <t>991004835169702656</t>
        </is>
      </c>
      <c r="AY383" t="inlineStr">
        <is>
          <t>2259242210002656</t>
        </is>
      </c>
      <c r="AZ383" t="inlineStr">
        <is>
          <t>BOOK</t>
        </is>
      </c>
      <c r="BB383" t="inlineStr">
        <is>
          <t>9780313214790</t>
        </is>
      </c>
      <c r="BC383" t="inlineStr">
        <is>
          <t>32285001553113</t>
        </is>
      </c>
      <c r="BD383" t="inlineStr">
        <is>
          <t>893901813</t>
        </is>
      </c>
    </row>
    <row r="384">
      <c r="A384" t="inlineStr">
        <is>
          <t>No</t>
        </is>
      </c>
      <c r="B384" t="inlineStr">
        <is>
          <t>QH331 .R645 1998</t>
        </is>
      </c>
      <c r="C384" t="inlineStr">
        <is>
          <t>0                      QH 0331000R  645         1998</t>
        </is>
      </c>
      <c r="D384" t="inlineStr">
        <is>
          <t>Lifelines : biology beyond determinism / Steven Rose.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Rose, Steven P. R. (Steven Peter Russell), 1938-</t>
        </is>
      </c>
      <c r="L384" t="inlineStr">
        <is>
          <t>Oxford ; New York : Oxford University Press, 1998, c1997.</t>
        </is>
      </c>
      <c r="M384" t="inlineStr">
        <is>
          <t>1998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QH </t>
        </is>
      </c>
      <c r="S384" t="n">
        <v>1</v>
      </c>
      <c r="T384" t="n">
        <v>1</v>
      </c>
      <c r="U384" t="inlineStr">
        <is>
          <t>1998-03-05</t>
        </is>
      </c>
      <c r="V384" t="inlineStr">
        <is>
          <t>1998-03-05</t>
        </is>
      </c>
      <c r="W384" t="inlineStr">
        <is>
          <t>1998-02-02</t>
        </is>
      </c>
      <c r="X384" t="inlineStr">
        <is>
          <t>1998-02-02</t>
        </is>
      </c>
      <c r="Y384" t="n">
        <v>582</v>
      </c>
      <c r="Z384" t="n">
        <v>529</v>
      </c>
      <c r="AA384" t="n">
        <v>537</v>
      </c>
      <c r="AB384" t="n">
        <v>5</v>
      </c>
      <c r="AC384" t="n">
        <v>5</v>
      </c>
      <c r="AD384" t="n">
        <v>22</v>
      </c>
      <c r="AE384" t="n">
        <v>22</v>
      </c>
      <c r="AF384" t="n">
        <v>5</v>
      </c>
      <c r="AG384" t="n">
        <v>5</v>
      </c>
      <c r="AH384" t="n">
        <v>6</v>
      </c>
      <c r="AI384" t="n">
        <v>6</v>
      </c>
      <c r="AJ384" t="n">
        <v>13</v>
      </c>
      <c r="AK384" t="n">
        <v>13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HYPERLINK("http://catalog.hathitrust.org/Record/003964135","HathiTrust Record")</f>
        <v/>
      </c>
      <c r="AS384">
        <f>HYPERLINK("https://creighton-primo.hosted.exlibrisgroup.com/primo-explore/search?tab=default_tab&amp;search_scope=EVERYTHING&amp;vid=01CRU&amp;lang=en_US&amp;offset=0&amp;query=any,contains,991002834999702656","Catalog Record")</f>
        <v/>
      </c>
      <c r="AT384">
        <f>HYPERLINK("http://www.worldcat.org/oclc/37341410","WorldCat Record")</f>
        <v/>
      </c>
      <c r="AU384" t="inlineStr">
        <is>
          <t>3943692427:eng</t>
        </is>
      </c>
      <c r="AV384" t="inlineStr">
        <is>
          <t>37341410</t>
        </is>
      </c>
      <c r="AW384" t="inlineStr">
        <is>
          <t>991002834999702656</t>
        </is>
      </c>
      <c r="AX384" t="inlineStr">
        <is>
          <t>991002834999702656</t>
        </is>
      </c>
      <c r="AY384" t="inlineStr">
        <is>
          <t>2262620210002656</t>
        </is>
      </c>
      <c r="AZ384" t="inlineStr">
        <is>
          <t>BOOK</t>
        </is>
      </c>
      <c r="BB384" t="inlineStr">
        <is>
          <t>9780195120356</t>
        </is>
      </c>
      <c r="BC384" t="inlineStr">
        <is>
          <t>32285003311445</t>
        </is>
      </c>
      <c r="BD384" t="inlineStr">
        <is>
          <t>893616642</t>
        </is>
      </c>
    </row>
    <row r="385">
      <c r="A385" t="inlineStr">
        <is>
          <t>No</t>
        </is>
      </c>
      <c r="B385" t="inlineStr">
        <is>
          <t>QH331 .R67 1985</t>
        </is>
      </c>
      <c r="C385" t="inlineStr">
        <is>
          <t>0                      QH 0331000R  67          1985</t>
        </is>
      </c>
      <c r="D385" t="inlineStr">
        <is>
          <t>The structure of biological science / Alexander Rosenberg.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Rosenberg, Alexander, 1946-</t>
        </is>
      </c>
      <c r="L385" t="inlineStr">
        <is>
          <t>Cambridge [Cambridgeshire] ; New York : Cambridge University Press, 1985.</t>
        </is>
      </c>
      <c r="M385" t="inlineStr">
        <is>
          <t>1985</t>
        </is>
      </c>
      <c r="O385" t="inlineStr">
        <is>
          <t>eng</t>
        </is>
      </c>
      <c r="P385" t="inlineStr">
        <is>
          <t>enk</t>
        </is>
      </c>
      <c r="R385" t="inlineStr">
        <is>
          <t xml:space="preserve">QH </t>
        </is>
      </c>
      <c r="S385" t="n">
        <v>6</v>
      </c>
      <c r="T385" t="n">
        <v>6</v>
      </c>
      <c r="U385" t="inlineStr">
        <is>
          <t>1996-09-29</t>
        </is>
      </c>
      <c r="V385" t="inlineStr">
        <is>
          <t>1996-09-29</t>
        </is>
      </c>
      <c r="W385" t="inlineStr">
        <is>
          <t>1993-03-22</t>
        </is>
      </c>
      <c r="X385" t="inlineStr">
        <is>
          <t>1993-03-22</t>
        </is>
      </c>
      <c r="Y385" t="n">
        <v>641</v>
      </c>
      <c r="Z385" t="n">
        <v>478</v>
      </c>
      <c r="AA385" t="n">
        <v>491</v>
      </c>
      <c r="AB385" t="n">
        <v>4</v>
      </c>
      <c r="AC385" t="n">
        <v>4</v>
      </c>
      <c r="AD385" t="n">
        <v>20</v>
      </c>
      <c r="AE385" t="n">
        <v>20</v>
      </c>
      <c r="AF385" t="n">
        <v>5</v>
      </c>
      <c r="AG385" t="n">
        <v>5</v>
      </c>
      <c r="AH385" t="n">
        <v>4</v>
      </c>
      <c r="AI385" t="n">
        <v>4</v>
      </c>
      <c r="AJ385" t="n">
        <v>11</v>
      </c>
      <c r="AK385" t="n">
        <v>11</v>
      </c>
      <c r="AL385" t="n">
        <v>3</v>
      </c>
      <c r="AM385" t="n">
        <v>3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HYPERLINK("https://creighton-primo.hosted.exlibrisgroup.com/primo-explore/search?tab=default_tab&amp;search_scope=EVERYTHING&amp;vid=01CRU&amp;lang=en_US&amp;offset=0&amp;query=any,contains,991000415309702656","Catalog Record")</f>
        <v/>
      </c>
      <c r="AT385">
        <f>HYPERLINK("http://www.worldcat.org/oclc/10724195","WorldCat Record")</f>
        <v/>
      </c>
      <c r="AU385" t="inlineStr">
        <is>
          <t>3372764:eng</t>
        </is>
      </c>
      <c r="AV385" t="inlineStr">
        <is>
          <t>10724195</t>
        </is>
      </c>
      <c r="AW385" t="inlineStr">
        <is>
          <t>991000415309702656</t>
        </is>
      </c>
      <c r="AX385" t="inlineStr">
        <is>
          <t>991000415309702656</t>
        </is>
      </c>
      <c r="AY385" t="inlineStr">
        <is>
          <t>2263176190002656</t>
        </is>
      </c>
      <c r="AZ385" t="inlineStr">
        <is>
          <t>BOOK</t>
        </is>
      </c>
      <c r="BB385" t="inlineStr">
        <is>
          <t>9780521275613</t>
        </is>
      </c>
      <c r="BC385" t="inlineStr">
        <is>
          <t>32285001553121</t>
        </is>
      </c>
      <c r="BD385" t="inlineStr">
        <is>
          <t>893502457</t>
        </is>
      </c>
    </row>
    <row r="386">
      <c r="A386" t="inlineStr">
        <is>
          <t>No</t>
        </is>
      </c>
      <c r="B386" t="inlineStr">
        <is>
          <t>QH331 .R8787</t>
        </is>
      </c>
      <c r="C386" t="inlineStr">
        <is>
          <t>0                      QH 0331000R  8787</t>
        </is>
      </c>
      <c r="D386" t="inlineStr">
        <is>
          <t>Is science sexist? : and other problems in the biomedical sciences / Michael Ruse.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Ruse, Michael.</t>
        </is>
      </c>
      <c r="L386" t="inlineStr">
        <is>
          <t>Dordrecht, Holland ; Boston : D. Reidel ; Hingham, MA : Distributed in the U.S.A. and Canada by Kluwer Boston, c1981.</t>
        </is>
      </c>
      <c r="M386" t="inlineStr">
        <is>
          <t>1981</t>
        </is>
      </c>
      <c r="O386" t="inlineStr">
        <is>
          <t>eng</t>
        </is>
      </c>
      <c r="P386" t="inlineStr">
        <is>
          <t xml:space="preserve">ne </t>
        </is>
      </c>
      <c r="Q386" t="inlineStr">
        <is>
          <t>The University of Western Ontario series in philosophy of science ; v. 17</t>
        </is>
      </c>
      <c r="R386" t="inlineStr">
        <is>
          <t xml:space="preserve">QH </t>
        </is>
      </c>
      <c r="S386" t="n">
        <v>10</v>
      </c>
      <c r="T386" t="n">
        <v>10</v>
      </c>
      <c r="U386" t="inlineStr">
        <is>
          <t>1997-02-23</t>
        </is>
      </c>
      <c r="V386" t="inlineStr">
        <is>
          <t>1997-02-23</t>
        </is>
      </c>
      <c r="W386" t="inlineStr">
        <is>
          <t>1993-03-22</t>
        </is>
      </c>
      <c r="X386" t="inlineStr">
        <is>
          <t>1993-03-22</t>
        </is>
      </c>
      <c r="Y386" t="n">
        <v>363</v>
      </c>
      <c r="Z386" t="n">
        <v>254</v>
      </c>
      <c r="AA386" t="n">
        <v>260</v>
      </c>
      <c r="AB386" t="n">
        <v>1</v>
      </c>
      <c r="AC386" t="n">
        <v>1</v>
      </c>
      <c r="AD386" t="n">
        <v>12</v>
      </c>
      <c r="AE386" t="n">
        <v>12</v>
      </c>
      <c r="AF386" t="n">
        <v>5</v>
      </c>
      <c r="AG386" t="n">
        <v>5</v>
      </c>
      <c r="AH386" t="n">
        <v>4</v>
      </c>
      <c r="AI386" t="n">
        <v>4</v>
      </c>
      <c r="AJ386" t="n">
        <v>6</v>
      </c>
      <c r="AK386" t="n">
        <v>6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HYPERLINK("https://creighton-primo.hosted.exlibrisgroup.com/primo-explore/search?tab=default_tab&amp;search_scope=EVERYTHING&amp;vid=01CRU&amp;lang=en_US&amp;offset=0&amp;query=any,contains,991005129019702656","Catalog Record")</f>
        <v/>
      </c>
      <c r="AT386">
        <f>HYPERLINK("http://www.worldcat.org/oclc/7555812","WorldCat Record")</f>
        <v/>
      </c>
      <c r="AU386" t="inlineStr">
        <is>
          <t>860474985:eng</t>
        </is>
      </c>
      <c r="AV386" t="inlineStr">
        <is>
          <t>7555812</t>
        </is>
      </c>
      <c r="AW386" t="inlineStr">
        <is>
          <t>991005129019702656</t>
        </is>
      </c>
      <c r="AX386" t="inlineStr">
        <is>
          <t>991005129019702656</t>
        </is>
      </c>
      <c r="AY386" t="inlineStr">
        <is>
          <t>2266264420002656</t>
        </is>
      </c>
      <c r="AZ386" t="inlineStr">
        <is>
          <t>BOOK</t>
        </is>
      </c>
      <c r="BB386" t="inlineStr">
        <is>
          <t>9789027712493</t>
        </is>
      </c>
      <c r="BC386" t="inlineStr">
        <is>
          <t>32285001553139</t>
        </is>
      </c>
      <c r="BD386" t="inlineStr">
        <is>
          <t>893694793</t>
        </is>
      </c>
    </row>
    <row r="387">
      <c r="A387" t="inlineStr">
        <is>
          <t>No</t>
        </is>
      </c>
      <c r="B387" t="inlineStr">
        <is>
          <t>QH331 .S375 1991</t>
        </is>
      </c>
      <c r="C387" t="inlineStr">
        <is>
          <t>0                      QH 0331000S  375         1991</t>
        </is>
      </c>
      <c r="D387" t="inlineStr">
        <is>
          <t>Scientists on Gaia / edited by Stephen H. Schneider and Penelope J. Boston.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Cambridge, Mass. : MIT Press, c1991.</t>
        </is>
      </c>
      <c r="M387" t="inlineStr">
        <is>
          <t>1991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QH </t>
        </is>
      </c>
      <c r="S387" t="n">
        <v>12</v>
      </c>
      <c r="T387" t="n">
        <v>12</v>
      </c>
      <c r="U387" t="inlineStr">
        <is>
          <t>2005-03-24</t>
        </is>
      </c>
      <c r="V387" t="inlineStr">
        <is>
          <t>2005-03-24</t>
        </is>
      </c>
      <c r="W387" t="inlineStr">
        <is>
          <t>1992-05-26</t>
        </is>
      </c>
      <c r="X387" t="inlineStr">
        <is>
          <t>1992-05-26</t>
        </is>
      </c>
      <c r="Y387" t="n">
        <v>621</v>
      </c>
      <c r="Z387" t="n">
        <v>490</v>
      </c>
      <c r="AA387" t="n">
        <v>513</v>
      </c>
      <c r="AB387" t="n">
        <v>4</v>
      </c>
      <c r="AC387" t="n">
        <v>4</v>
      </c>
      <c r="AD387" t="n">
        <v>20</v>
      </c>
      <c r="AE387" t="n">
        <v>21</v>
      </c>
      <c r="AF387" t="n">
        <v>9</v>
      </c>
      <c r="AG387" t="n">
        <v>10</v>
      </c>
      <c r="AH387" t="n">
        <v>5</v>
      </c>
      <c r="AI387" t="n">
        <v>5</v>
      </c>
      <c r="AJ387" t="n">
        <v>10</v>
      </c>
      <c r="AK387" t="n">
        <v>10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HYPERLINK("https://creighton-primo.hosted.exlibrisgroup.com/primo-explore/search?tab=default_tab&amp;search_scope=EVERYTHING&amp;vid=01CRU&amp;lang=en_US&amp;offset=0&amp;query=any,contains,991001846819702656","Catalog Record")</f>
        <v/>
      </c>
      <c r="AT387">
        <f>HYPERLINK("http://www.worldcat.org/oclc/23179843","WorldCat Record")</f>
        <v/>
      </c>
      <c r="AU387" t="inlineStr">
        <is>
          <t>365418406:eng</t>
        </is>
      </c>
      <c r="AV387" t="inlineStr">
        <is>
          <t>23179843</t>
        </is>
      </c>
      <c r="AW387" t="inlineStr">
        <is>
          <t>991001846819702656</t>
        </is>
      </c>
      <c r="AX387" t="inlineStr">
        <is>
          <t>991001846819702656</t>
        </is>
      </c>
      <c r="AY387" t="inlineStr">
        <is>
          <t>2265540810002656</t>
        </is>
      </c>
      <c r="AZ387" t="inlineStr">
        <is>
          <t>BOOK</t>
        </is>
      </c>
      <c r="BB387" t="inlineStr">
        <is>
          <t>9780262193108</t>
        </is>
      </c>
      <c r="BC387" t="inlineStr">
        <is>
          <t>32285001118446</t>
        </is>
      </c>
      <c r="BD387" t="inlineStr">
        <is>
          <t>893703376</t>
        </is>
      </c>
    </row>
    <row r="388">
      <c r="A388" t="inlineStr">
        <is>
          <t>No</t>
        </is>
      </c>
      <c r="B388" t="inlineStr">
        <is>
          <t>QH331 .S432 1989</t>
        </is>
      </c>
      <c r="C388" t="inlineStr">
        <is>
          <t>0                      QH 0331000S  432         1989</t>
        </is>
      </c>
      <c r="D388" t="inlineStr">
        <is>
          <t>At the heart of the web : the inevitable genesis of intelligent life / George A. Seielstad.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Seielstad, George A.</t>
        </is>
      </c>
      <c r="L388" t="inlineStr">
        <is>
          <t>Boston : Harcourt Brace Jovanovich, c1989.</t>
        </is>
      </c>
      <c r="M388" t="inlineStr">
        <is>
          <t>1989</t>
        </is>
      </c>
      <c r="N388" t="inlineStr">
        <is>
          <t>1st ed.</t>
        </is>
      </c>
      <c r="O388" t="inlineStr">
        <is>
          <t>eng</t>
        </is>
      </c>
      <c r="P388" t="inlineStr">
        <is>
          <t>mau</t>
        </is>
      </c>
      <c r="R388" t="inlineStr">
        <is>
          <t xml:space="preserve">QH </t>
        </is>
      </c>
      <c r="S388" t="n">
        <v>5</v>
      </c>
      <c r="T388" t="n">
        <v>5</v>
      </c>
      <c r="U388" t="inlineStr">
        <is>
          <t>1996-09-05</t>
        </is>
      </c>
      <c r="V388" t="inlineStr">
        <is>
          <t>1996-09-05</t>
        </is>
      </c>
      <c r="W388" t="inlineStr">
        <is>
          <t>1993-03-22</t>
        </is>
      </c>
      <c r="X388" t="inlineStr">
        <is>
          <t>1993-03-22</t>
        </is>
      </c>
      <c r="Y388" t="n">
        <v>366</v>
      </c>
      <c r="Z388" t="n">
        <v>340</v>
      </c>
      <c r="AA388" t="n">
        <v>352</v>
      </c>
      <c r="AB388" t="n">
        <v>3</v>
      </c>
      <c r="AC388" t="n">
        <v>3</v>
      </c>
      <c r="AD388" t="n">
        <v>8</v>
      </c>
      <c r="AE388" t="n">
        <v>8</v>
      </c>
      <c r="AF388" t="n">
        <v>3</v>
      </c>
      <c r="AG388" t="n">
        <v>3</v>
      </c>
      <c r="AH388" t="n">
        <v>1</v>
      </c>
      <c r="AI388" t="n">
        <v>1</v>
      </c>
      <c r="AJ388" t="n">
        <v>5</v>
      </c>
      <c r="AK388" t="n">
        <v>5</v>
      </c>
      <c r="AL388" t="n">
        <v>2</v>
      </c>
      <c r="AM388" t="n">
        <v>2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HYPERLINK("http://catalog.hathitrust.org/Record/002422268","HathiTrust Record")</f>
        <v/>
      </c>
      <c r="AS388">
        <f>HYPERLINK("https://creighton-primo.hosted.exlibrisgroup.com/primo-explore/search?tab=default_tab&amp;search_scope=EVERYTHING&amp;vid=01CRU&amp;lang=en_US&amp;offset=0&amp;query=any,contains,991001317579702656","Catalog Record")</f>
        <v/>
      </c>
      <c r="AT388">
        <f>HYPERLINK("http://www.worldcat.org/oclc/18191570","WorldCat Record")</f>
        <v/>
      </c>
      <c r="AU388" t="inlineStr">
        <is>
          <t>196067866:eng</t>
        </is>
      </c>
      <c r="AV388" t="inlineStr">
        <is>
          <t>18191570</t>
        </is>
      </c>
      <c r="AW388" t="inlineStr">
        <is>
          <t>991001317579702656</t>
        </is>
      </c>
      <c r="AX388" t="inlineStr">
        <is>
          <t>991001317579702656</t>
        </is>
      </c>
      <c r="AY388" t="inlineStr">
        <is>
          <t>2269188470002656</t>
        </is>
      </c>
      <c r="AZ388" t="inlineStr">
        <is>
          <t>BOOK</t>
        </is>
      </c>
      <c r="BB388" t="inlineStr">
        <is>
          <t>9780151398140</t>
        </is>
      </c>
      <c r="BC388" t="inlineStr">
        <is>
          <t>32285001553147</t>
        </is>
      </c>
      <c r="BD388" t="inlineStr">
        <is>
          <t>893696656</t>
        </is>
      </c>
    </row>
    <row r="389">
      <c r="A389" t="inlineStr">
        <is>
          <t>No</t>
        </is>
      </c>
      <c r="B389" t="inlineStr">
        <is>
          <t>QH331 .S448</t>
        </is>
      </c>
      <c r="C389" t="inlineStr">
        <is>
          <t>0                      QH 0331000S  448</t>
        </is>
      </c>
      <c r="D389" t="inlineStr">
        <is>
          <t>The matter of life : philosophical problems of biology / by Michael A. Simon.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Simon, Michael A., 1936-</t>
        </is>
      </c>
      <c r="L389" t="inlineStr">
        <is>
          <t>New Haven : Yale University Press, 1971.</t>
        </is>
      </c>
      <c r="M389" t="inlineStr">
        <is>
          <t>1971</t>
        </is>
      </c>
      <c r="O389" t="inlineStr">
        <is>
          <t>eng</t>
        </is>
      </c>
      <c r="P389" t="inlineStr">
        <is>
          <t>ctu</t>
        </is>
      </c>
      <c r="R389" t="inlineStr">
        <is>
          <t xml:space="preserve">QH </t>
        </is>
      </c>
      <c r="S389" t="n">
        <v>3</v>
      </c>
      <c r="T389" t="n">
        <v>3</v>
      </c>
      <c r="U389" t="inlineStr">
        <is>
          <t>1996-10-24</t>
        </is>
      </c>
      <c r="V389" t="inlineStr">
        <is>
          <t>1996-10-24</t>
        </is>
      </c>
      <c r="W389" t="inlineStr">
        <is>
          <t>1994-12-01</t>
        </is>
      </c>
      <c r="X389" t="inlineStr">
        <is>
          <t>1994-12-01</t>
        </is>
      </c>
      <c r="Y389" t="n">
        <v>605</v>
      </c>
      <c r="Z389" t="n">
        <v>493</v>
      </c>
      <c r="AA389" t="n">
        <v>496</v>
      </c>
      <c r="AB389" t="n">
        <v>5</v>
      </c>
      <c r="AC389" t="n">
        <v>5</v>
      </c>
      <c r="AD389" t="n">
        <v>23</v>
      </c>
      <c r="AE389" t="n">
        <v>23</v>
      </c>
      <c r="AF389" t="n">
        <v>9</v>
      </c>
      <c r="AG389" t="n">
        <v>9</v>
      </c>
      <c r="AH389" t="n">
        <v>3</v>
      </c>
      <c r="AI389" t="n">
        <v>3</v>
      </c>
      <c r="AJ389" t="n">
        <v>14</v>
      </c>
      <c r="AK389" t="n">
        <v>14</v>
      </c>
      <c r="AL389" t="n">
        <v>3</v>
      </c>
      <c r="AM389" t="n">
        <v>3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HYPERLINK("https://creighton-primo.hosted.exlibrisgroup.com/primo-explore/search?tab=default_tab&amp;search_scope=EVERYTHING&amp;vid=01CRU&amp;lang=en_US&amp;offset=0&amp;query=any,contains,991002059649702656","Catalog Record")</f>
        <v/>
      </c>
      <c r="AT389">
        <f>HYPERLINK("http://www.worldcat.org/oclc/262965","WorldCat Record")</f>
        <v/>
      </c>
      <c r="AU389" t="inlineStr">
        <is>
          <t>308585052:eng</t>
        </is>
      </c>
      <c r="AV389" t="inlineStr">
        <is>
          <t>262965</t>
        </is>
      </c>
      <c r="AW389" t="inlineStr">
        <is>
          <t>991002059649702656</t>
        </is>
      </c>
      <c r="AX389" t="inlineStr">
        <is>
          <t>991002059649702656</t>
        </is>
      </c>
      <c r="AY389" t="inlineStr">
        <is>
          <t>2268509630002656</t>
        </is>
      </c>
      <c r="AZ389" t="inlineStr">
        <is>
          <t>BOOK</t>
        </is>
      </c>
      <c r="BB389" t="inlineStr">
        <is>
          <t>9780300015003</t>
        </is>
      </c>
      <c r="BC389" t="inlineStr">
        <is>
          <t>32285001969186</t>
        </is>
      </c>
      <c r="BD389" t="inlineStr">
        <is>
          <t>893590867</t>
        </is>
      </c>
    </row>
    <row r="390">
      <c r="A390" t="inlineStr">
        <is>
          <t>No</t>
        </is>
      </c>
      <c r="B390" t="inlineStr">
        <is>
          <t>QH331 .S82 1999</t>
        </is>
      </c>
      <c r="C390" t="inlineStr">
        <is>
          <t>0                      QH 0331000S  82          1999</t>
        </is>
      </c>
      <c r="D390" t="inlineStr">
        <is>
          <t>Sex and death : an introduction to philosophy of biology / Kim Sterelny and Paul E. Griffiths.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Sterelny, Kim.</t>
        </is>
      </c>
      <c r="L390" t="inlineStr">
        <is>
          <t>Chicago, Ill. : University of Chicago Press, c1999.</t>
        </is>
      </c>
      <c r="M390" t="inlineStr">
        <is>
          <t>1999</t>
        </is>
      </c>
      <c r="O390" t="inlineStr">
        <is>
          <t>eng</t>
        </is>
      </c>
      <c r="P390" t="inlineStr">
        <is>
          <t>ilu</t>
        </is>
      </c>
      <c r="Q390" t="inlineStr">
        <is>
          <t>Science and its conceptual foundations</t>
        </is>
      </c>
      <c r="R390" t="inlineStr">
        <is>
          <t xml:space="preserve">QH </t>
        </is>
      </c>
      <c r="S390" t="n">
        <v>1</v>
      </c>
      <c r="T390" t="n">
        <v>1</v>
      </c>
      <c r="U390" t="inlineStr">
        <is>
          <t>2002-12-20</t>
        </is>
      </c>
      <c r="V390" t="inlineStr">
        <is>
          <t>2002-12-20</t>
        </is>
      </c>
      <c r="W390" t="inlineStr">
        <is>
          <t>1999-12-15</t>
        </is>
      </c>
      <c r="X390" t="inlineStr">
        <is>
          <t>1999-12-15</t>
        </is>
      </c>
      <c r="Y390" t="n">
        <v>660</v>
      </c>
      <c r="Z390" t="n">
        <v>496</v>
      </c>
      <c r="AA390" t="n">
        <v>501</v>
      </c>
      <c r="AB390" t="n">
        <v>5</v>
      </c>
      <c r="AC390" t="n">
        <v>5</v>
      </c>
      <c r="AD390" t="n">
        <v>32</v>
      </c>
      <c r="AE390" t="n">
        <v>32</v>
      </c>
      <c r="AF390" t="n">
        <v>12</v>
      </c>
      <c r="AG390" t="n">
        <v>12</v>
      </c>
      <c r="AH390" t="n">
        <v>8</v>
      </c>
      <c r="AI390" t="n">
        <v>8</v>
      </c>
      <c r="AJ390" t="n">
        <v>17</v>
      </c>
      <c r="AK390" t="n">
        <v>17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HYPERLINK("https://creighton-primo.hosted.exlibrisgroup.com/primo-explore/search?tab=default_tab&amp;search_scope=EVERYTHING&amp;vid=01CRU&amp;lang=en_US&amp;offset=0&amp;query=any,contains,991002984479702656","Catalog Record")</f>
        <v/>
      </c>
      <c r="AT390">
        <f>HYPERLINK("http://www.worldcat.org/oclc/40193587","WorldCat Record")</f>
        <v/>
      </c>
      <c r="AU390" t="inlineStr">
        <is>
          <t>197912352:eng</t>
        </is>
      </c>
      <c r="AV390" t="inlineStr">
        <is>
          <t>40193587</t>
        </is>
      </c>
      <c r="AW390" t="inlineStr">
        <is>
          <t>991002984479702656</t>
        </is>
      </c>
      <c r="AX390" t="inlineStr">
        <is>
          <t>991002984479702656</t>
        </is>
      </c>
      <c r="AY390" t="inlineStr">
        <is>
          <t>2266853420002656</t>
        </is>
      </c>
      <c r="AZ390" t="inlineStr">
        <is>
          <t>BOOK</t>
        </is>
      </c>
      <c r="BB390" t="inlineStr">
        <is>
          <t>9780226773032</t>
        </is>
      </c>
      <c r="BC390" t="inlineStr">
        <is>
          <t>32285003633590</t>
        </is>
      </c>
      <c r="BD390" t="inlineStr">
        <is>
          <t>893793190</t>
        </is>
      </c>
    </row>
    <row r="391">
      <c r="A391" t="inlineStr">
        <is>
          <t>No</t>
        </is>
      </c>
      <c r="B391" t="inlineStr">
        <is>
          <t>QH331 .S86 1974b</t>
        </is>
      </c>
      <c r="C391" t="inlineStr">
        <is>
          <t>0                      QH 0331000S  86          1974b</t>
        </is>
      </c>
      <c r="D391" t="inlineStr">
        <is>
          <t>Studies in the philosophy of biology : reduction and related problems / edited by Francisco Jose Ayala and Theodosius Dobzhansky.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Berkeley : University of California Press, [1974]</t>
        </is>
      </c>
      <c r="M391" t="inlineStr">
        <is>
          <t>1974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QH </t>
        </is>
      </c>
      <c r="S391" t="n">
        <v>5</v>
      </c>
      <c r="T391" t="n">
        <v>5</v>
      </c>
      <c r="U391" t="inlineStr">
        <is>
          <t>1999-11-23</t>
        </is>
      </c>
      <c r="V391" t="inlineStr">
        <is>
          <t>1999-11-23</t>
        </is>
      </c>
      <c r="W391" t="inlineStr">
        <is>
          <t>1997-07-01</t>
        </is>
      </c>
      <c r="X391" t="inlineStr">
        <is>
          <t>1997-07-01</t>
        </is>
      </c>
      <c r="Y391" t="n">
        <v>634</v>
      </c>
      <c r="Z391" t="n">
        <v>554</v>
      </c>
      <c r="AA391" t="n">
        <v>584</v>
      </c>
      <c r="AB391" t="n">
        <v>6</v>
      </c>
      <c r="AC391" t="n">
        <v>6</v>
      </c>
      <c r="AD391" t="n">
        <v>32</v>
      </c>
      <c r="AE391" t="n">
        <v>34</v>
      </c>
      <c r="AF391" t="n">
        <v>13</v>
      </c>
      <c r="AG391" t="n">
        <v>14</v>
      </c>
      <c r="AH391" t="n">
        <v>7</v>
      </c>
      <c r="AI391" t="n">
        <v>8</v>
      </c>
      <c r="AJ391" t="n">
        <v>15</v>
      </c>
      <c r="AK391" t="n">
        <v>16</v>
      </c>
      <c r="AL391" t="n">
        <v>5</v>
      </c>
      <c r="AM391" t="n">
        <v>5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HYPERLINK("https://creighton-primo.hosted.exlibrisgroup.com/primo-explore/search?tab=default_tab&amp;search_scope=EVERYTHING&amp;vid=01CRU&amp;lang=en_US&amp;offset=0&amp;query=any,contains,991003659139702656","Catalog Record")</f>
        <v/>
      </c>
      <c r="AT391">
        <f>HYPERLINK("http://www.worldcat.org/oclc/1265669","WorldCat Record")</f>
        <v/>
      </c>
      <c r="AU391" t="inlineStr">
        <is>
          <t>835843634:eng</t>
        </is>
      </c>
      <c r="AV391" t="inlineStr">
        <is>
          <t>1265669</t>
        </is>
      </c>
      <c r="AW391" t="inlineStr">
        <is>
          <t>991003659139702656</t>
        </is>
      </c>
      <c r="AX391" t="inlineStr">
        <is>
          <t>991003659139702656</t>
        </is>
      </c>
      <c r="AY391" t="inlineStr">
        <is>
          <t>2261791430002656</t>
        </is>
      </c>
      <c r="AZ391" t="inlineStr">
        <is>
          <t>BOOK</t>
        </is>
      </c>
      <c r="BB391" t="inlineStr">
        <is>
          <t>9780520026490</t>
        </is>
      </c>
      <c r="BC391" t="inlineStr">
        <is>
          <t>32285002868981</t>
        </is>
      </c>
      <c r="BD391" t="inlineStr">
        <is>
          <t>893234416</t>
        </is>
      </c>
    </row>
    <row r="392">
      <c r="A392" t="inlineStr">
        <is>
          <t>No</t>
        </is>
      </c>
      <c r="B392" t="inlineStr">
        <is>
          <t>QH331 .T47</t>
        </is>
      </c>
      <c r="C392" t="inlineStr">
        <is>
          <t>0                      QH 0331000T  47</t>
        </is>
      </c>
      <c r="D392" t="inlineStr">
        <is>
          <t>Purpose in a world of chance : a biologist's view / W. H. Thorpe.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Thorpe, W. H. (William Homan), 1902-1986.</t>
        </is>
      </c>
      <c r="L392" t="inlineStr">
        <is>
          <t>Oxford [Eng.] ; New York : Oxford University Press, 1978.</t>
        </is>
      </c>
      <c r="M392" t="inlineStr">
        <is>
          <t>1978</t>
        </is>
      </c>
      <c r="O392" t="inlineStr">
        <is>
          <t>eng</t>
        </is>
      </c>
      <c r="P392" t="inlineStr">
        <is>
          <t>enk</t>
        </is>
      </c>
      <c r="R392" t="inlineStr">
        <is>
          <t xml:space="preserve">QH </t>
        </is>
      </c>
      <c r="S392" t="n">
        <v>2</v>
      </c>
      <c r="T392" t="n">
        <v>2</v>
      </c>
      <c r="U392" t="inlineStr">
        <is>
          <t>1997-02-23</t>
        </is>
      </c>
      <c r="V392" t="inlineStr">
        <is>
          <t>1997-02-23</t>
        </is>
      </c>
      <c r="W392" t="inlineStr">
        <is>
          <t>1993-06-08</t>
        </is>
      </c>
      <c r="X392" t="inlineStr">
        <is>
          <t>1993-06-08</t>
        </is>
      </c>
      <c r="Y392" t="n">
        <v>605</v>
      </c>
      <c r="Z392" t="n">
        <v>456</v>
      </c>
      <c r="AA392" t="n">
        <v>465</v>
      </c>
      <c r="AB392" t="n">
        <v>3</v>
      </c>
      <c r="AC392" t="n">
        <v>3</v>
      </c>
      <c r="AD392" t="n">
        <v>22</v>
      </c>
      <c r="AE392" t="n">
        <v>23</v>
      </c>
      <c r="AF392" t="n">
        <v>11</v>
      </c>
      <c r="AG392" t="n">
        <v>11</v>
      </c>
      <c r="AH392" t="n">
        <v>3</v>
      </c>
      <c r="AI392" t="n">
        <v>4</v>
      </c>
      <c r="AJ392" t="n">
        <v>12</v>
      </c>
      <c r="AK392" t="n">
        <v>13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HYPERLINK("http://catalog.hathitrust.org/Record/004394719","HathiTrust Record")</f>
        <v/>
      </c>
      <c r="AS392">
        <f>HYPERLINK("https://creighton-primo.hosted.exlibrisgroup.com/primo-explore/search?tab=default_tab&amp;search_scope=EVERYTHING&amp;vid=01CRU&amp;lang=en_US&amp;offset=0&amp;query=any,contains,991004452509702656","Catalog Record")</f>
        <v/>
      </c>
      <c r="AT392">
        <f>HYPERLINK("http://www.worldcat.org/oclc/3516461","WorldCat Record")</f>
        <v/>
      </c>
      <c r="AU392" t="inlineStr">
        <is>
          <t>198325949:eng</t>
        </is>
      </c>
      <c r="AV392" t="inlineStr">
        <is>
          <t>3516461</t>
        </is>
      </c>
      <c r="AW392" t="inlineStr">
        <is>
          <t>991004452509702656</t>
        </is>
      </c>
      <c r="AX392" t="inlineStr">
        <is>
          <t>991004452509702656</t>
        </is>
      </c>
      <c r="AY392" t="inlineStr">
        <is>
          <t>2272470870002656</t>
        </is>
      </c>
      <c r="AZ392" t="inlineStr">
        <is>
          <t>BOOK</t>
        </is>
      </c>
      <c r="BB392" t="inlineStr">
        <is>
          <t>9780192176547</t>
        </is>
      </c>
      <c r="BC392" t="inlineStr">
        <is>
          <t>32285001719573</t>
        </is>
      </c>
      <c r="BD392" t="inlineStr">
        <is>
          <t>893513261</t>
        </is>
      </c>
    </row>
    <row r="393">
      <c r="A393" t="inlineStr">
        <is>
          <t>No</t>
        </is>
      </c>
      <c r="B393" t="inlineStr">
        <is>
          <t>QH331 .V55 1995</t>
        </is>
      </c>
      <c r="C393" t="inlineStr">
        <is>
          <t>0                      QH 0331000V  55          1995</t>
        </is>
      </c>
      <c r="D393" t="inlineStr">
        <is>
          <t>Life scientists : their convictions, their activities, and their values / by Gerard M. Verschuuren.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Verschuuren, G. M. N. (Geert M. N.)</t>
        </is>
      </c>
      <c r="L393" t="inlineStr">
        <is>
          <t>North Andover, Mass. : Genesis Pub. Co., 1995.</t>
        </is>
      </c>
      <c r="M393" t="inlineStr">
        <is>
          <t>1995</t>
        </is>
      </c>
      <c r="O393" t="inlineStr">
        <is>
          <t>eng</t>
        </is>
      </c>
      <c r="P393" t="inlineStr">
        <is>
          <t>mau</t>
        </is>
      </c>
      <c r="R393" t="inlineStr">
        <is>
          <t xml:space="preserve">QH </t>
        </is>
      </c>
      <c r="S393" t="n">
        <v>5</v>
      </c>
      <c r="T393" t="n">
        <v>5</v>
      </c>
      <c r="U393" t="inlineStr">
        <is>
          <t>1999-11-28</t>
        </is>
      </c>
      <c r="V393" t="inlineStr">
        <is>
          <t>1999-11-28</t>
        </is>
      </c>
      <c r="W393" t="inlineStr">
        <is>
          <t>1996-12-30</t>
        </is>
      </c>
      <c r="X393" t="inlineStr">
        <is>
          <t>1996-12-30</t>
        </is>
      </c>
      <c r="Y393" t="n">
        <v>229</v>
      </c>
      <c r="Z393" t="n">
        <v>197</v>
      </c>
      <c r="AA393" t="n">
        <v>204</v>
      </c>
      <c r="AB393" t="n">
        <v>1</v>
      </c>
      <c r="AC393" t="n">
        <v>1</v>
      </c>
      <c r="AD393" t="n">
        <v>8</v>
      </c>
      <c r="AE393" t="n">
        <v>8</v>
      </c>
      <c r="AF393" t="n">
        <v>2</v>
      </c>
      <c r="AG393" t="n">
        <v>2</v>
      </c>
      <c r="AH393" t="n">
        <v>1</v>
      </c>
      <c r="AI393" t="n">
        <v>1</v>
      </c>
      <c r="AJ393" t="n">
        <v>7</v>
      </c>
      <c r="AK393" t="n">
        <v>7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HYPERLINK("http://catalog.hathitrust.org/Record/003097672","HathiTrust Record")</f>
        <v/>
      </c>
      <c r="AS393">
        <f>HYPERLINK("https://creighton-primo.hosted.exlibrisgroup.com/primo-explore/search?tab=default_tab&amp;search_scope=EVERYTHING&amp;vid=01CRU&amp;lang=en_US&amp;offset=0&amp;query=any,contains,991002525929702656","Catalog Record")</f>
        <v/>
      </c>
      <c r="AT393">
        <f>HYPERLINK("http://www.worldcat.org/oclc/32853588","WorldCat Record")</f>
        <v/>
      </c>
      <c r="AU393" t="inlineStr">
        <is>
          <t>37155424:eng</t>
        </is>
      </c>
      <c r="AV393" t="inlineStr">
        <is>
          <t>32853588</t>
        </is>
      </c>
      <c r="AW393" t="inlineStr">
        <is>
          <t>991002525929702656</t>
        </is>
      </c>
      <c r="AX393" t="inlineStr">
        <is>
          <t>991002525929702656</t>
        </is>
      </c>
      <c r="AY393" t="inlineStr">
        <is>
          <t>2270879280002656</t>
        </is>
      </c>
      <c r="AZ393" t="inlineStr">
        <is>
          <t>BOOK</t>
        </is>
      </c>
      <c r="BB393" t="inlineStr">
        <is>
          <t>9781886670006</t>
        </is>
      </c>
      <c r="BC393" t="inlineStr">
        <is>
          <t>32285002403912</t>
        </is>
      </c>
      <c r="BD393" t="inlineStr">
        <is>
          <t>893316938</t>
        </is>
      </c>
    </row>
    <row r="394">
      <c r="A394" t="inlineStr">
        <is>
          <t>No</t>
        </is>
      </c>
      <c r="B394" t="inlineStr">
        <is>
          <t>QH331 .W465 1995</t>
        </is>
      </c>
      <c r="C394" t="inlineStr">
        <is>
          <t>0                      QH 0331000W  465         1995</t>
        </is>
      </c>
      <c r="D394" t="inlineStr">
        <is>
          <t>What is life? : the next fifty years : speculations on the future of biology / edited by Michael P. Murphy, Luke A.J. O'Neill.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Cambridge ; New York : Cambridge University Press, 1995.</t>
        </is>
      </c>
      <c r="M394" t="inlineStr">
        <is>
          <t>1995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QH </t>
        </is>
      </c>
      <c r="S394" t="n">
        <v>4</v>
      </c>
      <c r="T394" t="n">
        <v>4</v>
      </c>
      <c r="U394" t="inlineStr">
        <is>
          <t>1996-09-23</t>
        </is>
      </c>
      <c r="V394" t="inlineStr">
        <is>
          <t>1996-09-23</t>
        </is>
      </c>
      <c r="W394" t="inlineStr">
        <is>
          <t>1996-03-21</t>
        </is>
      </c>
      <c r="X394" t="inlineStr">
        <is>
          <t>1996-03-21</t>
        </is>
      </c>
      <c r="Y394" t="n">
        <v>557</v>
      </c>
      <c r="Z394" t="n">
        <v>413</v>
      </c>
      <c r="AA394" t="n">
        <v>464</v>
      </c>
      <c r="AB394" t="n">
        <v>5</v>
      </c>
      <c r="AC394" t="n">
        <v>5</v>
      </c>
      <c r="AD394" t="n">
        <v>17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8</v>
      </c>
      <c r="AK394" t="n">
        <v>9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HYPERLINK("https://creighton-primo.hosted.exlibrisgroup.com/primo-explore/search?tab=default_tab&amp;search_scope=EVERYTHING&amp;vid=01CRU&amp;lang=en_US&amp;offset=0&amp;query=any,contains,991002452879702656","Catalog Record")</f>
        <v/>
      </c>
      <c r="AT394">
        <f>HYPERLINK("http://www.worldcat.org/oclc/31972283","WorldCat Record")</f>
        <v/>
      </c>
      <c r="AU394" t="inlineStr">
        <is>
          <t>896879501:eng</t>
        </is>
      </c>
      <c r="AV394" t="inlineStr">
        <is>
          <t>31972283</t>
        </is>
      </c>
      <c r="AW394" t="inlineStr">
        <is>
          <t>991002452879702656</t>
        </is>
      </c>
      <c r="AX394" t="inlineStr">
        <is>
          <t>991002452879702656</t>
        </is>
      </c>
      <c r="AY394" t="inlineStr">
        <is>
          <t>2266632630002656</t>
        </is>
      </c>
      <c r="AZ394" t="inlineStr">
        <is>
          <t>BOOK</t>
        </is>
      </c>
      <c r="BB394" t="inlineStr">
        <is>
          <t>9780521455091</t>
        </is>
      </c>
      <c r="BC394" t="inlineStr">
        <is>
          <t>32285002145604</t>
        </is>
      </c>
      <c r="BD394" t="inlineStr">
        <is>
          <t>893697801</t>
        </is>
      </c>
    </row>
    <row r="395">
      <c r="A395" t="inlineStr">
        <is>
          <t>No</t>
        </is>
      </c>
      <c r="B395" t="inlineStr">
        <is>
          <t>QH331 .W466 1989</t>
        </is>
      </c>
      <c r="C395" t="inlineStr">
        <is>
          <t>0                      QH 0331000W  466         1989</t>
        </is>
      </c>
      <c r="D395" t="inlineStr">
        <is>
          <t>What the philosophy of biology is : essays dedicated to David Hull / edited by Michael Ruse.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Dordrecht ; Boston : Kluwer Academic ; Norwell, Mass : Sold and distributed in the U.S.A. and Canada by Kluwer Academic, c1989.</t>
        </is>
      </c>
      <c r="M395" t="inlineStr">
        <is>
          <t>1989</t>
        </is>
      </c>
      <c r="O395" t="inlineStr">
        <is>
          <t>eng</t>
        </is>
      </c>
      <c r="P395" t="inlineStr">
        <is>
          <t xml:space="preserve">ne </t>
        </is>
      </c>
      <c r="Q395" t="inlineStr">
        <is>
          <t>Nijhoff international philosophy series ; v. 32</t>
        </is>
      </c>
      <c r="R395" t="inlineStr">
        <is>
          <t xml:space="preserve">QH </t>
        </is>
      </c>
      <c r="S395" t="n">
        <v>9</v>
      </c>
      <c r="T395" t="n">
        <v>9</v>
      </c>
      <c r="U395" t="inlineStr">
        <is>
          <t>1999-03-23</t>
        </is>
      </c>
      <c r="V395" t="inlineStr">
        <is>
          <t>1999-03-23</t>
        </is>
      </c>
      <c r="W395" t="inlineStr">
        <is>
          <t>1990-04-20</t>
        </is>
      </c>
      <c r="X395" t="inlineStr">
        <is>
          <t>1990-04-20</t>
        </is>
      </c>
      <c r="Y395" t="n">
        <v>214</v>
      </c>
      <c r="Z395" t="n">
        <v>132</v>
      </c>
      <c r="AA395" t="n">
        <v>150</v>
      </c>
      <c r="AB395" t="n">
        <v>2</v>
      </c>
      <c r="AC395" t="n">
        <v>2</v>
      </c>
      <c r="AD395" t="n">
        <v>9</v>
      </c>
      <c r="AE395" t="n">
        <v>10</v>
      </c>
      <c r="AF395" t="n">
        <v>1</v>
      </c>
      <c r="AG395" t="n">
        <v>2</v>
      </c>
      <c r="AH395" t="n">
        <v>5</v>
      </c>
      <c r="AI395" t="n">
        <v>5</v>
      </c>
      <c r="AJ395" t="n">
        <v>5</v>
      </c>
      <c r="AK395" t="n">
        <v>6</v>
      </c>
      <c r="AL395" t="n">
        <v>1</v>
      </c>
      <c r="AM395" t="n">
        <v>1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HYPERLINK("http://catalog.hathitrust.org/Record/001952791","HathiTrust Record")</f>
        <v/>
      </c>
      <c r="AS395">
        <f>HYPERLINK("https://creighton-primo.hosted.exlibrisgroup.com/primo-explore/search?tab=default_tab&amp;search_scope=EVERYTHING&amp;vid=01CRU&amp;lang=en_US&amp;offset=0&amp;query=any,contains,991001334159702656","Catalog Record")</f>
        <v/>
      </c>
      <c r="AT395">
        <f>HYPERLINK("http://www.worldcat.org/oclc/18350026","WorldCat Record")</f>
        <v/>
      </c>
      <c r="AU395" t="inlineStr">
        <is>
          <t>860525766:eng</t>
        </is>
      </c>
      <c r="AV395" t="inlineStr">
        <is>
          <t>18350026</t>
        </is>
      </c>
      <c r="AW395" t="inlineStr">
        <is>
          <t>991001334159702656</t>
        </is>
      </c>
      <c r="AX395" t="inlineStr">
        <is>
          <t>991001334159702656</t>
        </is>
      </c>
      <c r="AY395" t="inlineStr">
        <is>
          <t>2262808760002656</t>
        </is>
      </c>
      <c r="AZ395" t="inlineStr">
        <is>
          <t>BOOK</t>
        </is>
      </c>
      <c r="BB395" t="inlineStr">
        <is>
          <t>9789024737789</t>
        </is>
      </c>
      <c r="BC395" t="inlineStr">
        <is>
          <t>32285000103654</t>
        </is>
      </c>
      <c r="BD395" t="inlineStr">
        <is>
          <t>893414171</t>
        </is>
      </c>
    </row>
    <row r="396">
      <c r="A396" t="inlineStr">
        <is>
          <t>No</t>
        </is>
      </c>
      <c r="B396" t="inlineStr">
        <is>
          <t>QH331 .W558 2005</t>
        </is>
      </c>
      <c r="C396" t="inlineStr">
        <is>
          <t>0                      QH 0331000W  558         2005</t>
        </is>
      </c>
      <c r="D396" t="inlineStr">
        <is>
          <t>Genes and the agents of life : the individual in the fragile sciences, biology / Robert A. Wilson.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Wilson, Robert A. (Robert Andrew)</t>
        </is>
      </c>
      <c r="L396" t="inlineStr">
        <is>
          <t>New York : Cambridge University Press, 2005.</t>
        </is>
      </c>
      <c r="M396" t="inlineStr">
        <is>
          <t>2005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QH </t>
        </is>
      </c>
      <c r="S396" t="n">
        <v>2</v>
      </c>
      <c r="T396" t="n">
        <v>2</v>
      </c>
      <c r="U396" t="inlineStr">
        <is>
          <t>2005-05-12</t>
        </is>
      </c>
      <c r="V396" t="inlineStr">
        <is>
          <t>2005-05-12</t>
        </is>
      </c>
      <c r="W396" t="inlineStr">
        <is>
          <t>2005-05-12</t>
        </is>
      </c>
      <c r="X396" t="inlineStr">
        <is>
          <t>2005-05-12</t>
        </is>
      </c>
      <c r="Y396" t="n">
        <v>308</v>
      </c>
      <c r="Z396" t="n">
        <v>227</v>
      </c>
      <c r="AA396" t="n">
        <v>264</v>
      </c>
      <c r="AB396" t="n">
        <v>4</v>
      </c>
      <c r="AC396" t="n">
        <v>4</v>
      </c>
      <c r="AD396" t="n">
        <v>14</v>
      </c>
      <c r="AE396" t="n">
        <v>15</v>
      </c>
      <c r="AF396" t="n">
        <v>4</v>
      </c>
      <c r="AG396" t="n">
        <v>4</v>
      </c>
      <c r="AH396" t="n">
        <v>3</v>
      </c>
      <c r="AI396" t="n">
        <v>4</v>
      </c>
      <c r="AJ396" t="n">
        <v>7</v>
      </c>
      <c r="AK396" t="n">
        <v>8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HYPERLINK("https://creighton-primo.hosted.exlibrisgroup.com/primo-explore/search?tab=default_tab&amp;search_scope=EVERYTHING&amp;vid=01CRU&amp;lang=en_US&amp;offset=0&amp;query=any,contains,991004527159702656","Catalog Record")</f>
        <v/>
      </c>
      <c r="AT396">
        <f>HYPERLINK("http://www.worldcat.org/oclc/54685798","WorldCat Record")</f>
        <v/>
      </c>
      <c r="AU396" t="inlineStr">
        <is>
          <t>13925315:eng</t>
        </is>
      </c>
      <c r="AV396" t="inlineStr">
        <is>
          <t>54685798</t>
        </is>
      </c>
      <c r="AW396" t="inlineStr">
        <is>
          <t>991004527159702656</t>
        </is>
      </c>
      <c r="AX396" t="inlineStr">
        <is>
          <t>991004527159702656</t>
        </is>
      </c>
      <c r="AY396" t="inlineStr">
        <is>
          <t>2265844990002656</t>
        </is>
      </c>
      <c r="AZ396" t="inlineStr">
        <is>
          <t>BOOK</t>
        </is>
      </c>
      <c r="BB396" t="inlineStr">
        <is>
          <t>9780521544955</t>
        </is>
      </c>
      <c r="BC396" t="inlineStr">
        <is>
          <t>32285005037642</t>
        </is>
      </c>
      <c r="BD396" t="inlineStr">
        <is>
          <t>893876211</t>
        </is>
      </c>
    </row>
    <row r="397">
      <c r="A397" t="inlineStr">
        <is>
          <t>No</t>
        </is>
      </c>
      <c r="B397" t="inlineStr">
        <is>
          <t>QH332 .C37</t>
        </is>
      </c>
      <c r="C397" t="inlineStr">
        <is>
          <t>0                      QH 0332000C  37</t>
        </is>
      </c>
      <c r="D397" t="inlineStr">
        <is>
          <t>Instant evolution : we'd better get good at it / Thomas P. Carney.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Carney, Thomas P., 1950-</t>
        </is>
      </c>
      <c r="L397" t="inlineStr">
        <is>
          <t>Notre Dame, Ind. : University of Notre Dame Press, c1980.</t>
        </is>
      </c>
      <c r="M397" t="inlineStr">
        <is>
          <t>1980</t>
        </is>
      </c>
      <c r="O397" t="inlineStr">
        <is>
          <t>eng</t>
        </is>
      </c>
      <c r="P397" t="inlineStr">
        <is>
          <t>inu</t>
        </is>
      </c>
      <c r="R397" t="inlineStr">
        <is>
          <t xml:space="preserve">QH </t>
        </is>
      </c>
      <c r="S397" t="n">
        <v>6</v>
      </c>
      <c r="T397" t="n">
        <v>6</v>
      </c>
      <c r="U397" t="inlineStr">
        <is>
          <t>1999-03-27</t>
        </is>
      </c>
      <c r="V397" t="inlineStr">
        <is>
          <t>1999-03-27</t>
        </is>
      </c>
      <c r="W397" t="inlineStr">
        <is>
          <t>1991-12-06</t>
        </is>
      </c>
      <c r="X397" t="inlineStr">
        <is>
          <t>1991-12-06</t>
        </is>
      </c>
      <c r="Y397" t="n">
        <v>485</v>
      </c>
      <c r="Z397" t="n">
        <v>434</v>
      </c>
      <c r="AA397" t="n">
        <v>440</v>
      </c>
      <c r="AB397" t="n">
        <v>4</v>
      </c>
      <c r="AC397" t="n">
        <v>4</v>
      </c>
      <c r="AD397" t="n">
        <v>22</v>
      </c>
      <c r="AE397" t="n">
        <v>22</v>
      </c>
      <c r="AF397" t="n">
        <v>6</v>
      </c>
      <c r="AG397" t="n">
        <v>6</v>
      </c>
      <c r="AH397" t="n">
        <v>4</v>
      </c>
      <c r="AI397" t="n">
        <v>4</v>
      </c>
      <c r="AJ397" t="n">
        <v>14</v>
      </c>
      <c r="AK397" t="n">
        <v>14</v>
      </c>
      <c r="AL397" t="n">
        <v>3</v>
      </c>
      <c r="AM397" t="n">
        <v>3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HYPERLINK("http://catalog.hathitrust.org/Record/000727178","HathiTrust Record")</f>
        <v/>
      </c>
      <c r="AS397">
        <f>HYPERLINK("https://creighton-primo.hosted.exlibrisgroup.com/primo-explore/search?tab=default_tab&amp;search_scope=EVERYTHING&amp;vid=01CRU&amp;lang=en_US&amp;offset=0&amp;query=any,contains,991004801579702656","Catalog Record")</f>
        <v/>
      </c>
      <c r="AT397">
        <f>HYPERLINK("http://www.worldcat.org/oclc/5219233","WorldCat Record")</f>
        <v/>
      </c>
      <c r="AU397" t="inlineStr">
        <is>
          <t>198350394:eng</t>
        </is>
      </c>
      <c r="AV397" t="inlineStr">
        <is>
          <t>5219233</t>
        </is>
      </c>
      <c r="AW397" t="inlineStr">
        <is>
          <t>991004801579702656</t>
        </is>
      </c>
      <c r="AX397" t="inlineStr">
        <is>
          <t>991004801579702656</t>
        </is>
      </c>
      <c r="AY397" t="inlineStr">
        <is>
          <t>2268347040002656</t>
        </is>
      </c>
      <c r="AZ397" t="inlineStr">
        <is>
          <t>BOOK</t>
        </is>
      </c>
      <c r="BB397" t="inlineStr">
        <is>
          <t>9780268011451</t>
        </is>
      </c>
      <c r="BC397" t="inlineStr">
        <is>
          <t>32285000654953</t>
        </is>
      </c>
      <c r="BD397" t="inlineStr">
        <is>
          <t>893901775</t>
        </is>
      </c>
    </row>
    <row r="398">
      <c r="A398" t="inlineStr">
        <is>
          <t>No</t>
        </is>
      </c>
      <c r="B398" t="inlineStr">
        <is>
          <t>QH332 .C38 2009</t>
        </is>
      </c>
      <c r="C398" t="inlineStr">
        <is>
          <t>0                      QH 0332000C  38          2009</t>
        </is>
      </c>
      <c r="D398" t="inlineStr">
        <is>
          <t>The dignity of a person : dignitas personae : with additional resources / Congregation for the Doctrine of the Faith.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Catholic Church. Congregatio pro Doctrina Fidei.</t>
        </is>
      </c>
      <c r="L398" t="inlineStr">
        <is>
          <t>Washington, D.C. : United States Conference of Catholic Bishops, 2009.</t>
        </is>
      </c>
      <c r="M398" t="inlineStr">
        <is>
          <t>2009</t>
        </is>
      </c>
      <c r="O398" t="inlineStr">
        <is>
          <t>eng</t>
        </is>
      </c>
      <c r="P398" t="inlineStr">
        <is>
          <t>dcu</t>
        </is>
      </c>
      <c r="Q398" t="inlineStr">
        <is>
          <t>United States Conference of Catholic Bishops. Publication ; no. 7-069</t>
        </is>
      </c>
      <c r="R398" t="inlineStr">
        <is>
          <t xml:space="preserve">QH </t>
        </is>
      </c>
      <c r="S398" t="n">
        <v>1</v>
      </c>
      <c r="T398" t="n">
        <v>1</v>
      </c>
      <c r="U398" t="inlineStr">
        <is>
          <t>2009-04-14</t>
        </is>
      </c>
      <c r="V398" t="inlineStr">
        <is>
          <t>2009-04-14</t>
        </is>
      </c>
      <c r="W398" t="inlineStr">
        <is>
          <t>2009-04-14</t>
        </is>
      </c>
      <c r="X398" t="inlineStr">
        <is>
          <t>2009-04-14</t>
        </is>
      </c>
      <c r="Y398" t="n">
        <v>83</v>
      </c>
      <c r="Z398" t="n">
        <v>81</v>
      </c>
      <c r="AA398" t="n">
        <v>81</v>
      </c>
      <c r="AB398" t="n">
        <v>1</v>
      </c>
      <c r="AC398" t="n">
        <v>1</v>
      </c>
      <c r="AD398" t="n">
        <v>12</v>
      </c>
      <c r="AE398" t="n">
        <v>12</v>
      </c>
      <c r="AF398" t="n">
        <v>3</v>
      </c>
      <c r="AG398" t="n">
        <v>3</v>
      </c>
      <c r="AH398" t="n">
        <v>3</v>
      </c>
      <c r="AI398" t="n">
        <v>3</v>
      </c>
      <c r="AJ398" t="n">
        <v>10</v>
      </c>
      <c r="AK398" t="n">
        <v>10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HYPERLINK("https://creighton-primo.hosted.exlibrisgroup.com/primo-explore/search?tab=default_tab&amp;search_scope=EVERYTHING&amp;vid=01CRU&amp;lang=en_US&amp;offset=0&amp;query=any,contains,991005310969702656","Catalog Record")</f>
        <v/>
      </c>
      <c r="AT398">
        <f>HYPERLINK("http://www.worldcat.org/oclc/315870134","WorldCat Record")</f>
        <v/>
      </c>
      <c r="AU398" t="inlineStr">
        <is>
          <t>9438198181:eng</t>
        </is>
      </c>
      <c r="AV398" t="inlineStr">
        <is>
          <t>315870134</t>
        </is>
      </c>
      <c r="AW398" t="inlineStr">
        <is>
          <t>991005310969702656</t>
        </is>
      </c>
      <c r="AX398" t="inlineStr">
        <is>
          <t>991005310969702656</t>
        </is>
      </c>
      <c r="AY398" t="inlineStr">
        <is>
          <t>2258224690002656</t>
        </is>
      </c>
      <c r="AZ398" t="inlineStr">
        <is>
          <t>BOOK</t>
        </is>
      </c>
      <c r="BB398" t="inlineStr">
        <is>
          <t>9781601370693</t>
        </is>
      </c>
      <c r="BC398" t="inlineStr">
        <is>
          <t>32285005514814</t>
        </is>
      </c>
      <c r="BD398" t="inlineStr">
        <is>
          <t>893332763</t>
        </is>
      </c>
    </row>
    <row r="399">
      <c r="A399" t="inlineStr">
        <is>
          <t>No</t>
        </is>
      </c>
      <c r="B399" t="inlineStr">
        <is>
          <t>QH332 .C66 1978</t>
        </is>
      </c>
      <c r="C399" t="inlineStr">
        <is>
          <t>0                      QH 0332000C  66          1978</t>
        </is>
      </c>
      <c r="D399" t="inlineStr">
        <is>
          <t>Contemporary issues in bioethics / edited, with introd. by Tom L. Beauchamp and LeRoy Walters.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Yes</t>
        </is>
      </c>
      <c r="J399" t="inlineStr">
        <is>
          <t>0</t>
        </is>
      </c>
      <c r="L399" t="inlineStr">
        <is>
          <t>Belmont, Calif. : Wadsworth Pub. Co., c1978.</t>
        </is>
      </c>
      <c r="M399" t="inlineStr">
        <is>
          <t>1978</t>
        </is>
      </c>
      <c r="O399" t="inlineStr">
        <is>
          <t>eng</t>
        </is>
      </c>
      <c r="P399" t="inlineStr">
        <is>
          <t>cau</t>
        </is>
      </c>
      <c r="R399" t="inlineStr">
        <is>
          <t xml:space="preserve">QH </t>
        </is>
      </c>
      <c r="S399" t="n">
        <v>27</v>
      </c>
      <c r="T399" t="n">
        <v>27</v>
      </c>
      <c r="U399" t="inlineStr">
        <is>
          <t>2002-01-07</t>
        </is>
      </c>
      <c r="V399" t="inlineStr">
        <is>
          <t>2002-01-07</t>
        </is>
      </c>
      <c r="W399" t="inlineStr">
        <is>
          <t>1991-12-06</t>
        </is>
      </c>
      <c r="X399" t="inlineStr">
        <is>
          <t>1991-12-06</t>
        </is>
      </c>
      <c r="Y399" t="n">
        <v>172</v>
      </c>
      <c r="Z399" t="n">
        <v>141</v>
      </c>
      <c r="AA399" t="n">
        <v>1133</v>
      </c>
      <c r="AB399" t="n">
        <v>1</v>
      </c>
      <c r="AC399" t="n">
        <v>12</v>
      </c>
      <c r="AD399" t="n">
        <v>5</v>
      </c>
      <c r="AE399" t="n">
        <v>56</v>
      </c>
      <c r="AF399" t="n">
        <v>1</v>
      </c>
      <c r="AG399" t="n">
        <v>19</v>
      </c>
      <c r="AH399" t="n">
        <v>2</v>
      </c>
      <c r="AI399" t="n">
        <v>10</v>
      </c>
      <c r="AJ399" t="n">
        <v>4</v>
      </c>
      <c r="AK399" t="n">
        <v>26</v>
      </c>
      <c r="AL399" t="n">
        <v>0</v>
      </c>
      <c r="AM399" t="n">
        <v>7</v>
      </c>
      <c r="AN399" t="n">
        <v>0</v>
      </c>
      <c r="AO399" t="n">
        <v>6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HYPERLINK("https://creighton-primo.hosted.exlibrisgroup.com/primo-explore/search?tab=default_tab&amp;search_scope=EVERYTHING&amp;vid=01CRU&amp;lang=en_US&amp;offset=0&amp;query=any,contains,991004639819702656","Catalog Record")</f>
        <v/>
      </c>
      <c r="AT399">
        <f>HYPERLINK("http://www.worldcat.org/oclc/4451216","WorldCat Record")</f>
        <v/>
      </c>
      <c r="AU399" t="inlineStr">
        <is>
          <t>364468255:eng</t>
        </is>
      </c>
      <c r="AV399" t="inlineStr">
        <is>
          <t>4451216</t>
        </is>
      </c>
      <c r="AW399" t="inlineStr">
        <is>
          <t>991004639819702656</t>
        </is>
      </c>
      <c r="AX399" t="inlineStr">
        <is>
          <t>991004639819702656</t>
        </is>
      </c>
      <c r="AY399" t="inlineStr">
        <is>
          <t>2256241410002656</t>
        </is>
      </c>
      <c r="AZ399" t="inlineStr">
        <is>
          <t>BOOK</t>
        </is>
      </c>
      <c r="BC399" t="inlineStr">
        <is>
          <t>32285000654961</t>
        </is>
      </c>
      <c r="BD399" t="inlineStr">
        <is>
          <t>893229579</t>
        </is>
      </c>
    </row>
    <row r="400">
      <c r="A400" t="inlineStr">
        <is>
          <t>No</t>
        </is>
      </c>
      <c r="B400" t="inlineStr">
        <is>
          <t>QH332 .E43 1999</t>
        </is>
      </c>
      <c r="C400" t="inlineStr">
        <is>
          <t>0                      QH 0332000E  43          1999</t>
        </is>
      </c>
      <c r="D400" t="inlineStr">
        <is>
          <t>Embodying bioethics : recent feminist advances / edited by Anne Donchin and Laura M. Purdy.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Lanham : Rowman &amp; Littlefield Publishers, c1999.</t>
        </is>
      </c>
      <c r="M400" t="inlineStr">
        <is>
          <t>1999</t>
        </is>
      </c>
      <c r="O400" t="inlineStr">
        <is>
          <t>eng</t>
        </is>
      </c>
      <c r="P400" t="inlineStr">
        <is>
          <t>mdu</t>
        </is>
      </c>
      <c r="Q400" t="inlineStr">
        <is>
          <t>New feminist perspectives series</t>
        </is>
      </c>
      <c r="R400" t="inlineStr">
        <is>
          <t xml:space="preserve">QH </t>
        </is>
      </c>
      <c r="S400" t="n">
        <v>4</v>
      </c>
      <c r="T400" t="n">
        <v>4</v>
      </c>
      <c r="U400" t="inlineStr">
        <is>
          <t>2010-06-13</t>
        </is>
      </c>
      <c r="V400" t="inlineStr">
        <is>
          <t>2010-06-13</t>
        </is>
      </c>
      <c r="W400" t="inlineStr">
        <is>
          <t>2000-02-07</t>
        </is>
      </c>
      <c r="X400" t="inlineStr">
        <is>
          <t>2000-02-07</t>
        </is>
      </c>
      <c r="Y400" t="n">
        <v>502</v>
      </c>
      <c r="Z400" t="n">
        <v>406</v>
      </c>
      <c r="AA400" t="n">
        <v>410</v>
      </c>
      <c r="AB400" t="n">
        <v>3</v>
      </c>
      <c r="AC400" t="n">
        <v>3</v>
      </c>
      <c r="AD400" t="n">
        <v>25</v>
      </c>
      <c r="AE400" t="n">
        <v>25</v>
      </c>
      <c r="AF400" t="n">
        <v>9</v>
      </c>
      <c r="AG400" t="n">
        <v>9</v>
      </c>
      <c r="AH400" t="n">
        <v>7</v>
      </c>
      <c r="AI400" t="n">
        <v>7</v>
      </c>
      <c r="AJ400" t="n">
        <v>15</v>
      </c>
      <c r="AK400" t="n">
        <v>15</v>
      </c>
      <c r="AL400" t="n">
        <v>2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HYPERLINK("http://catalog.hathitrust.org/Record/004025468","HathiTrust Record")</f>
        <v/>
      </c>
      <c r="AS400">
        <f>HYPERLINK("https://creighton-primo.hosted.exlibrisgroup.com/primo-explore/search?tab=default_tab&amp;search_scope=EVERYTHING&amp;vid=01CRU&amp;lang=en_US&amp;offset=0&amp;query=any,contains,991002949959702656","Catalog Record")</f>
        <v/>
      </c>
      <c r="AT400">
        <f>HYPERLINK("http://www.worldcat.org/oclc/39307434","WorldCat Record")</f>
        <v/>
      </c>
      <c r="AU400" t="inlineStr">
        <is>
          <t>836953050:eng</t>
        </is>
      </c>
      <c r="AV400" t="inlineStr">
        <is>
          <t>39307434</t>
        </is>
      </c>
      <c r="AW400" t="inlineStr">
        <is>
          <t>991002949959702656</t>
        </is>
      </c>
      <c r="AX400" t="inlineStr">
        <is>
          <t>991002949959702656</t>
        </is>
      </c>
      <c r="AY400" t="inlineStr">
        <is>
          <t>2255504210002656</t>
        </is>
      </c>
      <c r="AZ400" t="inlineStr">
        <is>
          <t>BOOK</t>
        </is>
      </c>
      <c r="BB400" t="inlineStr">
        <is>
          <t>9780847689248</t>
        </is>
      </c>
      <c r="BC400" t="inlineStr">
        <is>
          <t>32285003659322</t>
        </is>
      </c>
      <c r="BD400" t="inlineStr">
        <is>
          <t>893867921</t>
        </is>
      </c>
    </row>
    <row r="401">
      <c r="A401" t="inlineStr">
        <is>
          <t>No</t>
        </is>
      </c>
      <c r="B401" t="inlineStr">
        <is>
          <t>QH332 .E54 1991</t>
        </is>
      </c>
      <c r="C401" t="inlineStr">
        <is>
          <t>0                      QH 0332000E  54          1991</t>
        </is>
      </c>
      <c r="D401" t="inlineStr">
        <is>
          <t>Bioethics and secular humanism : the search for a common morality / H. Tristram Engelhardt, Jr.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Engelhardt, H. Tristram (Hugo Tristram), Jr., 1941-2018.</t>
        </is>
      </c>
      <c r="L401" t="inlineStr">
        <is>
          <t>London : SCM Press ; Philadelphia : Trinity Press International, 1991.</t>
        </is>
      </c>
      <c r="M401" t="inlineStr">
        <is>
          <t>1991</t>
        </is>
      </c>
      <c r="O401" t="inlineStr">
        <is>
          <t>eng</t>
        </is>
      </c>
      <c r="P401" t="inlineStr">
        <is>
          <t>enk</t>
        </is>
      </c>
      <c r="R401" t="inlineStr">
        <is>
          <t xml:space="preserve">QH </t>
        </is>
      </c>
      <c r="S401" t="n">
        <v>9</v>
      </c>
      <c r="T401" t="n">
        <v>11</v>
      </c>
      <c r="U401" t="inlineStr">
        <is>
          <t>2010-12-09</t>
        </is>
      </c>
      <c r="V401" t="inlineStr">
        <is>
          <t>2010-12-09</t>
        </is>
      </c>
      <c r="W401" t="inlineStr">
        <is>
          <t>1992-11-19</t>
        </is>
      </c>
      <c r="X401" t="inlineStr">
        <is>
          <t>2009-10-27</t>
        </is>
      </c>
      <c r="Y401" t="n">
        <v>404</v>
      </c>
      <c r="Z401" t="n">
        <v>302</v>
      </c>
      <c r="AA401" t="n">
        <v>318</v>
      </c>
      <c r="AB401" t="n">
        <v>4</v>
      </c>
      <c r="AC401" t="n">
        <v>5</v>
      </c>
      <c r="AD401" t="n">
        <v>24</v>
      </c>
      <c r="AE401" t="n">
        <v>26</v>
      </c>
      <c r="AF401" t="n">
        <v>9</v>
      </c>
      <c r="AG401" t="n">
        <v>10</v>
      </c>
      <c r="AH401" t="n">
        <v>5</v>
      </c>
      <c r="AI401" t="n">
        <v>6</v>
      </c>
      <c r="AJ401" t="n">
        <v>14</v>
      </c>
      <c r="AK401" t="n">
        <v>14</v>
      </c>
      <c r="AL401" t="n">
        <v>2</v>
      </c>
      <c r="AM401" t="n">
        <v>3</v>
      </c>
      <c r="AN401" t="n">
        <v>1</v>
      </c>
      <c r="AO401" t="n">
        <v>1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HYPERLINK("http://catalog.hathitrust.org/Record/002487530","HathiTrust Record")</f>
        <v/>
      </c>
      <c r="AS401">
        <f>HYPERLINK("https://creighton-primo.hosted.exlibrisgroup.com/primo-explore/search?tab=default_tab&amp;search_scope=EVERYTHING&amp;vid=01CRU&amp;lang=en_US&amp;offset=0&amp;query=any,contains,991001687329702656","Catalog Record")</f>
        <v/>
      </c>
      <c r="AT401">
        <f>HYPERLINK("http://www.worldcat.org/oclc/22734281","WorldCat Record")</f>
        <v/>
      </c>
      <c r="AU401" t="inlineStr">
        <is>
          <t>836753147:eng</t>
        </is>
      </c>
      <c r="AV401" t="inlineStr">
        <is>
          <t>22734281</t>
        </is>
      </c>
      <c r="AW401" t="inlineStr">
        <is>
          <t>991001687329702656</t>
        </is>
      </c>
      <c r="AX401" t="inlineStr">
        <is>
          <t>991001687329702656</t>
        </is>
      </c>
      <c r="AY401" t="inlineStr">
        <is>
          <t>2254997000002656</t>
        </is>
      </c>
      <c r="AZ401" t="inlineStr">
        <is>
          <t>BOOK</t>
        </is>
      </c>
      <c r="BB401" t="inlineStr">
        <is>
          <t>9780334024958</t>
        </is>
      </c>
      <c r="BC401" t="inlineStr">
        <is>
          <t>32285001363448</t>
        </is>
      </c>
      <c r="BD401" t="inlineStr">
        <is>
          <t>893696956</t>
        </is>
      </c>
    </row>
    <row r="402">
      <c r="A402" t="inlineStr">
        <is>
          <t>No</t>
        </is>
      </c>
      <c r="B402" t="inlineStr">
        <is>
          <t>QH332 .E73 1993</t>
        </is>
      </c>
      <c r="C402" t="inlineStr">
        <is>
          <t>0                      QH 0332000E  73          1993</t>
        </is>
      </c>
      <c r="D402" t="inlineStr">
        <is>
          <t>The Ethical dimensions of the biological sciences / edited by Ruth Ellen Bulger, Elizabeth Heitman, Stanley Joel Reiser.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 ; New York : Cambridge University Press, 1993.</t>
        </is>
      </c>
      <c r="M402" t="inlineStr">
        <is>
          <t>1993</t>
        </is>
      </c>
      <c r="O402" t="inlineStr">
        <is>
          <t>eng</t>
        </is>
      </c>
      <c r="P402" t="inlineStr">
        <is>
          <t>enk</t>
        </is>
      </c>
      <c r="R402" t="inlineStr">
        <is>
          <t xml:space="preserve">QH </t>
        </is>
      </c>
      <c r="S402" t="n">
        <v>34</v>
      </c>
      <c r="T402" t="n">
        <v>34</v>
      </c>
      <c r="U402" t="inlineStr">
        <is>
          <t>2003-11-12</t>
        </is>
      </c>
      <c r="V402" t="inlineStr">
        <is>
          <t>2003-11-12</t>
        </is>
      </c>
      <c r="W402" t="inlineStr">
        <is>
          <t>1994-03-22</t>
        </is>
      </c>
      <c r="X402" t="inlineStr">
        <is>
          <t>1994-03-22</t>
        </is>
      </c>
      <c r="Y402" t="n">
        <v>509</v>
      </c>
      <c r="Z402" t="n">
        <v>387</v>
      </c>
      <c r="AA402" t="n">
        <v>388</v>
      </c>
      <c r="AB402" t="n">
        <v>3</v>
      </c>
      <c r="AC402" t="n">
        <v>3</v>
      </c>
      <c r="AD402" t="n">
        <v>20</v>
      </c>
      <c r="AE402" t="n">
        <v>20</v>
      </c>
      <c r="AF402" t="n">
        <v>7</v>
      </c>
      <c r="AG402" t="n">
        <v>7</v>
      </c>
      <c r="AH402" t="n">
        <v>4</v>
      </c>
      <c r="AI402" t="n">
        <v>4</v>
      </c>
      <c r="AJ402" t="n">
        <v>8</v>
      </c>
      <c r="AK402" t="n">
        <v>8</v>
      </c>
      <c r="AL402" t="n">
        <v>2</v>
      </c>
      <c r="AM402" t="n">
        <v>2</v>
      </c>
      <c r="AN402" t="n">
        <v>2</v>
      </c>
      <c r="AO402" t="n">
        <v>2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HYPERLINK("http://catalog.hathitrust.org/Record/002736448","HathiTrust Record")</f>
        <v/>
      </c>
      <c r="AS402">
        <f>HYPERLINK("https://creighton-primo.hosted.exlibrisgroup.com/primo-explore/search?tab=default_tab&amp;search_scope=EVERYTHING&amp;vid=01CRU&amp;lang=en_US&amp;offset=0&amp;query=any,contains,991002054259702656","Catalog Record")</f>
        <v/>
      </c>
      <c r="AT402">
        <f>HYPERLINK("http://www.worldcat.org/oclc/26256074","WorldCat Record")</f>
        <v/>
      </c>
      <c r="AU402" t="inlineStr">
        <is>
          <t>350183274:eng</t>
        </is>
      </c>
      <c r="AV402" t="inlineStr">
        <is>
          <t>26256074</t>
        </is>
      </c>
      <c r="AW402" t="inlineStr">
        <is>
          <t>991002054259702656</t>
        </is>
      </c>
      <c r="AX402" t="inlineStr">
        <is>
          <t>991002054259702656</t>
        </is>
      </c>
      <c r="AY402" t="inlineStr">
        <is>
          <t>2270821000002656</t>
        </is>
      </c>
      <c r="AZ402" t="inlineStr">
        <is>
          <t>BOOK</t>
        </is>
      </c>
      <c r="BB402" t="inlineStr">
        <is>
          <t>9780521434638</t>
        </is>
      </c>
      <c r="BC402" t="inlineStr">
        <is>
          <t>32285001857209</t>
        </is>
      </c>
      <c r="BD402" t="inlineStr">
        <is>
          <t>893697283</t>
        </is>
      </c>
    </row>
    <row r="403">
      <c r="A403" t="inlineStr">
        <is>
          <t>No</t>
        </is>
      </c>
      <c r="B403" t="inlineStr">
        <is>
          <t>QH332 .H33</t>
        </is>
      </c>
      <c r="C403" t="inlineStr">
        <is>
          <t>0                      QH 0332000H  33</t>
        </is>
      </c>
      <c r="D403" t="inlineStr">
        <is>
          <t>Ethics of manipulation : issues in medicine, behavior control and genetics / Bernard Häring.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No</t>
        </is>
      </c>
      <c r="J403" t="inlineStr">
        <is>
          <t>0</t>
        </is>
      </c>
      <c r="K403" t="inlineStr">
        <is>
          <t>Häring, Bernhard, 1912-1998.</t>
        </is>
      </c>
      <c r="L403" t="inlineStr">
        <is>
          <t>New York : Seabury Press, c1975.</t>
        </is>
      </c>
      <c r="M403" t="inlineStr">
        <is>
          <t>1975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QH </t>
        </is>
      </c>
      <c r="S403" t="n">
        <v>19</v>
      </c>
      <c r="T403" t="n">
        <v>32</v>
      </c>
      <c r="U403" t="inlineStr">
        <is>
          <t>2002-04-06</t>
        </is>
      </c>
      <c r="V403" t="inlineStr">
        <is>
          <t>2002-04-06</t>
        </is>
      </c>
      <c r="W403" t="inlineStr">
        <is>
          <t>1992-04-16</t>
        </is>
      </c>
      <c r="X403" t="inlineStr">
        <is>
          <t>1992-04-16</t>
        </is>
      </c>
      <c r="Y403" t="n">
        <v>705</v>
      </c>
      <c r="Z403" t="n">
        <v>639</v>
      </c>
      <c r="AA403" t="n">
        <v>646</v>
      </c>
      <c r="AB403" t="n">
        <v>4</v>
      </c>
      <c r="AC403" t="n">
        <v>4</v>
      </c>
      <c r="AD403" t="n">
        <v>35</v>
      </c>
      <c r="AE403" t="n">
        <v>35</v>
      </c>
      <c r="AF403" t="n">
        <v>13</v>
      </c>
      <c r="AG403" t="n">
        <v>13</v>
      </c>
      <c r="AH403" t="n">
        <v>4</v>
      </c>
      <c r="AI403" t="n">
        <v>4</v>
      </c>
      <c r="AJ403" t="n">
        <v>23</v>
      </c>
      <c r="AK403" t="n">
        <v>23</v>
      </c>
      <c r="AL403" t="n">
        <v>2</v>
      </c>
      <c r="AM403" t="n">
        <v>2</v>
      </c>
      <c r="AN403" t="n">
        <v>3</v>
      </c>
      <c r="AO403" t="n">
        <v>3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HYPERLINK("http://catalog.hathitrust.org/Record/000708620","HathiTrust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HYPERLINK("https://creighton-primo.hosted.exlibrisgroup.com/primo-explore/search?tab=default_tab&amp;search_scope=EVERYTHING&amp;vid=01CRU&amp;lang=en_US&amp;offset=0&amp;query=any,contains,991001789459702656","Catalog Record")</f>
        <v/>
      </c>
      <c r="AT403">
        <f>HYPERLINK("http://www.worldcat.org/oclc/1958313","WorldCat Record")</f>
        <v/>
      </c>
      <c r="AU403" t="inlineStr">
        <is>
          <t>2625016:eng</t>
        </is>
      </c>
      <c r="AV403" t="inlineStr">
        <is>
          <t>1958313</t>
        </is>
      </c>
      <c r="AW403" t="inlineStr">
        <is>
          <t>991001789459702656</t>
        </is>
      </c>
      <c r="AX403" t="inlineStr">
        <is>
          <t>991001789459702656</t>
        </is>
      </c>
      <c r="AY403" t="inlineStr">
        <is>
          <t>2265560540002656</t>
        </is>
      </c>
      <c r="AZ403" t="inlineStr">
        <is>
          <t>BOOK</t>
        </is>
      </c>
      <c r="BC403" t="inlineStr">
        <is>
          <t>32285001053429</t>
        </is>
      </c>
      <c r="BD403" t="inlineStr">
        <is>
          <t>893414515</t>
        </is>
      </c>
    </row>
    <row r="404">
      <c r="A404" t="inlineStr">
        <is>
          <t>No</t>
        </is>
      </c>
      <c r="B404" t="inlineStr">
        <is>
          <t>QH332 .H85</t>
        </is>
      </c>
      <c r="C404" t="inlineStr">
        <is>
          <t>0                      QH 0332000H  85</t>
        </is>
      </c>
      <c r="D404" t="inlineStr">
        <is>
          <t>Human life : controversies and concerns / edited by Bruce Bohle.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H. W. Wilson, 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Q404" t="inlineStr">
        <is>
          <t>The Reference shelf ; v. 51, no. 5</t>
        </is>
      </c>
      <c r="R404" t="inlineStr">
        <is>
          <t xml:space="preserve">QH </t>
        </is>
      </c>
      <c r="S404" t="n">
        <v>9</v>
      </c>
      <c r="T404" t="n">
        <v>9</v>
      </c>
      <c r="U404" t="inlineStr">
        <is>
          <t>1998-10-01</t>
        </is>
      </c>
      <c r="V404" t="inlineStr">
        <is>
          <t>1998-10-01</t>
        </is>
      </c>
      <c r="W404" t="inlineStr">
        <is>
          <t>1992-03-26</t>
        </is>
      </c>
      <c r="X404" t="inlineStr">
        <is>
          <t>1992-03-26</t>
        </is>
      </c>
      <c r="Y404" t="n">
        <v>1196</v>
      </c>
      <c r="Z404" t="n">
        <v>1149</v>
      </c>
      <c r="AA404" t="n">
        <v>1156</v>
      </c>
      <c r="AB404" t="n">
        <v>10</v>
      </c>
      <c r="AC404" t="n">
        <v>10</v>
      </c>
      <c r="AD404" t="n">
        <v>34</v>
      </c>
      <c r="AE404" t="n">
        <v>34</v>
      </c>
      <c r="AF404" t="n">
        <v>11</v>
      </c>
      <c r="AG404" t="n">
        <v>11</v>
      </c>
      <c r="AH404" t="n">
        <v>3</v>
      </c>
      <c r="AI404" t="n">
        <v>3</v>
      </c>
      <c r="AJ404" t="n">
        <v>20</v>
      </c>
      <c r="AK404" t="n">
        <v>20</v>
      </c>
      <c r="AL404" t="n">
        <v>7</v>
      </c>
      <c r="AM404" t="n">
        <v>7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HYPERLINK("http://catalog.hathitrust.org/Record/000759803","HathiTrust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HYPERLINK("https://creighton-primo.hosted.exlibrisgroup.com/primo-explore/search?tab=default_tab&amp;search_scope=EVERYTHING&amp;vid=01CRU&amp;lang=en_US&amp;offset=0&amp;query=any,contains,991004856119702656","Catalog Record")</f>
        <v/>
      </c>
      <c r="AT404">
        <f>HYPERLINK("http://www.worldcat.org/oclc/5675068","WorldCat Record")</f>
        <v/>
      </c>
      <c r="AU404" t="inlineStr">
        <is>
          <t>867498319:eng</t>
        </is>
      </c>
      <c r="AV404" t="inlineStr">
        <is>
          <t>5675068</t>
        </is>
      </c>
      <c r="AW404" t="inlineStr">
        <is>
          <t>991004856119702656</t>
        </is>
      </c>
      <c r="AX404" t="inlineStr">
        <is>
          <t>991004856119702656</t>
        </is>
      </c>
      <c r="AY404" t="inlineStr">
        <is>
          <t>2260645580002656</t>
        </is>
      </c>
      <c r="AZ404" t="inlineStr">
        <is>
          <t>BOOK</t>
        </is>
      </c>
      <c r="BB404" t="inlineStr">
        <is>
          <t>9780824206352</t>
        </is>
      </c>
      <c r="BC404" t="inlineStr">
        <is>
          <t>32285001040863</t>
        </is>
      </c>
      <c r="BD404" t="inlineStr">
        <is>
          <t>893895571</t>
        </is>
      </c>
    </row>
    <row r="405">
      <c r="A405" t="inlineStr">
        <is>
          <t>No</t>
        </is>
      </c>
      <c r="B405" t="inlineStr">
        <is>
          <t>QH332 .J66 1985</t>
        </is>
      </c>
      <c r="C405" t="inlineStr">
        <is>
          <t>0                      QH 0332000J  66          1985</t>
        </is>
      </c>
      <c r="D405" t="inlineStr">
        <is>
          <t>Brave new people : ethical issues at the commencement of life / D. Gareth Jones.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Jones, D. Gareth (David Gareth), 1940-</t>
        </is>
      </c>
      <c r="L405" t="inlineStr">
        <is>
          <t>Leicester, England : Inter-Varsity Press ; Grand Rapids, Mich. : Eerdmans, 1985.</t>
        </is>
      </c>
      <c r="M405" t="inlineStr">
        <is>
          <t>1985</t>
        </is>
      </c>
      <c r="N405" t="inlineStr">
        <is>
          <t>Rev. ed.</t>
        </is>
      </c>
      <c r="O405" t="inlineStr">
        <is>
          <t>eng</t>
        </is>
      </c>
      <c r="P405" t="inlineStr">
        <is>
          <t>enk</t>
        </is>
      </c>
      <c r="R405" t="inlineStr">
        <is>
          <t xml:space="preserve">QH </t>
        </is>
      </c>
      <c r="S405" t="n">
        <v>17</v>
      </c>
      <c r="T405" t="n">
        <v>17</v>
      </c>
      <c r="U405" t="inlineStr">
        <is>
          <t>1997-03-27</t>
        </is>
      </c>
      <c r="V405" t="inlineStr">
        <is>
          <t>1997-03-27</t>
        </is>
      </c>
      <c r="W405" t="inlineStr">
        <is>
          <t>1993-03-29</t>
        </is>
      </c>
      <c r="X405" t="inlineStr">
        <is>
          <t>1993-03-29</t>
        </is>
      </c>
      <c r="Y405" t="n">
        <v>310</v>
      </c>
      <c r="Z405" t="n">
        <v>278</v>
      </c>
      <c r="AA405" t="n">
        <v>359</v>
      </c>
      <c r="AB405" t="n">
        <v>2</v>
      </c>
      <c r="AC405" t="n">
        <v>2</v>
      </c>
      <c r="AD405" t="n">
        <v>10</v>
      </c>
      <c r="AE405" t="n">
        <v>14</v>
      </c>
      <c r="AF405" t="n">
        <v>3</v>
      </c>
      <c r="AG405" t="n">
        <v>5</v>
      </c>
      <c r="AH405" t="n">
        <v>2</v>
      </c>
      <c r="AI405" t="n">
        <v>2</v>
      </c>
      <c r="AJ405" t="n">
        <v>5</v>
      </c>
      <c r="AK405" t="n">
        <v>9</v>
      </c>
      <c r="AL405" t="n">
        <v>1</v>
      </c>
      <c r="AM405" t="n">
        <v>1</v>
      </c>
      <c r="AN405" t="n">
        <v>2</v>
      </c>
      <c r="AO405" t="n">
        <v>2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HYPERLINK("https://creighton-primo.hosted.exlibrisgroup.com/primo-explore/search?tab=default_tab&amp;search_scope=EVERYTHING&amp;vid=01CRU&amp;lang=en_US&amp;offset=0&amp;query=any,contains,991000605279702656","Catalog Record")</f>
        <v/>
      </c>
      <c r="AT405">
        <f>HYPERLINK("http://www.worldcat.org/oclc/11866010","WorldCat Record")</f>
        <v/>
      </c>
      <c r="AU405" t="inlineStr">
        <is>
          <t>3303893:eng</t>
        </is>
      </c>
      <c r="AV405" t="inlineStr">
        <is>
          <t>11866010</t>
        </is>
      </c>
      <c r="AW405" t="inlineStr">
        <is>
          <t>991000605279702656</t>
        </is>
      </c>
      <c r="AX405" t="inlineStr">
        <is>
          <t>991000605279702656</t>
        </is>
      </c>
      <c r="AY405" t="inlineStr">
        <is>
          <t>2264490200002656</t>
        </is>
      </c>
      <c r="AZ405" t="inlineStr">
        <is>
          <t>BOOK</t>
        </is>
      </c>
      <c r="BB405" t="inlineStr">
        <is>
          <t>9780802800701</t>
        </is>
      </c>
      <c r="BC405" t="inlineStr">
        <is>
          <t>32285001553188</t>
        </is>
      </c>
      <c r="BD405" t="inlineStr">
        <is>
          <t>893790676</t>
        </is>
      </c>
    </row>
    <row r="406">
      <c r="A406" t="inlineStr">
        <is>
          <t>No</t>
        </is>
      </c>
      <c r="B406" t="inlineStr">
        <is>
          <t>QH332 .L38 1983</t>
        </is>
      </c>
      <c r="C406" t="inlineStr">
        <is>
          <t>0                      QH 0332000L  38          1983</t>
        </is>
      </c>
      <c r="D406" t="inlineStr">
        <is>
          <t>Perspectives in bioethics / by Ronald D. Lawler, William E. May.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Lawler, Ronald David, 1926-</t>
        </is>
      </c>
      <c r="L406" t="inlineStr">
        <is>
          <t>[Cromwell, Conn.] : Pope John Paul II Bioethics Center ; [New Britain, CT : Distributors, Mariel Publications, c1983]</t>
        </is>
      </c>
      <c r="M406" t="inlineStr">
        <is>
          <t>1983</t>
        </is>
      </c>
      <c r="O406" t="inlineStr">
        <is>
          <t>eng</t>
        </is>
      </c>
      <c r="P406" t="inlineStr">
        <is>
          <t>ctu</t>
        </is>
      </c>
      <c r="Q406" t="inlineStr">
        <is>
          <t>Pope John Paul II lecture series in bioethics ; v. 1</t>
        </is>
      </c>
      <c r="R406" t="inlineStr">
        <is>
          <t xml:space="preserve">QH </t>
        </is>
      </c>
      <c r="S406" t="n">
        <v>9</v>
      </c>
      <c r="T406" t="n">
        <v>9</v>
      </c>
      <c r="U406" t="inlineStr">
        <is>
          <t>1998-11-03</t>
        </is>
      </c>
      <c r="V406" t="inlineStr">
        <is>
          <t>1998-11-03</t>
        </is>
      </c>
      <c r="W406" t="inlineStr">
        <is>
          <t>1993-03-29</t>
        </is>
      </c>
      <c r="X406" t="inlineStr">
        <is>
          <t>1993-03-29</t>
        </is>
      </c>
      <c r="Y406" t="n">
        <v>81</v>
      </c>
      <c r="Z406" t="n">
        <v>69</v>
      </c>
      <c r="AA406" t="n">
        <v>70</v>
      </c>
      <c r="AB406" t="n">
        <v>1</v>
      </c>
      <c r="AC406" t="n">
        <v>1</v>
      </c>
      <c r="AD406" t="n">
        <v>12</v>
      </c>
      <c r="AE406" t="n">
        <v>12</v>
      </c>
      <c r="AF406" t="n">
        <v>2</v>
      </c>
      <c r="AG406" t="n">
        <v>2</v>
      </c>
      <c r="AH406" t="n">
        <v>4</v>
      </c>
      <c r="AI406" t="n">
        <v>4</v>
      </c>
      <c r="AJ406" t="n">
        <v>9</v>
      </c>
      <c r="AK406" t="n">
        <v>9</v>
      </c>
      <c r="AL406" t="n">
        <v>0</v>
      </c>
      <c r="AM406" t="n">
        <v>0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HYPERLINK("http://catalog.hathitrust.org/Record/002200054","HathiTrust Record")</f>
        <v/>
      </c>
      <c r="AS406">
        <f>HYPERLINK("https://creighton-primo.hosted.exlibrisgroup.com/primo-explore/search?tab=default_tab&amp;search_scope=EVERYTHING&amp;vid=01CRU&amp;lang=en_US&amp;offset=0&amp;query=any,contains,991000410459702656","Catalog Record")</f>
        <v/>
      </c>
      <c r="AT406">
        <f>HYPERLINK("http://www.worldcat.org/oclc/10710431","WorldCat Record")</f>
        <v/>
      </c>
      <c r="AU406" t="inlineStr">
        <is>
          <t>2946244:eng</t>
        </is>
      </c>
      <c r="AV406" t="inlineStr">
        <is>
          <t>10710431</t>
        </is>
      </c>
      <c r="AW406" t="inlineStr">
        <is>
          <t>991000410459702656</t>
        </is>
      </c>
      <c r="AX406" t="inlineStr">
        <is>
          <t>991000410459702656</t>
        </is>
      </c>
      <c r="AY406" t="inlineStr">
        <is>
          <t>2261837340002656</t>
        </is>
      </c>
      <c r="AZ406" t="inlineStr">
        <is>
          <t>BOOK</t>
        </is>
      </c>
      <c r="BB406" t="inlineStr">
        <is>
          <t>9780910919005</t>
        </is>
      </c>
      <c r="BC406" t="inlineStr">
        <is>
          <t>32285001553196</t>
        </is>
      </c>
      <c r="BD406" t="inlineStr">
        <is>
          <t>893496197</t>
        </is>
      </c>
    </row>
    <row r="407">
      <c r="A407" t="inlineStr">
        <is>
          <t>No</t>
        </is>
      </c>
      <c r="B407" t="inlineStr">
        <is>
          <t>QH332 .L53</t>
        </is>
      </c>
      <c r="C407" t="inlineStr">
        <is>
          <t>0                      QH 0332000L  53</t>
        </is>
      </c>
      <c r="D407" t="inlineStr">
        <is>
          <t>Life or death--who controls? / Edited by Nancy C. Ostheimer, John M. Ostheimer.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Springer Pub. Co.,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QH </t>
        </is>
      </c>
      <c r="S407" t="n">
        <v>8</v>
      </c>
      <c r="T407" t="n">
        <v>8</v>
      </c>
      <c r="U407" t="inlineStr">
        <is>
          <t>2008-03-12</t>
        </is>
      </c>
      <c r="V407" t="inlineStr">
        <is>
          <t>2008-03-12</t>
        </is>
      </c>
      <c r="W407" t="inlineStr">
        <is>
          <t>1994-12-12</t>
        </is>
      </c>
      <c r="X407" t="inlineStr">
        <is>
          <t>1994-12-12</t>
        </is>
      </c>
      <c r="Y407" t="n">
        <v>873</v>
      </c>
      <c r="Z407" t="n">
        <v>779</v>
      </c>
      <c r="AA407" t="n">
        <v>786</v>
      </c>
      <c r="AB407" t="n">
        <v>6</v>
      </c>
      <c r="AC407" t="n">
        <v>6</v>
      </c>
      <c r="AD407" t="n">
        <v>30</v>
      </c>
      <c r="AE407" t="n">
        <v>30</v>
      </c>
      <c r="AF407" t="n">
        <v>10</v>
      </c>
      <c r="AG407" t="n">
        <v>10</v>
      </c>
      <c r="AH407" t="n">
        <v>6</v>
      </c>
      <c r="AI407" t="n">
        <v>6</v>
      </c>
      <c r="AJ407" t="n">
        <v>13</v>
      </c>
      <c r="AK407" t="n">
        <v>13</v>
      </c>
      <c r="AL407" t="n">
        <v>3</v>
      </c>
      <c r="AM407" t="n">
        <v>3</v>
      </c>
      <c r="AN407" t="n">
        <v>3</v>
      </c>
      <c r="AO407" t="n">
        <v>3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HYPERLINK("http://catalog.hathitrust.org/Record/000038686","HathiTrust Record")</f>
        <v/>
      </c>
      <c r="AS407">
        <f>HYPERLINK("https://creighton-primo.hosted.exlibrisgroup.com/primo-explore/search?tab=default_tab&amp;search_scope=EVERYTHING&amp;vid=01CRU&amp;lang=en_US&amp;offset=0&amp;query=any,contains,991003884039702656","Catalog Record")</f>
        <v/>
      </c>
      <c r="AT407">
        <f>HYPERLINK("http://www.worldcat.org/oclc/1733502","WorldCat Record")</f>
        <v/>
      </c>
      <c r="AU407" t="inlineStr">
        <is>
          <t>354170999:eng</t>
        </is>
      </c>
      <c r="AV407" t="inlineStr">
        <is>
          <t>1733502</t>
        </is>
      </c>
      <c r="AW407" t="inlineStr">
        <is>
          <t>991003884039702656</t>
        </is>
      </c>
      <c r="AX407" t="inlineStr">
        <is>
          <t>991003884039702656</t>
        </is>
      </c>
      <c r="AY407" t="inlineStr">
        <is>
          <t>2256838150002656</t>
        </is>
      </c>
      <c r="AZ407" t="inlineStr">
        <is>
          <t>BOOK</t>
        </is>
      </c>
      <c r="BB407" t="inlineStr">
        <is>
          <t>9780826120205</t>
        </is>
      </c>
      <c r="BC407" t="inlineStr">
        <is>
          <t>32285001981397</t>
        </is>
      </c>
      <c r="BD407" t="inlineStr">
        <is>
          <t>893343163</t>
        </is>
      </c>
    </row>
    <row r="408">
      <c r="A408" t="inlineStr">
        <is>
          <t>No</t>
        </is>
      </c>
      <c r="B408" t="inlineStr">
        <is>
          <t>QH332 .M34 1982</t>
        </is>
      </c>
      <c r="C408" t="inlineStr">
        <is>
          <t>0                      QH 0332000M  34          1982</t>
        </is>
      </c>
      <c r="D408" t="inlineStr">
        <is>
          <t>Bioethics--a parish resource / by William F. Maestri ; with foreword by Philip M. Hannan.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Maestri, William.</t>
        </is>
      </c>
      <c r="L408" t="inlineStr">
        <is>
          <t>Washington, D.C. : University Press of America,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dcu</t>
        </is>
      </c>
      <c r="R408" t="inlineStr">
        <is>
          <t xml:space="preserve">QH </t>
        </is>
      </c>
      <c r="S408" t="n">
        <v>4</v>
      </c>
      <c r="T408" t="n">
        <v>4</v>
      </c>
      <c r="U408" t="inlineStr">
        <is>
          <t>1997-05-02</t>
        </is>
      </c>
      <c r="V408" t="inlineStr">
        <is>
          <t>1997-05-02</t>
        </is>
      </c>
      <c r="W408" t="inlineStr">
        <is>
          <t>1992-09-09</t>
        </is>
      </c>
      <c r="X408" t="inlineStr">
        <is>
          <t>1992-09-09</t>
        </is>
      </c>
      <c r="Y408" t="n">
        <v>106</v>
      </c>
      <c r="Z408" t="n">
        <v>93</v>
      </c>
      <c r="AA408" t="n">
        <v>95</v>
      </c>
      <c r="AB408" t="n">
        <v>1</v>
      </c>
      <c r="AC408" t="n">
        <v>1</v>
      </c>
      <c r="AD408" t="n">
        <v>6</v>
      </c>
      <c r="AE408" t="n">
        <v>6</v>
      </c>
      <c r="AF408" t="n">
        <v>1</v>
      </c>
      <c r="AG408" t="n">
        <v>1</v>
      </c>
      <c r="AH408" t="n">
        <v>0</v>
      </c>
      <c r="AI408" t="n">
        <v>0</v>
      </c>
      <c r="AJ408" t="n">
        <v>6</v>
      </c>
      <c r="AK408" t="n">
        <v>6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HYPERLINK("http://catalog.hathitrust.org/Record/008000533","HathiTrust Record")</f>
        <v/>
      </c>
      <c r="AS408">
        <f>HYPERLINK("https://creighton-primo.hosted.exlibrisgroup.com/primo-explore/search?tab=default_tab&amp;search_scope=EVERYTHING&amp;vid=01CRU&amp;lang=en_US&amp;offset=0&amp;query=any,contains,991005190189702656","Catalog Record")</f>
        <v/>
      </c>
      <c r="AT408">
        <f>HYPERLINK("http://www.worldcat.org/oclc/7998211","WorldCat Record")</f>
        <v/>
      </c>
      <c r="AU408" t="inlineStr">
        <is>
          <t>2220957735:eng</t>
        </is>
      </c>
      <c r="AV408" t="inlineStr">
        <is>
          <t>7998211</t>
        </is>
      </c>
      <c r="AW408" t="inlineStr">
        <is>
          <t>991005190189702656</t>
        </is>
      </c>
      <c r="AX408" t="inlineStr">
        <is>
          <t>991005190189702656</t>
        </is>
      </c>
      <c r="AY408" t="inlineStr">
        <is>
          <t>2258560210002656</t>
        </is>
      </c>
      <c r="AZ408" t="inlineStr">
        <is>
          <t>BOOK</t>
        </is>
      </c>
      <c r="BB408" t="inlineStr">
        <is>
          <t>9780819121714</t>
        </is>
      </c>
      <c r="BC408" t="inlineStr">
        <is>
          <t>32285001296903</t>
        </is>
      </c>
      <c r="BD408" t="inlineStr">
        <is>
          <t>893889821</t>
        </is>
      </c>
    </row>
    <row r="409">
      <c r="A409" t="inlineStr">
        <is>
          <t>No</t>
        </is>
      </c>
      <c r="B409" t="inlineStr">
        <is>
          <t>QH332 .N49 2001</t>
        </is>
      </c>
      <c r="C409" t="inlineStr">
        <is>
          <t>0                      QH 0332000N  49          2001</t>
        </is>
      </c>
      <c r="D409" t="inlineStr">
        <is>
          <t>New dimensions in bioethics : science, ethics, and the formulation of public policy / edited by Arthur W. Galston, Emily G. Shurr.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Boston : Kluwer Academic, c2001.</t>
        </is>
      </c>
      <c r="M409" t="inlineStr">
        <is>
          <t>2001</t>
        </is>
      </c>
      <c r="O409" t="inlineStr">
        <is>
          <t>eng</t>
        </is>
      </c>
      <c r="P409" t="inlineStr">
        <is>
          <t>mau</t>
        </is>
      </c>
      <c r="R409" t="inlineStr">
        <is>
          <t xml:space="preserve">QH </t>
        </is>
      </c>
      <c r="S409" t="n">
        <v>3</v>
      </c>
      <c r="T409" t="n">
        <v>3</v>
      </c>
      <c r="U409" t="inlineStr">
        <is>
          <t>2002-01-07</t>
        </is>
      </c>
      <c r="V409" t="inlineStr">
        <is>
          <t>2002-01-07</t>
        </is>
      </c>
      <c r="W409" t="inlineStr">
        <is>
          <t>2001-03-05</t>
        </is>
      </c>
      <c r="X409" t="inlineStr">
        <is>
          <t>2001-03-05</t>
        </is>
      </c>
      <c r="Y409" t="n">
        <v>193</v>
      </c>
      <c r="Z409" t="n">
        <v>145</v>
      </c>
      <c r="AA409" t="n">
        <v>165</v>
      </c>
      <c r="AB409" t="n">
        <v>2</v>
      </c>
      <c r="AC409" t="n">
        <v>2</v>
      </c>
      <c r="AD409" t="n">
        <v>11</v>
      </c>
      <c r="AE409" t="n">
        <v>14</v>
      </c>
      <c r="AF409" t="n">
        <v>4</v>
      </c>
      <c r="AG409" t="n">
        <v>6</v>
      </c>
      <c r="AH409" t="n">
        <v>3</v>
      </c>
      <c r="AI409" t="n">
        <v>4</v>
      </c>
      <c r="AJ409" t="n">
        <v>7</v>
      </c>
      <c r="AK409" t="n">
        <v>9</v>
      </c>
      <c r="AL409" t="n">
        <v>1</v>
      </c>
      <c r="AM409" t="n">
        <v>1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HYPERLINK("https://creighton-primo.hosted.exlibrisgroup.com/primo-explore/search?tab=default_tab&amp;search_scope=EVERYTHING&amp;vid=01CRU&amp;lang=en_US&amp;offset=0&amp;query=any,contains,991003489329702656","Catalog Record")</f>
        <v/>
      </c>
      <c r="AT409">
        <f>HYPERLINK("http://www.worldcat.org/oclc/45087205","WorldCat Record")</f>
        <v/>
      </c>
      <c r="AU409" t="inlineStr">
        <is>
          <t>837079699:eng</t>
        </is>
      </c>
      <c r="AV409" t="inlineStr">
        <is>
          <t>45087205</t>
        </is>
      </c>
      <c r="AW409" t="inlineStr">
        <is>
          <t>991003489329702656</t>
        </is>
      </c>
      <c r="AX409" t="inlineStr">
        <is>
          <t>991003489329702656</t>
        </is>
      </c>
      <c r="AY409" t="inlineStr">
        <is>
          <t>2266549550002656</t>
        </is>
      </c>
      <c r="AZ409" t="inlineStr">
        <is>
          <t>BOOK</t>
        </is>
      </c>
      <c r="BB409" t="inlineStr">
        <is>
          <t>9780792372493</t>
        </is>
      </c>
      <c r="BC409" t="inlineStr">
        <is>
          <t>32285004299185</t>
        </is>
      </c>
      <c r="BD409" t="inlineStr">
        <is>
          <t>893874800</t>
        </is>
      </c>
    </row>
    <row r="410">
      <c r="A410" t="inlineStr">
        <is>
          <t>No</t>
        </is>
      </c>
      <c r="B410" t="inlineStr">
        <is>
          <t>QH332 .S472 1982</t>
        </is>
      </c>
      <c r="C410" t="inlineStr">
        <is>
          <t>0                      QH 0332000S  472         1982</t>
        </is>
      </c>
      <c r="D410" t="inlineStr">
        <is>
          <t>Law and bioethics : texts with commentary on major U.S. court decisions / edited by Thomas A. Shannon and Jo Ann Manfra.</t>
        </is>
      </c>
      <c r="F410" t="inlineStr">
        <is>
          <t>No</t>
        </is>
      </c>
      <c r="G410" t="inlineStr">
        <is>
          <t>1</t>
        </is>
      </c>
      <c r="H410" t="inlineStr">
        <is>
          <t>Yes</t>
        </is>
      </c>
      <c r="I410" t="inlineStr">
        <is>
          <t>No</t>
        </is>
      </c>
      <c r="J410" t="inlineStr">
        <is>
          <t>0</t>
        </is>
      </c>
      <c r="K410" t="inlineStr">
        <is>
          <t>Shannon, Thomas A. (Thomas Anthony), 1940-</t>
        </is>
      </c>
      <c r="L410" t="inlineStr">
        <is>
          <t>Ramsey, NJ : Paulist Press,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nju</t>
        </is>
      </c>
      <c r="R410" t="inlineStr">
        <is>
          <t xml:space="preserve">QH </t>
        </is>
      </c>
      <c r="S410" t="n">
        <v>13</v>
      </c>
      <c r="T410" t="n">
        <v>13</v>
      </c>
      <c r="U410" t="inlineStr">
        <is>
          <t>2010-05-10</t>
        </is>
      </c>
      <c r="V410" t="inlineStr">
        <is>
          <t>2010-05-10</t>
        </is>
      </c>
      <c r="W410" t="inlineStr">
        <is>
          <t>1992-06-17</t>
        </is>
      </c>
      <c r="X410" t="inlineStr">
        <is>
          <t>1992-06-17</t>
        </is>
      </c>
      <c r="Y410" t="n">
        <v>452</v>
      </c>
      <c r="Z410" t="n">
        <v>415</v>
      </c>
      <c r="AA410" t="n">
        <v>417</v>
      </c>
      <c r="AB410" t="n">
        <v>5</v>
      </c>
      <c r="AC410" t="n">
        <v>5</v>
      </c>
      <c r="AD410" t="n">
        <v>37</v>
      </c>
      <c r="AE410" t="n">
        <v>37</v>
      </c>
      <c r="AF410" t="n">
        <v>6</v>
      </c>
      <c r="AG410" t="n">
        <v>6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12</v>
      </c>
      <c r="AO410" t="n">
        <v>12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HYPERLINK("http://catalog.hathitrust.org/Record/000155957","HathiTrust Record")</f>
        <v/>
      </c>
      <c r="AS410">
        <f>HYPERLINK("https://creighton-primo.hosted.exlibrisgroup.com/primo-explore/search?tab=default_tab&amp;search_scope=EVERYTHING&amp;vid=01CRU&amp;lang=en_US&amp;offset=0&amp;query=any,contains,991005223939702656","Catalog Record")</f>
        <v/>
      </c>
      <c r="AT410">
        <f>HYPERLINK("http://www.worldcat.org/oclc/8431743","WorldCat Record")</f>
        <v/>
      </c>
      <c r="AU410" t="inlineStr">
        <is>
          <t>466271:eng</t>
        </is>
      </c>
      <c r="AV410" t="inlineStr">
        <is>
          <t>8431743</t>
        </is>
      </c>
      <c r="AW410" t="inlineStr">
        <is>
          <t>991005223939702656</t>
        </is>
      </c>
      <c r="AX410" t="inlineStr">
        <is>
          <t>991005223939702656</t>
        </is>
      </c>
      <c r="AY410" t="inlineStr">
        <is>
          <t>2266134660002656</t>
        </is>
      </c>
      <c r="AZ410" t="inlineStr">
        <is>
          <t>BOOK</t>
        </is>
      </c>
      <c r="BB410" t="inlineStr">
        <is>
          <t>9780809123537</t>
        </is>
      </c>
      <c r="BC410" t="inlineStr">
        <is>
          <t>32285001132256</t>
        </is>
      </c>
      <c r="BD410" t="inlineStr">
        <is>
          <t>893320274</t>
        </is>
      </c>
    </row>
    <row r="411">
      <c r="A411" t="inlineStr">
        <is>
          <t>No</t>
        </is>
      </c>
      <c r="B411" t="inlineStr">
        <is>
          <t>QH332 .U97</t>
        </is>
      </c>
      <c r="C411" t="inlineStr">
        <is>
          <t>0                      QH 0332000U  97</t>
        </is>
      </c>
      <c r="D411" t="inlineStr">
        <is>
          <t>Bio-Babel : can we survive the new biology? / Allen R. Utke.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Utke, Allen R., 1936-</t>
        </is>
      </c>
      <c r="L411" t="inlineStr">
        <is>
          <t>Atlanta : John Knox Press, c1978.</t>
        </is>
      </c>
      <c r="M411" t="inlineStr">
        <is>
          <t>1978</t>
        </is>
      </c>
      <c r="O411" t="inlineStr">
        <is>
          <t>eng</t>
        </is>
      </c>
      <c r="P411" t="inlineStr">
        <is>
          <t>gau</t>
        </is>
      </c>
      <c r="R411" t="inlineStr">
        <is>
          <t xml:space="preserve">QH </t>
        </is>
      </c>
      <c r="S411" t="n">
        <v>4</v>
      </c>
      <c r="T411" t="n">
        <v>4</v>
      </c>
      <c r="U411" t="inlineStr">
        <is>
          <t>1996-09-28</t>
        </is>
      </c>
      <c r="V411" t="inlineStr">
        <is>
          <t>1996-09-28</t>
        </is>
      </c>
      <c r="W411" t="inlineStr">
        <is>
          <t>1993-03-29</t>
        </is>
      </c>
      <c r="X411" t="inlineStr">
        <is>
          <t>1993-03-29</t>
        </is>
      </c>
      <c r="Y411" t="n">
        <v>337</v>
      </c>
      <c r="Z411" t="n">
        <v>311</v>
      </c>
      <c r="AA411" t="n">
        <v>318</v>
      </c>
      <c r="AB411" t="n">
        <v>2</v>
      </c>
      <c r="AC411" t="n">
        <v>2</v>
      </c>
      <c r="AD411" t="n">
        <v>16</v>
      </c>
      <c r="AE411" t="n">
        <v>16</v>
      </c>
      <c r="AF411" t="n">
        <v>6</v>
      </c>
      <c r="AG411" t="n">
        <v>6</v>
      </c>
      <c r="AH411" t="n">
        <v>4</v>
      </c>
      <c r="AI411" t="n">
        <v>4</v>
      </c>
      <c r="AJ411" t="n">
        <v>10</v>
      </c>
      <c r="AK411" t="n">
        <v>10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HYPERLINK("http://catalog.hathitrust.org/Record/006210737","HathiTrust Record")</f>
        <v/>
      </c>
      <c r="AS411">
        <f>HYPERLINK("https://creighton-primo.hosted.exlibrisgroup.com/primo-explore/search?tab=default_tab&amp;search_scope=EVERYTHING&amp;vid=01CRU&amp;lang=en_US&amp;offset=0&amp;query=any,contains,991004415209702656","Catalog Record")</f>
        <v/>
      </c>
      <c r="AT411">
        <f>HYPERLINK("http://www.worldcat.org/oclc/3360970","WorldCat Record")</f>
        <v/>
      </c>
      <c r="AU411" t="inlineStr">
        <is>
          <t>310531533:eng</t>
        </is>
      </c>
      <c r="AV411" t="inlineStr">
        <is>
          <t>3360970</t>
        </is>
      </c>
      <c r="AW411" t="inlineStr">
        <is>
          <t>991004415209702656</t>
        </is>
      </c>
      <c r="AX411" t="inlineStr">
        <is>
          <t>991004415209702656</t>
        </is>
      </c>
      <c r="AY411" t="inlineStr">
        <is>
          <t>2255672270002656</t>
        </is>
      </c>
      <c r="AZ411" t="inlineStr">
        <is>
          <t>BOOK</t>
        </is>
      </c>
      <c r="BB411" t="inlineStr">
        <is>
          <t>9780804207867</t>
        </is>
      </c>
      <c r="BC411" t="inlineStr">
        <is>
          <t>32285001553204</t>
        </is>
      </c>
      <c r="BD411" t="inlineStr">
        <is>
          <t>893319195</t>
        </is>
      </c>
    </row>
    <row r="412">
      <c r="A412" t="inlineStr">
        <is>
          <t>No</t>
        </is>
      </c>
      <c r="B412" t="inlineStr">
        <is>
          <t>QH332 .V37</t>
        </is>
      </c>
      <c r="C412" t="inlineStr">
        <is>
          <t>0                      QH 0332000V  37</t>
        </is>
      </c>
      <c r="D412" t="inlineStr">
        <is>
          <t>The main issues in bioethics / Andrew C. Varga.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Varga, Andrew C.</t>
        </is>
      </c>
      <c r="L412" t="inlineStr">
        <is>
          <t>New York : Paulist Press, c1980.</t>
        </is>
      </c>
      <c r="M412" t="inlineStr">
        <is>
          <t>1980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QH </t>
        </is>
      </c>
      <c r="S412" t="n">
        <v>15</v>
      </c>
      <c r="T412" t="n">
        <v>30</v>
      </c>
      <c r="U412" t="inlineStr">
        <is>
          <t>1996-09-26</t>
        </is>
      </c>
      <c r="V412" t="inlineStr">
        <is>
          <t>1996-09-26</t>
        </is>
      </c>
      <c r="W412" t="inlineStr">
        <is>
          <t>1992-01-07</t>
        </is>
      </c>
      <c r="X412" t="inlineStr">
        <is>
          <t>1992-01-07</t>
        </is>
      </c>
      <c r="Y412" t="n">
        <v>462</v>
      </c>
      <c r="Z412" t="n">
        <v>412</v>
      </c>
      <c r="AA412" t="n">
        <v>545</v>
      </c>
      <c r="AB412" t="n">
        <v>2</v>
      </c>
      <c r="AC412" t="n">
        <v>3</v>
      </c>
      <c r="AD412" t="n">
        <v>21</v>
      </c>
      <c r="AE412" t="n">
        <v>27</v>
      </c>
      <c r="AF412" t="n">
        <v>7</v>
      </c>
      <c r="AG412" t="n">
        <v>8</v>
      </c>
      <c r="AH412" t="n">
        <v>4</v>
      </c>
      <c r="AI412" t="n">
        <v>6</v>
      </c>
      <c r="AJ412" t="n">
        <v>15</v>
      </c>
      <c r="AK412" t="n">
        <v>17</v>
      </c>
      <c r="AL412" t="n">
        <v>0</v>
      </c>
      <c r="AM412" t="n">
        <v>1</v>
      </c>
      <c r="AN412" t="n">
        <v>1</v>
      </c>
      <c r="AO412" t="n">
        <v>2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HYPERLINK("http://catalog.hathitrust.org/Record/004394731","HathiTrust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HYPERLINK("https://creighton-primo.hosted.exlibrisgroup.com/primo-explore/search?tab=default_tab&amp;search_scope=EVERYTHING&amp;vid=01CRU&amp;lang=en_US&amp;offset=0&amp;query=any,contains,991001801459702656","Catalog Record")</f>
        <v/>
      </c>
      <c r="AT412">
        <f>HYPERLINK("http://www.worldcat.org/oclc/7133023","WorldCat Record")</f>
        <v/>
      </c>
      <c r="AU412" t="inlineStr">
        <is>
          <t>4287402:eng</t>
        </is>
      </c>
      <c r="AV412" t="inlineStr">
        <is>
          <t>7133023</t>
        </is>
      </c>
      <c r="AW412" t="inlineStr">
        <is>
          <t>991001801459702656</t>
        </is>
      </c>
      <c r="AX412" t="inlineStr">
        <is>
          <t>991001801459702656</t>
        </is>
      </c>
      <c r="AY412" t="inlineStr">
        <is>
          <t>2265311350002656</t>
        </is>
      </c>
      <c r="AZ412" t="inlineStr">
        <is>
          <t>BOOK</t>
        </is>
      </c>
      <c r="BB412" t="inlineStr">
        <is>
          <t>9780809123278</t>
        </is>
      </c>
      <c r="BC412" t="inlineStr">
        <is>
          <t>32285000883479</t>
        </is>
      </c>
      <c r="BD412" t="inlineStr">
        <is>
          <t>893803919</t>
        </is>
      </c>
    </row>
    <row r="413">
      <c r="A413" t="inlineStr">
        <is>
          <t>No</t>
        </is>
      </c>
      <c r="B413" t="inlineStr">
        <is>
          <t>QH333 .B56</t>
        </is>
      </c>
      <c r="C413" t="inlineStr">
        <is>
          <t>0                      QH 0333000B  56</t>
        </is>
      </c>
      <c r="D413" t="inlineStr">
        <is>
          <t>Biology and politics : recent explorations / [edited by] Albert Somit.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The Hague : Mouton, [1976].</t>
        </is>
      </c>
      <c r="M413" t="inlineStr">
        <is>
          <t>1976</t>
        </is>
      </c>
      <c r="O413" t="inlineStr">
        <is>
          <t>eng</t>
        </is>
      </c>
      <c r="P413" t="inlineStr">
        <is>
          <t xml:space="preserve">ne </t>
        </is>
      </c>
      <c r="Q413" t="inlineStr">
        <is>
          <t>Publications of the International Social Science Council ; 19</t>
        </is>
      </c>
      <c r="R413" t="inlineStr">
        <is>
          <t xml:space="preserve">QH </t>
        </is>
      </c>
      <c r="S413" t="n">
        <v>3</v>
      </c>
      <c r="T413" t="n">
        <v>3</v>
      </c>
      <c r="U413" t="inlineStr">
        <is>
          <t>2010-03-15</t>
        </is>
      </c>
      <c r="V413" t="inlineStr">
        <is>
          <t>2010-03-15</t>
        </is>
      </c>
      <c r="W413" t="inlineStr">
        <is>
          <t>1994-06-22</t>
        </is>
      </c>
      <c r="X413" t="inlineStr">
        <is>
          <t>1994-06-22</t>
        </is>
      </c>
      <c r="Y413" t="n">
        <v>284</v>
      </c>
      <c r="Z413" t="n">
        <v>201</v>
      </c>
      <c r="AA413" t="n">
        <v>221</v>
      </c>
      <c r="AB413" t="n">
        <v>4</v>
      </c>
      <c r="AC413" t="n">
        <v>4</v>
      </c>
      <c r="AD413" t="n">
        <v>12</v>
      </c>
      <c r="AE413" t="n">
        <v>12</v>
      </c>
      <c r="AF413" t="n">
        <v>2</v>
      </c>
      <c r="AG413" t="n">
        <v>2</v>
      </c>
      <c r="AH413" t="n">
        <v>2</v>
      </c>
      <c r="AI413" t="n">
        <v>2</v>
      </c>
      <c r="AJ413" t="n">
        <v>7</v>
      </c>
      <c r="AK413" t="n">
        <v>7</v>
      </c>
      <c r="AL413" t="n">
        <v>3</v>
      </c>
      <c r="AM413" t="n">
        <v>3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HYPERLINK("http://catalog.hathitrust.org/Record/000086734","HathiTrust Record")</f>
        <v/>
      </c>
      <c r="AS413">
        <f>HYPERLINK("https://creighton-primo.hosted.exlibrisgroup.com/primo-explore/search?tab=default_tab&amp;search_scope=EVERYTHING&amp;vid=01CRU&amp;lang=en_US&amp;offset=0&amp;query=any,contains,991004177839702656","Catalog Record")</f>
        <v/>
      </c>
      <c r="AT413">
        <f>HYPERLINK("http://www.worldcat.org/oclc/2597938","WorldCat Record")</f>
        <v/>
      </c>
      <c r="AU413" t="inlineStr">
        <is>
          <t>5730152:eng</t>
        </is>
      </c>
      <c r="AV413" t="inlineStr">
        <is>
          <t>2597938</t>
        </is>
      </c>
      <c r="AW413" t="inlineStr">
        <is>
          <t>991004177839702656</t>
        </is>
      </c>
      <c r="AX413" t="inlineStr">
        <is>
          <t>991004177839702656</t>
        </is>
      </c>
      <c r="AY413" t="inlineStr">
        <is>
          <t>2265809340002656</t>
        </is>
      </c>
      <c r="AZ413" t="inlineStr">
        <is>
          <t>BOOK</t>
        </is>
      </c>
      <c r="BC413" t="inlineStr">
        <is>
          <t>32285001929347</t>
        </is>
      </c>
      <c r="BD413" t="inlineStr">
        <is>
          <t>893775725</t>
        </is>
      </c>
    </row>
    <row r="414">
      <c r="A414" t="inlineStr">
        <is>
          <t>No</t>
        </is>
      </c>
      <c r="B414" t="inlineStr">
        <is>
          <t>QH333 .H35</t>
        </is>
      </c>
      <c r="C414" t="inlineStr">
        <is>
          <t>0                      QH 0333000H  35</t>
        </is>
      </c>
      <c r="D414" t="inlineStr">
        <is>
          <t>The new genetics and the future of man. Edited by Michael P. Hamilton.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Hamilton, Michael P. (Michael Pollock), 1927-</t>
        </is>
      </c>
      <c r="L414" t="inlineStr">
        <is>
          <t>Grand Rapids, Eerdmans [1972]</t>
        </is>
      </c>
      <c r="M414" t="inlineStr">
        <is>
          <t>1972</t>
        </is>
      </c>
      <c r="O414" t="inlineStr">
        <is>
          <t>eng</t>
        </is>
      </c>
      <c r="P414" t="inlineStr">
        <is>
          <t>miu</t>
        </is>
      </c>
      <c r="R414" t="inlineStr">
        <is>
          <t xml:space="preserve">QH </t>
        </is>
      </c>
      <c r="S414" t="n">
        <v>0</v>
      </c>
      <c r="T414" t="n">
        <v>3</v>
      </c>
      <c r="V414" t="inlineStr">
        <is>
          <t>2002-06-09</t>
        </is>
      </c>
      <c r="W414" t="inlineStr">
        <is>
          <t>1997-07-01</t>
        </is>
      </c>
      <c r="X414" t="inlineStr">
        <is>
          <t>1997-07-01</t>
        </is>
      </c>
      <c r="Y414" t="n">
        <v>857</v>
      </c>
      <c r="Z414" t="n">
        <v>768</v>
      </c>
      <c r="AA414" t="n">
        <v>778</v>
      </c>
      <c r="AB414" t="n">
        <v>10</v>
      </c>
      <c r="AC414" t="n">
        <v>10</v>
      </c>
      <c r="AD414" t="n">
        <v>32</v>
      </c>
      <c r="AE414" t="n">
        <v>32</v>
      </c>
      <c r="AF414" t="n">
        <v>11</v>
      </c>
      <c r="AG414" t="n">
        <v>11</v>
      </c>
      <c r="AH414" t="n">
        <v>3</v>
      </c>
      <c r="AI414" t="n">
        <v>3</v>
      </c>
      <c r="AJ414" t="n">
        <v>17</v>
      </c>
      <c r="AK414" t="n">
        <v>17</v>
      </c>
      <c r="AL414" t="n">
        <v>7</v>
      </c>
      <c r="AM414" t="n">
        <v>7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HYPERLINK("http://catalog.hathitrust.org/Record/001491498","HathiTrust Record")</f>
        <v/>
      </c>
      <c r="AS414">
        <f>HYPERLINK("https://creighton-primo.hosted.exlibrisgroup.com/primo-explore/search?tab=default_tab&amp;search_scope=EVERYTHING&amp;vid=01CRU&amp;lang=en_US&amp;offset=0&amp;query=any,contains,991001770649702656","Catalog Record")</f>
        <v/>
      </c>
      <c r="AT414">
        <f>HYPERLINK("http://www.worldcat.org/oclc/409579","WorldCat Record")</f>
        <v/>
      </c>
      <c r="AU414" t="inlineStr">
        <is>
          <t>1447979:eng</t>
        </is>
      </c>
      <c r="AV414" t="inlineStr">
        <is>
          <t>409579</t>
        </is>
      </c>
      <c r="AW414" t="inlineStr">
        <is>
          <t>991001770649702656</t>
        </is>
      </c>
      <c r="AX414" t="inlineStr">
        <is>
          <t>991001770649702656</t>
        </is>
      </c>
      <c r="AY414" t="inlineStr">
        <is>
          <t>2262318520002656</t>
        </is>
      </c>
      <c r="AZ414" t="inlineStr">
        <is>
          <t>BOOK</t>
        </is>
      </c>
      <c r="BB414" t="inlineStr">
        <is>
          <t>9780802834164</t>
        </is>
      </c>
      <c r="BC414" t="inlineStr">
        <is>
          <t>32285002869054</t>
        </is>
      </c>
      <c r="BD414" t="inlineStr">
        <is>
          <t>893709524</t>
        </is>
      </c>
    </row>
    <row r="415">
      <c r="A415" t="inlineStr">
        <is>
          <t>No</t>
        </is>
      </c>
      <c r="B415" t="inlineStr">
        <is>
          <t>QH333 .M36</t>
        </is>
      </c>
      <c r="C415" t="inlineStr">
        <is>
          <t>0                      QH 0333000M  36</t>
        </is>
      </c>
      <c r="D415" t="inlineStr">
        <is>
          <t>Man and the biological revolution / Theodosius Dobzhansky ... [et al.] ; edited with an introductory essay by Robert H. Haynes.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Toronto : York University, c1976.</t>
        </is>
      </c>
      <c r="M415" t="inlineStr">
        <is>
          <t>1976</t>
        </is>
      </c>
      <c r="O415" t="inlineStr">
        <is>
          <t>eng</t>
        </is>
      </c>
      <c r="P415" t="inlineStr">
        <is>
          <t>onc</t>
        </is>
      </c>
      <c r="Q415" t="inlineStr">
        <is>
          <t>The Gerstein lectures ; 1973-74</t>
        </is>
      </c>
      <c r="R415" t="inlineStr">
        <is>
          <t xml:space="preserve">QH </t>
        </is>
      </c>
      <c r="S415" t="n">
        <v>7</v>
      </c>
      <c r="T415" t="n">
        <v>7</v>
      </c>
      <c r="U415" t="inlineStr">
        <is>
          <t>1997-02-11</t>
        </is>
      </c>
      <c r="V415" t="inlineStr">
        <is>
          <t>1997-02-11</t>
        </is>
      </c>
      <c r="W415" t="inlineStr">
        <is>
          <t>1993-12-21</t>
        </is>
      </c>
      <c r="X415" t="inlineStr">
        <is>
          <t>1993-12-21</t>
        </is>
      </c>
      <c r="Y415" t="n">
        <v>338</v>
      </c>
      <c r="Z415" t="n">
        <v>216</v>
      </c>
      <c r="AA415" t="n">
        <v>222</v>
      </c>
      <c r="AB415" t="n">
        <v>3</v>
      </c>
      <c r="AC415" t="n">
        <v>3</v>
      </c>
      <c r="AD415" t="n">
        <v>8</v>
      </c>
      <c r="AE415" t="n">
        <v>8</v>
      </c>
      <c r="AF415" t="n">
        <v>0</v>
      </c>
      <c r="AG415" t="n">
        <v>0</v>
      </c>
      <c r="AH415" t="n">
        <v>3</v>
      </c>
      <c r="AI415" t="n">
        <v>3</v>
      </c>
      <c r="AJ415" t="n">
        <v>4</v>
      </c>
      <c r="AK415" t="n">
        <v>4</v>
      </c>
      <c r="AL415" t="n">
        <v>2</v>
      </c>
      <c r="AM415" t="n">
        <v>2</v>
      </c>
      <c r="AN415" t="n">
        <v>1</v>
      </c>
      <c r="AO415" t="n">
        <v>1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HYPERLINK("http://catalog.hathitrust.org/Record/000745634","HathiTrust Record")</f>
        <v/>
      </c>
      <c r="AS415">
        <f>HYPERLINK("https://creighton-primo.hosted.exlibrisgroup.com/primo-explore/search?tab=default_tab&amp;search_scope=EVERYTHING&amp;vid=01CRU&amp;lang=en_US&amp;offset=0&amp;query=any,contains,991004129279702656","Catalog Record")</f>
        <v/>
      </c>
      <c r="AT415">
        <f>HYPERLINK("http://www.worldcat.org/oclc/2463754","WorldCat Record")</f>
        <v/>
      </c>
      <c r="AU415" t="inlineStr">
        <is>
          <t>835843644:eng</t>
        </is>
      </c>
      <c r="AV415" t="inlineStr">
        <is>
          <t>2463754</t>
        </is>
      </c>
      <c r="AW415" t="inlineStr">
        <is>
          <t>991004129279702656</t>
        </is>
      </c>
      <c r="AX415" t="inlineStr">
        <is>
          <t>991004129279702656</t>
        </is>
      </c>
      <c r="AY415" t="inlineStr">
        <is>
          <t>2269412660002656</t>
        </is>
      </c>
      <c r="AZ415" t="inlineStr">
        <is>
          <t>BOOK</t>
        </is>
      </c>
      <c r="BB415" t="inlineStr">
        <is>
          <t>9780919604230</t>
        </is>
      </c>
      <c r="BC415" t="inlineStr">
        <is>
          <t>32285001825792</t>
        </is>
      </c>
      <c r="BD415" t="inlineStr">
        <is>
          <t>893875717</t>
        </is>
      </c>
    </row>
    <row r="416">
      <c r="A416" t="inlineStr">
        <is>
          <t>No</t>
        </is>
      </c>
      <c r="B416" t="inlineStr">
        <is>
          <t>QH333 .P66</t>
        </is>
      </c>
      <c r="C416" t="inlineStr">
        <is>
          <t>0                      QH 0333000P  66</t>
        </is>
      </c>
      <c r="D416" t="inlineStr">
        <is>
          <t>Bioethics: bridge to the future.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Potter, Van Rensselaer, 1911-</t>
        </is>
      </c>
      <c r="L416" t="inlineStr">
        <is>
          <t>Englewood Cliffs, N.J., Prentice-Hall [1971]</t>
        </is>
      </c>
      <c r="M416" t="inlineStr">
        <is>
          <t>1971</t>
        </is>
      </c>
      <c r="O416" t="inlineStr">
        <is>
          <t>eng</t>
        </is>
      </c>
      <c r="P416" t="inlineStr">
        <is>
          <t>nju</t>
        </is>
      </c>
      <c r="Q416" t="inlineStr">
        <is>
          <t>Prentice-Hall biological science series</t>
        </is>
      </c>
      <c r="R416" t="inlineStr">
        <is>
          <t xml:space="preserve">QH </t>
        </is>
      </c>
      <c r="S416" t="n">
        <v>12</v>
      </c>
      <c r="T416" t="n">
        <v>12</v>
      </c>
      <c r="U416" t="inlineStr">
        <is>
          <t>2002-01-14</t>
        </is>
      </c>
      <c r="V416" t="inlineStr">
        <is>
          <t>2002-01-14</t>
        </is>
      </c>
      <c r="W416" t="inlineStr">
        <is>
          <t>1992-04-16</t>
        </is>
      </c>
      <c r="X416" t="inlineStr">
        <is>
          <t>1992-04-16</t>
        </is>
      </c>
      <c r="Y416" t="n">
        <v>886</v>
      </c>
      <c r="Z416" t="n">
        <v>750</v>
      </c>
      <c r="AA416" t="n">
        <v>768</v>
      </c>
      <c r="AB416" t="n">
        <v>7</v>
      </c>
      <c r="AC416" t="n">
        <v>7</v>
      </c>
      <c r="AD416" t="n">
        <v>30</v>
      </c>
      <c r="AE416" t="n">
        <v>30</v>
      </c>
      <c r="AF416" t="n">
        <v>12</v>
      </c>
      <c r="AG416" t="n">
        <v>12</v>
      </c>
      <c r="AH416" t="n">
        <v>5</v>
      </c>
      <c r="AI416" t="n">
        <v>5</v>
      </c>
      <c r="AJ416" t="n">
        <v>13</v>
      </c>
      <c r="AK416" t="n">
        <v>13</v>
      </c>
      <c r="AL416" t="n">
        <v>6</v>
      </c>
      <c r="AM416" t="n">
        <v>6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HYPERLINK("http://catalog.hathitrust.org/Record/001491500","HathiTrust Record")</f>
        <v/>
      </c>
      <c r="AS416">
        <f>HYPERLINK("https://creighton-primo.hosted.exlibrisgroup.com/primo-explore/search?tab=default_tab&amp;search_scope=EVERYTHING&amp;vid=01CRU&amp;lang=en_US&amp;offset=0&amp;query=any,contains,991001385139702656","Catalog Record")</f>
        <v/>
      </c>
      <c r="AT416">
        <f>HYPERLINK("http://www.worldcat.org/oclc/226527","WorldCat Record")</f>
        <v/>
      </c>
      <c r="AU416" t="inlineStr">
        <is>
          <t>1340017:eng</t>
        </is>
      </c>
      <c r="AV416" t="inlineStr">
        <is>
          <t>226527</t>
        </is>
      </c>
      <c r="AW416" t="inlineStr">
        <is>
          <t>991001385139702656</t>
        </is>
      </c>
      <c r="AX416" t="inlineStr">
        <is>
          <t>991001385139702656</t>
        </is>
      </c>
      <c r="AY416" t="inlineStr">
        <is>
          <t>2263252340002656</t>
        </is>
      </c>
      <c r="AZ416" t="inlineStr">
        <is>
          <t>BOOK</t>
        </is>
      </c>
      <c r="BB416" t="inlineStr">
        <is>
          <t>9780130765055</t>
        </is>
      </c>
      <c r="BC416" t="inlineStr">
        <is>
          <t>32285001053437</t>
        </is>
      </c>
      <c r="BD416" t="inlineStr">
        <is>
          <t>893315747</t>
        </is>
      </c>
    </row>
    <row r="417">
      <c r="A417" t="inlineStr">
        <is>
          <t>No</t>
        </is>
      </c>
      <c r="B417" t="inlineStr">
        <is>
          <t>QH333 .S6 1972</t>
        </is>
      </c>
      <c r="C417" t="inlineStr">
        <is>
          <t>0                      QH 0333000S  6           1972</t>
        </is>
      </c>
      <c r="D417" t="inlineStr">
        <is>
          <t>The Biological revolution: social good or social evil? / edited by Watson Fuller.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New York : Doubleday, c1971.</t>
        </is>
      </c>
      <c r="M417" t="inlineStr">
        <is>
          <t>1971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QH </t>
        </is>
      </c>
      <c r="S417" t="n">
        <v>4</v>
      </c>
      <c r="T417" t="n">
        <v>4</v>
      </c>
      <c r="U417" t="inlineStr">
        <is>
          <t>1996-11-06</t>
        </is>
      </c>
      <c r="V417" t="inlineStr">
        <is>
          <t>1996-11-06</t>
        </is>
      </c>
      <c r="W417" t="inlineStr">
        <is>
          <t>1992-04-16</t>
        </is>
      </c>
      <c r="X417" t="inlineStr">
        <is>
          <t>1992-04-16</t>
        </is>
      </c>
      <c r="Y417" t="n">
        <v>23</v>
      </c>
      <c r="Z417" t="n">
        <v>18</v>
      </c>
      <c r="AA417" t="n">
        <v>331</v>
      </c>
      <c r="AB417" t="n">
        <v>1</v>
      </c>
      <c r="AC417" t="n">
        <v>2</v>
      </c>
      <c r="AD417" t="n">
        <v>0</v>
      </c>
      <c r="AE417" t="n">
        <v>9</v>
      </c>
      <c r="AF417" t="n">
        <v>0</v>
      </c>
      <c r="AG417" t="n">
        <v>3</v>
      </c>
      <c r="AH417" t="n">
        <v>0</v>
      </c>
      <c r="AI417" t="n">
        <v>2</v>
      </c>
      <c r="AJ417" t="n">
        <v>0</v>
      </c>
      <c r="AK417" t="n">
        <v>4</v>
      </c>
      <c r="AL417" t="n">
        <v>0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HYPERLINK("https://creighton-primo.hosted.exlibrisgroup.com/primo-explore/search?tab=default_tab&amp;search_scope=EVERYTHING&amp;vid=01CRU&amp;lang=en_US&amp;offset=0&amp;query=any,contains,991001001869702656","Catalog Record")</f>
        <v/>
      </c>
      <c r="AT417">
        <f>HYPERLINK("http://www.worldcat.org/oclc/15210004","WorldCat Record")</f>
        <v/>
      </c>
      <c r="AU417" t="inlineStr">
        <is>
          <t>53963984:eng</t>
        </is>
      </c>
      <c r="AV417" t="inlineStr">
        <is>
          <t>15210004</t>
        </is>
      </c>
      <c r="AW417" t="inlineStr">
        <is>
          <t>991001001869702656</t>
        </is>
      </c>
      <c r="AX417" t="inlineStr">
        <is>
          <t>991001001869702656</t>
        </is>
      </c>
      <c r="AY417" t="inlineStr">
        <is>
          <t>2266888040002656</t>
        </is>
      </c>
      <c r="AZ417" t="inlineStr">
        <is>
          <t>BOOK</t>
        </is>
      </c>
      <c r="BC417" t="inlineStr">
        <is>
          <t>32285001053445</t>
        </is>
      </c>
      <c r="BD417" t="inlineStr">
        <is>
          <t>893528574</t>
        </is>
      </c>
    </row>
    <row r="418">
      <c r="A418" t="inlineStr">
        <is>
          <t>No</t>
        </is>
      </c>
      <c r="B418" t="inlineStr">
        <is>
          <t>QH333 .W35</t>
        </is>
      </c>
      <c r="C418" t="inlineStr">
        <is>
          <t>0                      QH 0333000W  35</t>
        </is>
      </c>
      <c r="D418" t="inlineStr">
        <is>
          <t>Essays in social biology.</t>
        </is>
      </c>
      <c r="E418" t="inlineStr">
        <is>
          <t>V.1</t>
        </is>
      </c>
      <c r="F418" t="inlineStr">
        <is>
          <t>Yes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Wallace, Bruce, 1920-2015, compiler.</t>
        </is>
      </c>
      <c r="L418" t="inlineStr">
        <is>
          <t>Englewood Cliffs, N.J. : Prentice-Hall, [1972]</t>
        </is>
      </c>
      <c r="M418" t="inlineStr">
        <is>
          <t>1972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QH </t>
        </is>
      </c>
      <c r="S418" t="n">
        <v>0</v>
      </c>
      <c r="T418" t="n">
        <v>3</v>
      </c>
      <c r="V418" t="inlineStr">
        <is>
          <t>1997-02-23</t>
        </is>
      </c>
      <c r="W418" t="inlineStr">
        <is>
          <t>1994-05-24</t>
        </is>
      </c>
      <c r="X418" t="inlineStr">
        <is>
          <t>1994-05-24</t>
        </is>
      </c>
      <c r="Y418" t="n">
        <v>736</v>
      </c>
      <c r="Z418" t="n">
        <v>628</v>
      </c>
      <c r="AA418" t="n">
        <v>642</v>
      </c>
      <c r="AB418" t="n">
        <v>4</v>
      </c>
      <c r="AC418" t="n">
        <v>4</v>
      </c>
      <c r="AD418" t="n">
        <v>21</v>
      </c>
      <c r="AE418" t="n">
        <v>23</v>
      </c>
      <c r="AF418" t="n">
        <v>6</v>
      </c>
      <c r="AG418" t="n">
        <v>7</v>
      </c>
      <c r="AH418" t="n">
        <v>4</v>
      </c>
      <c r="AI418" t="n">
        <v>5</v>
      </c>
      <c r="AJ418" t="n">
        <v>12</v>
      </c>
      <c r="AK418" t="n">
        <v>12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HYPERLINK("http://catalog.hathitrust.org/Record/001491503","HathiTrust Record")</f>
        <v/>
      </c>
      <c r="AS418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8">
        <f>HYPERLINK("http://www.worldcat.org/oclc/258546","WorldCat Record")</f>
        <v/>
      </c>
      <c r="AU418" t="inlineStr">
        <is>
          <t>9936656431:eng</t>
        </is>
      </c>
      <c r="AV418" t="inlineStr">
        <is>
          <t>258546</t>
        </is>
      </c>
      <c r="AW418" t="inlineStr">
        <is>
          <t>991002007649702656</t>
        </is>
      </c>
      <c r="AX418" t="inlineStr">
        <is>
          <t>991002007649702656</t>
        </is>
      </c>
      <c r="AY418" t="inlineStr">
        <is>
          <t>2271533510002656</t>
        </is>
      </c>
      <c r="AZ418" t="inlineStr">
        <is>
          <t>BOOK</t>
        </is>
      </c>
      <c r="BB418" t="inlineStr">
        <is>
          <t>9780136568353</t>
        </is>
      </c>
      <c r="BC418" t="inlineStr">
        <is>
          <t>32285001912178</t>
        </is>
      </c>
      <c r="BD418" t="inlineStr">
        <is>
          <t>893516782</t>
        </is>
      </c>
    </row>
    <row r="419">
      <c r="A419" t="inlineStr">
        <is>
          <t>No</t>
        </is>
      </c>
      <c r="B419" t="inlineStr">
        <is>
          <t>QH333 .W35</t>
        </is>
      </c>
      <c r="C419" t="inlineStr">
        <is>
          <t>0                      QH 0333000W  35</t>
        </is>
      </c>
      <c r="D419" t="inlineStr">
        <is>
          <t>Essays in social biology.</t>
        </is>
      </c>
      <c r="E419" t="inlineStr">
        <is>
          <t>V.3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Wallace, Bruce, 1920-2015, compiler.</t>
        </is>
      </c>
      <c r="L419" t="inlineStr">
        <is>
          <t>Englewood Cliffs, N.J. : Prentice-Hall,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QH </t>
        </is>
      </c>
      <c r="S419" t="n">
        <v>0</v>
      </c>
      <c r="T419" t="n">
        <v>3</v>
      </c>
      <c r="V419" t="inlineStr">
        <is>
          <t>1997-02-23</t>
        </is>
      </c>
      <c r="W419" t="inlineStr">
        <is>
          <t>1994-05-24</t>
        </is>
      </c>
      <c r="X419" t="inlineStr">
        <is>
          <t>1994-05-24</t>
        </is>
      </c>
      <c r="Y419" t="n">
        <v>736</v>
      </c>
      <c r="Z419" t="n">
        <v>628</v>
      </c>
      <c r="AA419" t="n">
        <v>642</v>
      </c>
      <c r="AB419" t="n">
        <v>4</v>
      </c>
      <c r="AC419" t="n">
        <v>4</v>
      </c>
      <c r="AD419" t="n">
        <v>21</v>
      </c>
      <c r="AE419" t="n">
        <v>23</v>
      </c>
      <c r="AF419" t="n">
        <v>6</v>
      </c>
      <c r="AG419" t="n">
        <v>7</v>
      </c>
      <c r="AH419" t="n">
        <v>4</v>
      </c>
      <c r="AI419" t="n">
        <v>5</v>
      </c>
      <c r="AJ419" t="n">
        <v>12</v>
      </c>
      <c r="AK419" t="n">
        <v>12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HYPERLINK("http://catalog.hathitrust.org/Record/001491503","HathiTrust Record")</f>
        <v/>
      </c>
      <c r="AS419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9">
        <f>HYPERLINK("http://www.worldcat.org/oclc/258546","WorldCat Record")</f>
        <v/>
      </c>
      <c r="AU419" t="inlineStr">
        <is>
          <t>9936656431:eng</t>
        </is>
      </c>
      <c r="AV419" t="inlineStr">
        <is>
          <t>258546</t>
        </is>
      </c>
      <c r="AW419" t="inlineStr">
        <is>
          <t>991002007649702656</t>
        </is>
      </c>
      <c r="AX419" t="inlineStr">
        <is>
          <t>991002007649702656</t>
        </is>
      </c>
      <c r="AY419" t="inlineStr">
        <is>
          <t>2271533510002656</t>
        </is>
      </c>
      <c r="AZ419" t="inlineStr">
        <is>
          <t>BOOK</t>
        </is>
      </c>
      <c r="BB419" t="inlineStr">
        <is>
          <t>9780136568353</t>
        </is>
      </c>
      <c r="BC419" t="inlineStr">
        <is>
          <t>32285001912186</t>
        </is>
      </c>
      <c r="BD419" t="inlineStr">
        <is>
          <t>893516781</t>
        </is>
      </c>
    </row>
    <row r="420">
      <c r="A420" t="inlineStr">
        <is>
          <t>No</t>
        </is>
      </c>
      <c r="B420" t="inlineStr">
        <is>
          <t>QH333 .W35</t>
        </is>
      </c>
      <c r="C420" t="inlineStr">
        <is>
          <t>0                      QH 0333000W  35</t>
        </is>
      </c>
      <c r="D420" t="inlineStr">
        <is>
          <t>Essays in social biology.</t>
        </is>
      </c>
      <c r="E420" t="inlineStr">
        <is>
          <t>V.2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Wallace, Bruce, 1920-2015, compiler.</t>
        </is>
      </c>
      <c r="L420" t="inlineStr">
        <is>
          <t>Englewood Cliffs, N.J. : Prentice-Hall,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nju</t>
        </is>
      </c>
      <c r="R420" t="inlineStr">
        <is>
          <t xml:space="preserve">QH </t>
        </is>
      </c>
      <c r="S420" t="n">
        <v>3</v>
      </c>
      <c r="T420" t="n">
        <v>3</v>
      </c>
      <c r="U420" t="inlineStr">
        <is>
          <t>1997-02-23</t>
        </is>
      </c>
      <c r="V420" t="inlineStr">
        <is>
          <t>1997-02-23</t>
        </is>
      </c>
      <c r="W420" t="inlineStr">
        <is>
          <t>1994-05-06</t>
        </is>
      </c>
      <c r="X420" t="inlineStr">
        <is>
          <t>1994-05-24</t>
        </is>
      </c>
      <c r="Y420" t="n">
        <v>736</v>
      </c>
      <c r="Z420" t="n">
        <v>628</v>
      </c>
      <c r="AA420" t="n">
        <v>642</v>
      </c>
      <c r="AB420" t="n">
        <v>4</v>
      </c>
      <c r="AC420" t="n">
        <v>4</v>
      </c>
      <c r="AD420" t="n">
        <v>21</v>
      </c>
      <c r="AE420" t="n">
        <v>23</v>
      </c>
      <c r="AF420" t="n">
        <v>6</v>
      </c>
      <c r="AG420" t="n">
        <v>7</v>
      </c>
      <c r="AH420" t="n">
        <v>4</v>
      </c>
      <c r="AI420" t="n">
        <v>5</v>
      </c>
      <c r="AJ420" t="n">
        <v>12</v>
      </c>
      <c r="AK420" t="n">
        <v>12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HYPERLINK("http://catalog.hathitrust.org/Record/001491503","HathiTrust Record")</f>
        <v/>
      </c>
      <c r="AS420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20">
        <f>HYPERLINK("http://www.worldcat.org/oclc/258546","WorldCat Record")</f>
        <v/>
      </c>
      <c r="AU420" t="inlineStr">
        <is>
          <t>9936656431:eng</t>
        </is>
      </c>
      <c r="AV420" t="inlineStr">
        <is>
          <t>258546</t>
        </is>
      </c>
      <c r="AW420" t="inlineStr">
        <is>
          <t>991002007649702656</t>
        </is>
      </c>
      <c r="AX420" t="inlineStr">
        <is>
          <t>991002007649702656</t>
        </is>
      </c>
      <c r="AY420" t="inlineStr">
        <is>
          <t>2271533510002656</t>
        </is>
      </c>
      <c r="AZ420" t="inlineStr">
        <is>
          <t>BOOK</t>
        </is>
      </c>
      <c r="BB420" t="inlineStr">
        <is>
          <t>9780136568353</t>
        </is>
      </c>
      <c r="BC420" t="inlineStr">
        <is>
          <t>32285001907202</t>
        </is>
      </c>
      <c r="BD420" t="inlineStr">
        <is>
          <t>893503914</t>
        </is>
      </c>
    </row>
    <row r="421">
      <c r="A421" t="inlineStr">
        <is>
          <t>No</t>
        </is>
      </c>
      <c r="B421" t="inlineStr">
        <is>
          <t>QH341 .A78 1987</t>
        </is>
      </c>
      <c r="C421" t="inlineStr">
        <is>
          <t>0                      QH 0341000A  78          1987</t>
        </is>
      </c>
      <c r="D421" t="inlineStr">
        <is>
          <t>Theories of life : Darwin, Mendel and beyond / Wallace Arthur.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Arthur, Wallace.</t>
        </is>
      </c>
      <c r="L421" t="inlineStr">
        <is>
          <t>New York : Penguin Books, 1987.</t>
        </is>
      </c>
      <c r="M421" t="inlineStr">
        <is>
          <t>1987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QH </t>
        </is>
      </c>
      <c r="S421" t="n">
        <v>18</v>
      </c>
      <c r="T421" t="n">
        <v>18</v>
      </c>
      <c r="U421" t="inlineStr">
        <is>
          <t>1998-02-12</t>
        </is>
      </c>
      <c r="V421" t="inlineStr">
        <is>
          <t>1998-02-12</t>
        </is>
      </c>
      <c r="W421" t="inlineStr">
        <is>
          <t>1992-01-24</t>
        </is>
      </c>
      <c r="X421" t="inlineStr">
        <is>
          <t>1992-01-24</t>
        </is>
      </c>
      <c r="Y421" t="n">
        <v>33</v>
      </c>
      <c r="Z421" t="n">
        <v>29</v>
      </c>
      <c r="AA421" t="n">
        <v>191</v>
      </c>
      <c r="AB421" t="n">
        <v>2</v>
      </c>
      <c r="AC421" t="n">
        <v>2</v>
      </c>
      <c r="AD421" t="n">
        <v>2</v>
      </c>
      <c r="AE421" t="n">
        <v>6</v>
      </c>
      <c r="AF421" t="n">
        <v>1</v>
      </c>
      <c r="AG421" t="n">
        <v>3</v>
      </c>
      <c r="AH421" t="n">
        <v>0</v>
      </c>
      <c r="AI421" t="n">
        <v>2</v>
      </c>
      <c r="AJ421" t="n">
        <v>1</v>
      </c>
      <c r="AK421" t="n">
        <v>2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HYPERLINK("https://creighton-primo.hosted.exlibrisgroup.com/primo-explore/search?tab=default_tab&amp;search_scope=EVERYTHING&amp;vid=01CRU&amp;lang=en_US&amp;offset=0&amp;query=any,contains,991001108889702656","Catalog Record")</f>
        <v/>
      </c>
      <c r="AT421">
        <f>HYPERLINK("http://www.worldcat.org/oclc/16440187","WorldCat Record")</f>
        <v/>
      </c>
      <c r="AU421" t="inlineStr">
        <is>
          <t>12666818:eng</t>
        </is>
      </c>
      <c r="AV421" t="inlineStr">
        <is>
          <t>16440187</t>
        </is>
      </c>
      <c r="AW421" t="inlineStr">
        <is>
          <t>991001108889702656</t>
        </is>
      </c>
      <c r="AX421" t="inlineStr">
        <is>
          <t>991001108889702656</t>
        </is>
      </c>
      <c r="AY421" t="inlineStr">
        <is>
          <t>2271791910002656</t>
        </is>
      </c>
      <c r="AZ421" t="inlineStr">
        <is>
          <t>BOOK</t>
        </is>
      </c>
      <c r="BB421" t="inlineStr">
        <is>
          <t>9780140226997</t>
        </is>
      </c>
      <c r="BC421" t="inlineStr">
        <is>
          <t>32285000917996</t>
        </is>
      </c>
      <c r="BD421" t="inlineStr">
        <is>
          <t>893696466</t>
        </is>
      </c>
    </row>
    <row r="422">
      <c r="A422" t="inlineStr">
        <is>
          <t>No</t>
        </is>
      </c>
      <c r="B422" t="inlineStr">
        <is>
          <t>QH341 .G76 2003</t>
        </is>
      </c>
      <c r="C422" t="inlineStr">
        <is>
          <t>0                      QH 0341000G  76          2003</t>
        </is>
      </c>
      <c r="D422" t="inlineStr">
        <is>
          <t>Embryos, galaxies, and sentient beings : how the universe makes life / Richard Grossinger.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Grossinger, Richard, 1944-</t>
        </is>
      </c>
      <c r="L422" t="inlineStr">
        <is>
          <t>Berkeley, Calif. : North Atlantic Books, c2003.</t>
        </is>
      </c>
      <c r="M422" t="inlineStr">
        <is>
          <t>2003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QH </t>
        </is>
      </c>
      <c r="S422" t="n">
        <v>2</v>
      </c>
      <c r="T422" t="n">
        <v>2</v>
      </c>
      <c r="U422" t="inlineStr">
        <is>
          <t>2007-11-12</t>
        </is>
      </c>
      <c r="V422" t="inlineStr">
        <is>
          <t>2007-11-12</t>
        </is>
      </c>
      <c r="W422" t="inlineStr">
        <is>
          <t>2004-01-05</t>
        </is>
      </c>
      <c r="X422" t="inlineStr">
        <is>
          <t>2004-01-05</t>
        </is>
      </c>
      <c r="Y422" t="n">
        <v>142</v>
      </c>
      <c r="Z422" t="n">
        <v>117</v>
      </c>
      <c r="AA422" t="n">
        <v>131</v>
      </c>
      <c r="AB422" t="n">
        <v>2</v>
      </c>
      <c r="AC422" t="n">
        <v>2</v>
      </c>
      <c r="AD422" t="n">
        <v>5</v>
      </c>
      <c r="AE422" t="n">
        <v>5</v>
      </c>
      <c r="AF422" t="n">
        <v>0</v>
      </c>
      <c r="AG422" t="n">
        <v>0</v>
      </c>
      <c r="AH422" t="n">
        <v>2</v>
      </c>
      <c r="AI422" t="n">
        <v>2</v>
      </c>
      <c r="AJ422" t="n">
        <v>3</v>
      </c>
      <c r="AK422" t="n">
        <v>3</v>
      </c>
      <c r="AL422" t="n">
        <v>1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HYPERLINK("https://creighton-primo.hosted.exlibrisgroup.com/primo-explore/search?tab=default_tab&amp;search_scope=EVERYTHING&amp;vid=01CRU&amp;lang=en_US&amp;offset=0&amp;query=any,contains,991004179419702656","Catalog Record")</f>
        <v/>
      </c>
      <c r="AT422">
        <f>HYPERLINK("http://www.worldcat.org/oclc/52090613","WorldCat Record")</f>
        <v/>
      </c>
      <c r="AU422" t="inlineStr">
        <is>
          <t>9926478:eng</t>
        </is>
      </c>
      <c r="AV422" t="inlineStr">
        <is>
          <t>52090613</t>
        </is>
      </c>
      <c r="AW422" t="inlineStr">
        <is>
          <t>991004179419702656</t>
        </is>
      </c>
      <c r="AX422" t="inlineStr">
        <is>
          <t>991004179419702656</t>
        </is>
      </c>
      <c r="AY422" t="inlineStr">
        <is>
          <t>2271461930002656</t>
        </is>
      </c>
      <c r="AZ422" t="inlineStr">
        <is>
          <t>BOOK</t>
        </is>
      </c>
      <c r="BB422" t="inlineStr">
        <is>
          <t>9781556434198</t>
        </is>
      </c>
      <c r="BC422" t="inlineStr">
        <is>
          <t>32285004848940</t>
        </is>
      </c>
      <c r="BD422" t="inlineStr">
        <is>
          <t>893417333</t>
        </is>
      </c>
    </row>
    <row r="423">
      <c r="A423" t="inlineStr">
        <is>
          <t>No</t>
        </is>
      </c>
      <c r="B423" t="inlineStr">
        <is>
          <t>QH344 .W67 1977</t>
        </is>
      </c>
      <c r="C423" t="inlineStr">
        <is>
          <t>0                      QH 0344000W  67          1977</t>
        </is>
      </c>
      <c r="D423" t="inlineStr">
        <is>
          <t>The global carbon cycle / edited by B. Bolin ... [et al.].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Workshop on the Carbon Cycle (1977 : Ratzeburg, Germany)</t>
        </is>
      </c>
      <c r="L423" t="inlineStr">
        <is>
          <t>Chichester ; New York : Published on behalf of the Scientific Committee on Problems of the Environment (SCOPE) of the International Council of Scientific Unions (ICSU) by Wiley, c1979.</t>
        </is>
      </c>
      <c r="M423" t="inlineStr">
        <is>
          <t>1979</t>
        </is>
      </c>
      <c r="O423" t="inlineStr">
        <is>
          <t>eng</t>
        </is>
      </c>
      <c r="P423" t="inlineStr">
        <is>
          <t>enk</t>
        </is>
      </c>
      <c r="Q423" t="inlineStr">
        <is>
          <t>SCOPE report ; 13</t>
        </is>
      </c>
      <c r="R423" t="inlineStr">
        <is>
          <t xml:space="preserve">QH </t>
        </is>
      </c>
      <c r="S423" t="n">
        <v>1</v>
      </c>
      <c r="T423" t="n">
        <v>1</v>
      </c>
      <c r="U423" t="inlineStr">
        <is>
          <t>1995-04-22</t>
        </is>
      </c>
      <c r="V423" t="inlineStr">
        <is>
          <t>1995-04-22</t>
        </is>
      </c>
      <c r="W423" t="inlineStr">
        <is>
          <t>1993-03-29</t>
        </is>
      </c>
      <c r="X423" t="inlineStr">
        <is>
          <t>1993-03-29</t>
        </is>
      </c>
      <c r="Y423" t="n">
        <v>350</v>
      </c>
      <c r="Z423" t="n">
        <v>216</v>
      </c>
      <c r="AA423" t="n">
        <v>218</v>
      </c>
      <c r="AB423" t="n">
        <v>3</v>
      </c>
      <c r="AC423" t="n">
        <v>3</v>
      </c>
      <c r="AD423" t="n">
        <v>3</v>
      </c>
      <c r="AE423" t="n">
        <v>3</v>
      </c>
      <c r="AF423" t="n">
        <v>0</v>
      </c>
      <c r="AG423" t="n">
        <v>0</v>
      </c>
      <c r="AH423" t="n">
        <v>1</v>
      </c>
      <c r="AI423" t="n">
        <v>1</v>
      </c>
      <c r="AJ423" t="n">
        <v>1</v>
      </c>
      <c r="AK423" t="n">
        <v>1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HYPERLINK("http://catalog.hathitrust.org/Record/000036540","HathiTrust Record")</f>
        <v/>
      </c>
      <c r="AS423">
        <f>HYPERLINK("https://creighton-primo.hosted.exlibrisgroup.com/primo-explore/search?tab=default_tab&amp;search_scope=EVERYTHING&amp;vid=01CRU&amp;lang=en_US&amp;offset=0&amp;query=any,contains,991004574079702656","Catalog Record")</f>
        <v/>
      </c>
      <c r="AT423">
        <f>HYPERLINK("http://www.worldcat.org/oclc/4036903","WorldCat Record")</f>
        <v/>
      </c>
      <c r="AU423" t="inlineStr">
        <is>
          <t>358946162:eng</t>
        </is>
      </c>
      <c r="AV423" t="inlineStr">
        <is>
          <t>4036903</t>
        </is>
      </c>
      <c r="AW423" t="inlineStr">
        <is>
          <t>991004574079702656</t>
        </is>
      </c>
      <c r="AX423" t="inlineStr">
        <is>
          <t>991004574079702656</t>
        </is>
      </c>
      <c r="AY423" t="inlineStr">
        <is>
          <t>2269182160002656</t>
        </is>
      </c>
      <c r="AZ423" t="inlineStr">
        <is>
          <t>BOOK</t>
        </is>
      </c>
      <c r="BB423" t="inlineStr">
        <is>
          <t>9780471997108</t>
        </is>
      </c>
      <c r="BC423" t="inlineStr">
        <is>
          <t>32285001553253</t>
        </is>
      </c>
      <c r="BD423" t="inlineStr">
        <is>
          <t>893247729</t>
        </is>
      </c>
    </row>
    <row r="424">
      <c r="A424" t="inlineStr">
        <is>
          <t>No</t>
        </is>
      </c>
      <c r="B424" t="inlineStr">
        <is>
          <t>QH345 .B5118 2002</t>
        </is>
      </c>
      <c r="C424" t="inlineStr">
        <is>
          <t>0                      QH 0345000B  5118        2002</t>
        </is>
      </c>
      <c r="D424" t="inlineStr">
        <is>
          <t>Biochemical methods : a concise guide for students and researchers / A. Pingoud ... [et al.].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Weinheim : Wiley-VCH, c2002.</t>
        </is>
      </c>
      <c r="M424" t="inlineStr">
        <is>
          <t>2002</t>
        </is>
      </c>
      <c r="O424" t="inlineStr">
        <is>
          <t>eng</t>
        </is>
      </c>
      <c r="P424" t="inlineStr">
        <is>
          <t xml:space="preserve">gw </t>
        </is>
      </c>
      <c r="R424" t="inlineStr">
        <is>
          <t xml:space="preserve">QH </t>
        </is>
      </c>
      <c r="S424" t="n">
        <v>1</v>
      </c>
      <c r="T424" t="n">
        <v>1</v>
      </c>
      <c r="U424" t="inlineStr">
        <is>
          <t>2008-07-11</t>
        </is>
      </c>
      <c r="V424" t="inlineStr">
        <is>
          <t>2008-07-11</t>
        </is>
      </c>
      <c r="W424" t="inlineStr">
        <is>
          <t>2008-07-11</t>
        </is>
      </c>
      <c r="X424" t="inlineStr">
        <is>
          <t>2008-07-11</t>
        </is>
      </c>
      <c r="Y424" t="n">
        <v>322</v>
      </c>
      <c r="Z424" t="n">
        <v>189</v>
      </c>
      <c r="AA424" t="n">
        <v>193</v>
      </c>
      <c r="AB424" t="n">
        <v>4</v>
      </c>
      <c r="AC424" t="n">
        <v>4</v>
      </c>
      <c r="AD424" t="n">
        <v>9</v>
      </c>
      <c r="AE424" t="n">
        <v>9</v>
      </c>
      <c r="AF424" t="n">
        <v>1</v>
      </c>
      <c r="AG424" t="n">
        <v>1</v>
      </c>
      <c r="AH424" t="n">
        <v>3</v>
      </c>
      <c r="AI424" t="n">
        <v>3</v>
      </c>
      <c r="AJ424" t="n">
        <v>4</v>
      </c>
      <c r="AK424" t="n">
        <v>4</v>
      </c>
      <c r="AL424" t="n">
        <v>3</v>
      </c>
      <c r="AM424" t="n">
        <v>3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HYPERLINK("http://catalog.hathitrust.org/Record/003841644","HathiTrust Record")</f>
        <v/>
      </c>
      <c r="AS424">
        <f>HYPERLINK("https://creighton-primo.hosted.exlibrisgroup.com/primo-explore/search?tab=default_tab&amp;search_scope=EVERYTHING&amp;vid=01CRU&amp;lang=en_US&amp;offset=0&amp;query=any,contains,991005200409702656","Catalog Record")</f>
        <v/>
      </c>
      <c r="AT424">
        <f>HYPERLINK("http://www.worldcat.org/oclc/46601098","WorldCat Record")</f>
        <v/>
      </c>
      <c r="AU424" t="inlineStr">
        <is>
          <t>796381362:eng</t>
        </is>
      </c>
      <c r="AV424" t="inlineStr">
        <is>
          <t>46601098</t>
        </is>
      </c>
      <c r="AW424" t="inlineStr">
        <is>
          <t>991005200409702656</t>
        </is>
      </c>
      <c r="AX424" t="inlineStr">
        <is>
          <t>991005200409702656</t>
        </is>
      </c>
      <c r="AY424" t="inlineStr">
        <is>
          <t>2270153320002656</t>
        </is>
      </c>
      <c r="AZ424" t="inlineStr">
        <is>
          <t>BOOK</t>
        </is>
      </c>
      <c r="BB424" t="inlineStr">
        <is>
          <t>9783527302994</t>
        </is>
      </c>
      <c r="BC424" t="inlineStr">
        <is>
          <t>32285005420384</t>
        </is>
      </c>
      <c r="BD424" t="inlineStr">
        <is>
          <t>893701190</t>
        </is>
      </c>
    </row>
    <row r="425">
      <c r="A425" t="inlineStr">
        <is>
          <t>No</t>
        </is>
      </c>
      <c r="B425" t="inlineStr">
        <is>
          <t>QH345 .B522 no.58</t>
        </is>
      </c>
      <c r="C425" t="inlineStr">
        <is>
          <t>0                      QH 0345000B  522                                                     no.58</t>
        </is>
      </c>
      <c r="D425" t="inlineStr">
        <is>
          <t>The archaebacteria : biochemistry and biotechnology / organized and edited by M.J. Danson, D.W. Hough, and G.G. Lunt.</t>
        </is>
      </c>
      <c r="E425" t="inlineStr">
        <is>
          <t>no.58*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Biochemical Society (Great Britain). Symposium (58th : 1991 : Heriot-Watt University)</t>
        </is>
      </c>
      <c r="L425" t="inlineStr">
        <is>
          <t>London ; Chapel Hill : Portland Press, c1992.</t>
        </is>
      </c>
      <c r="M425" t="inlineStr">
        <is>
          <t>1992</t>
        </is>
      </c>
      <c r="O425" t="inlineStr">
        <is>
          <t>eng</t>
        </is>
      </c>
      <c r="P425" t="inlineStr">
        <is>
          <t>enk</t>
        </is>
      </c>
      <c r="Q425" t="inlineStr">
        <is>
          <t>Biochemical Society symposia, 0067-8694 ; no. 58</t>
        </is>
      </c>
      <c r="R425" t="inlineStr">
        <is>
          <t xml:space="preserve">QH </t>
        </is>
      </c>
      <c r="S425" t="n">
        <v>6</v>
      </c>
      <c r="T425" t="n">
        <v>6</v>
      </c>
      <c r="U425" t="inlineStr">
        <is>
          <t>2001-02-07</t>
        </is>
      </c>
      <c r="V425" t="inlineStr">
        <is>
          <t>2001-02-07</t>
        </is>
      </c>
      <c r="W425" t="inlineStr">
        <is>
          <t>1994-02-01</t>
        </is>
      </c>
      <c r="X425" t="inlineStr">
        <is>
          <t>1994-02-01</t>
        </is>
      </c>
      <c r="Y425" t="n">
        <v>259</v>
      </c>
      <c r="Z425" t="n">
        <v>153</v>
      </c>
      <c r="AA425" t="n">
        <v>160</v>
      </c>
      <c r="AB425" t="n">
        <v>4</v>
      </c>
      <c r="AC425" t="n">
        <v>4</v>
      </c>
      <c r="AD425" t="n">
        <v>6</v>
      </c>
      <c r="AE425" t="n">
        <v>6</v>
      </c>
      <c r="AF425" t="n">
        <v>1</v>
      </c>
      <c r="AG425" t="n">
        <v>1</v>
      </c>
      <c r="AH425" t="n">
        <v>3</v>
      </c>
      <c r="AI425" t="n">
        <v>3</v>
      </c>
      <c r="AJ425" t="n">
        <v>3</v>
      </c>
      <c r="AK425" t="n">
        <v>3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HYPERLINK("https://creighton-primo.hosted.exlibrisgroup.com/primo-explore/search?tab=default_tab&amp;search_scope=EVERYTHING&amp;vid=01CRU&amp;lang=en_US&amp;offset=0&amp;query=any,contains,991002080739702656","Catalog Record")</f>
        <v/>
      </c>
      <c r="AT425">
        <f>HYPERLINK("http://www.worldcat.org/oclc/26677484","WorldCat Record")</f>
        <v/>
      </c>
      <c r="AU425" t="inlineStr">
        <is>
          <t>509800385:eng</t>
        </is>
      </c>
      <c r="AV425" t="inlineStr">
        <is>
          <t>26677484</t>
        </is>
      </c>
      <c r="AW425" t="inlineStr">
        <is>
          <t>991002080739702656</t>
        </is>
      </c>
      <c r="AX425" t="inlineStr">
        <is>
          <t>991002080739702656</t>
        </is>
      </c>
      <c r="AY425" t="inlineStr">
        <is>
          <t>2268968950002656</t>
        </is>
      </c>
      <c r="AZ425" t="inlineStr">
        <is>
          <t>BOOK</t>
        </is>
      </c>
      <c r="BB425" t="inlineStr">
        <is>
          <t>9781855780101</t>
        </is>
      </c>
      <c r="BC425" t="inlineStr">
        <is>
          <t>32285001833986</t>
        </is>
      </c>
      <c r="BD425" t="inlineStr">
        <is>
          <t>893873076</t>
        </is>
      </c>
    </row>
    <row r="426">
      <c r="A426" t="inlineStr">
        <is>
          <t>No</t>
        </is>
      </c>
      <c r="B426" t="inlineStr">
        <is>
          <t>QH345 .C36 pt.1</t>
        </is>
      </c>
      <c r="C426" t="inlineStr">
        <is>
          <t>0                      QH 0345000C  36                                                      pt.1</t>
        </is>
      </c>
      <c r="D426" t="inlineStr">
        <is>
          <t>The conformation of biological macromolecules / Charles R. Cantor, Paul R. Schimmel.</t>
        </is>
      </c>
      <c r="E426" t="inlineStr">
        <is>
          <t>pt.1*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Cantor, Charles R., 1942-</t>
        </is>
      </c>
      <c r="L426" t="inlineStr">
        <is>
          <t>San Francisco : W. H. Freeman, c1980.</t>
        </is>
      </c>
      <c r="M426" t="inlineStr">
        <is>
          <t>1980</t>
        </is>
      </c>
      <c r="O426" t="inlineStr">
        <is>
          <t>eng</t>
        </is>
      </c>
      <c r="P426" t="inlineStr">
        <is>
          <t>cau</t>
        </is>
      </c>
      <c r="Q426" t="inlineStr">
        <is>
          <t>Their Biophysical chemistry ; pt. 1</t>
        </is>
      </c>
      <c r="R426" t="inlineStr">
        <is>
          <t xml:space="preserve">QH </t>
        </is>
      </c>
      <c r="S426" t="n">
        <v>1</v>
      </c>
      <c r="T426" t="n">
        <v>1</v>
      </c>
      <c r="U426" t="inlineStr">
        <is>
          <t>1994-06-08</t>
        </is>
      </c>
      <c r="V426" t="inlineStr">
        <is>
          <t>1994-06-08</t>
        </is>
      </c>
      <c r="W426" t="inlineStr">
        <is>
          <t>1993-01-04</t>
        </is>
      </c>
      <c r="X426" t="inlineStr">
        <is>
          <t>1993-01-04</t>
        </is>
      </c>
      <c r="Y426" t="n">
        <v>408</v>
      </c>
      <c r="Z426" t="n">
        <v>331</v>
      </c>
      <c r="AA426" t="n">
        <v>331</v>
      </c>
      <c r="AB426" t="n">
        <v>3</v>
      </c>
      <c r="AC426" t="n">
        <v>3</v>
      </c>
      <c r="AD426" t="n">
        <v>13</v>
      </c>
      <c r="AE426" t="n">
        <v>13</v>
      </c>
      <c r="AF426" t="n">
        <v>5</v>
      </c>
      <c r="AG426" t="n">
        <v>5</v>
      </c>
      <c r="AH426" t="n">
        <v>3</v>
      </c>
      <c r="AI426" t="n">
        <v>3</v>
      </c>
      <c r="AJ426" t="n">
        <v>8</v>
      </c>
      <c r="AK426" t="n">
        <v>8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HYPERLINK("https://creighton-primo.hosted.exlibrisgroup.com/primo-explore/search?tab=default_tab&amp;search_scope=EVERYTHING&amp;vid=01CRU&amp;lang=en_US&amp;offset=0&amp;query=any,contains,991004839859702656","Catalog Record")</f>
        <v/>
      </c>
      <c r="AT426">
        <f>HYPERLINK("http://www.worldcat.org/oclc/5495728","WorldCat Record")</f>
        <v/>
      </c>
      <c r="AU426" t="inlineStr">
        <is>
          <t>18068056:eng</t>
        </is>
      </c>
      <c r="AV426" t="inlineStr">
        <is>
          <t>5495728</t>
        </is>
      </c>
      <c r="AW426" t="inlineStr">
        <is>
          <t>991004839859702656</t>
        </is>
      </c>
      <c r="AX426" t="inlineStr">
        <is>
          <t>991004839859702656</t>
        </is>
      </c>
      <c r="AY426" t="inlineStr">
        <is>
          <t>2265770430002656</t>
        </is>
      </c>
      <c r="AZ426" t="inlineStr">
        <is>
          <t>BOOK</t>
        </is>
      </c>
      <c r="BB426" t="inlineStr">
        <is>
          <t>9780716710424</t>
        </is>
      </c>
      <c r="BC426" t="inlineStr">
        <is>
          <t>32285001471795</t>
        </is>
      </c>
      <c r="BD426" t="inlineStr">
        <is>
          <t>893628385</t>
        </is>
      </c>
    </row>
    <row r="427">
      <c r="A427" t="inlineStr">
        <is>
          <t>No</t>
        </is>
      </c>
      <c r="B427" t="inlineStr">
        <is>
          <t>QH345 .C36 pt.3</t>
        </is>
      </c>
      <c r="C427" t="inlineStr">
        <is>
          <t>0                      QH 0345000C  36                                                      pt.3</t>
        </is>
      </c>
      <c r="D427" t="inlineStr">
        <is>
          <t>The behavior of biological macromolecules / Charles R. Cantor, Paul R. Schimmel.</t>
        </is>
      </c>
      <c r="E427" t="inlineStr">
        <is>
          <t>pt.3*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Cantor, Charles R., 1942-</t>
        </is>
      </c>
      <c r="L427" t="inlineStr">
        <is>
          <t>San Francisco : W. H. Freeman, 1980.</t>
        </is>
      </c>
      <c r="M427" t="inlineStr">
        <is>
          <t>1980</t>
        </is>
      </c>
      <c r="O427" t="inlineStr">
        <is>
          <t>eng</t>
        </is>
      </c>
      <c r="P427" t="inlineStr">
        <is>
          <t>cau</t>
        </is>
      </c>
      <c r="Q427" t="inlineStr">
        <is>
          <t>Their Biophysical chemistry ; pt. 3</t>
        </is>
      </c>
      <c r="R427" t="inlineStr">
        <is>
          <t xml:space="preserve">QH </t>
        </is>
      </c>
      <c r="S427" t="n">
        <v>2</v>
      </c>
      <c r="T427" t="n">
        <v>2</v>
      </c>
      <c r="U427" t="inlineStr">
        <is>
          <t>2008-01-25</t>
        </is>
      </c>
      <c r="V427" t="inlineStr">
        <is>
          <t>2008-01-25</t>
        </is>
      </c>
      <c r="W427" t="inlineStr">
        <is>
          <t>1993-01-04</t>
        </is>
      </c>
      <c r="X427" t="inlineStr">
        <is>
          <t>1993-01-04</t>
        </is>
      </c>
      <c r="Y427" t="n">
        <v>329</v>
      </c>
      <c r="Z427" t="n">
        <v>268</v>
      </c>
      <c r="AA427" t="n">
        <v>268</v>
      </c>
      <c r="AB427" t="n">
        <v>3</v>
      </c>
      <c r="AC427" t="n">
        <v>3</v>
      </c>
      <c r="AD427" t="n">
        <v>13</v>
      </c>
      <c r="AE427" t="n">
        <v>13</v>
      </c>
      <c r="AF427" t="n">
        <v>6</v>
      </c>
      <c r="AG427" t="n">
        <v>6</v>
      </c>
      <c r="AH427" t="n">
        <v>3</v>
      </c>
      <c r="AI427" t="n">
        <v>3</v>
      </c>
      <c r="AJ427" t="n">
        <v>8</v>
      </c>
      <c r="AK427" t="n">
        <v>8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HYPERLINK("https://creighton-primo.hosted.exlibrisgroup.com/primo-explore/search?tab=default_tab&amp;search_scope=EVERYTHING&amp;vid=01CRU&amp;lang=en_US&amp;offset=0&amp;query=any,contains,991004903019702656","Catalog Record")</f>
        <v/>
      </c>
      <c r="AT427">
        <f>HYPERLINK("http://www.worldcat.org/oclc/5942353","WorldCat Record")</f>
        <v/>
      </c>
      <c r="AU427" t="inlineStr">
        <is>
          <t>5195150149:eng</t>
        </is>
      </c>
      <c r="AV427" t="inlineStr">
        <is>
          <t>5942353</t>
        </is>
      </c>
      <c r="AW427" t="inlineStr">
        <is>
          <t>991004903019702656</t>
        </is>
      </c>
      <c r="AX427" t="inlineStr">
        <is>
          <t>991004903019702656</t>
        </is>
      </c>
      <c r="AY427" t="inlineStr">
        <is>
          <t>2270636060002656</t>
        </is>
      </c>
      <c r="AZ427" t="inlineStr">
        <is>
          <t>BOOK</t>
        </is>
      </c>
      <c r="BB427" t="inlineStr">
        <is>
          <t>9780716711919</t>
        </is>
      </c>
      <c r="BC427" t="inlineStr">
        <is>
          <t>32285001471811</t>
        </is>
      </c>
      <c r="BD427" t="inlineStr">
        <is>
          <t>893260306</t>
        </is>
      </c>
    </row>
    <row r="428">
      <c r="A428" t="inlineStr">
        <is>
          <t>No</t>
        </is>
      </c>
      <c r="B428" t="inlineStr">
        <is>
          <t>QH345 .C425 2005</t>
        </is>
      </c>
      <c r="C428" t="inlineStr">
        <is>
          <t>0                      QH 0345000C  425         2005</t>
        </is>
      </c>
      <c r="D428" t="inlineStr">
        <is>
          <t>Physical chemistry for the biosciences / Raymond Chang.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Chang, Raymond.</t>
        </is>
      </c>
      <c r="L428" t="inlineStr">
        <is>
          <t>Sansalito, Calif. : University Science Books, c2005.</t>
        </is>
      </c>
      <c r="M428" t="inlineStr">
        <is>
          <t>2005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QH </t>
        </is>
      </c>
      <c r="S428" t="n">
        <v>1</v>
      </c>
      <c r="T428" t="n">
        <v>1</v>
      </c>
      <c r="U428" t="inlineStr">
        <is>
          <t>2006-02-08</t>
        </is>
      </c>
      <c r="V428" t="inlineStr">
        <is>
          <t>2006-02-08</t>
        </is>
      </c>
      <c r="W428" t="inlineStr">
        <is>
          <t>2006-02-08</t>
        </is>
      </c>
      <c r="X428" t="inlineStr">
        <is>
          <t>2006-02-08</t>
        </is>
      </c>
      <c r="Y428" t="n">
        <v>406</v>
      </c>
      <c r="Z428" t="n">
        <v>296</v>
      </c>
      <c r="AA428" t="n">
        <v>296</v>
      </c>
      <c r="AB428" t="n">
        <v>2</v>
      </c>
      <c r="AC428" t="n">
        <v>2</v>
      </c>
      <c r="AD428" t="n">
        <v>18</v>
      </c>
      <c r="AE428" t="n">
        <v>18</v>
      </c>
      <c r="AF428" t="n">
        <v>10</v>
      </c>
      <c r="AG428" t="n">
        <v>10</v>
      </c>
      <c r="AH428" t="n">
        <v>5</v>
      </c>
      <c r="AI428" t="n">
        <v>5</v>
      </c>
      <c r="AJ428" t="n">
        <v>8</v>
      </c>
      <c r="AK428" t="n">
        <v>8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HYPERLINK("https://creighton-primo.hosted.exlibrisgroup.com/primo-explore/search?tab=default_tab&amp;search_scope=EVERYTHING&amp;vid=01CRU&amp;lang=en_US&amp;offset=0&amp;query=any,contains,991004724939702656","Catalog Record")</f>
        <v/>
      </c>
      <c r="AT428">
        <f>HYPERLINK("http://www.worldcat.org/oclc/55105512","WorldCat Record")</f>
        <v/>
      </c>
      <c r="AU428" t="inlineStr">
        <is>
          <t>3857809864:eng</t>
        </is>
      </c>
      <c r="AV428" t="inlineStr">
        <is>
          <t>55105512</t>
        </is>
      </c>
      <c r="AW428" t="inlineStr">
        <is>
          <t>991004724939702656</t>
        </is>
      </c>
      <c r="AX428" t="inlineStr">
        <is>
          <t>991004724939702656</t>
        </is>
      </c>
      <c r="AY428" t="inlineStr">
        <is>
          <t>2255095830002656</t>
        </is>
      </c>
      <c r="AZ428" t="inlineStr">
        <is>
          <t>BOOK</t>
        </is>
      </c>
      <c r="BB428" t="inlineStr">
        <is>
          <t>9781891389337</t>
        </is>
      </c>
      <c r="BC428" t="inlineStr">
        <is>
          <t>32285005157580</t>
        </is>
      </c>
      <c r="BD428" t="inlineStr">
        <is>
          <t>893625017</t>
        </is>
      </c>
    </row>
    <row r="429">
      <c r="A429" t="inlineStr">
        <is>
          <t>No</t>
        </is>
      </c>
      <c r="B429" t="inlineStr">
        <is>
          <t>QH345 .C435</t>
        </is>
      </c>
      <c r="C429" t="inlineStr">
        <is>
          <t>0                      QH 0345000C  435</t>
        </is>
      </c>
      <c r="D429" t="inlineStr">
        <is>
          <t>Chemical ecology. Edited by Ernest Sondheimer and John B. Simeone. [Contributors: John Tyler Bonner and others]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 York, Academic Press, 1970.</t>
        </is>
      </c>
      <c r="M429" t="inlineStr">
        <is>
          <t>1970</t>
        </is>
      </c>
      <c r="O429" t="inlineStr">
        <is>
          <t>eng</t>
        </is>
      </c>
      <c r="P429" t="inlineStr">
        <is>
          <t>nyu</t>
        </is>
      </c>
      <c r="R429" t="inlineStr">
        <is>
          <t xml:space="preserve">QH </t>
        </is>
      </c>
      <c r="S429" t="n">
        <v>5</v>
      </c>
      <c r="T429" t="n">
        <v>5</v>
      </c>
      <c r="U429" t="inlineStr">
        <is>
          <t>1999-04-23</t>
        </is>
      </c>
      <c r="V429" t="inlineStr">
        <is>
          <t>1999-04-23</t>
        </is>
      </c>
      <c r="W429" t="inlineStr">
        <is>
          <t>1997-07-01</t>
        </is>
      </c>
      <c r="X429" t="inlineStr">
        <is>
          <t>1997-07-01</t>
        </is>
      </c>
      <c r="Y429" t="n">
        <v>854</v>
      </c>
      <c r="Z429" t="n">
        <v>645</v>
      </c>
      <c r="AA429" t="n">
        <v>692</v>
      </c>
      <c r="AB429" t="n">
        <v>8</v>
      </c>
      <c r="AC429" t="n">
        <v>8</v>
      </c>
      <c r="AD429" t="n">
        <v>23</v>
      </c>
      <c r="AE429" t="n">
        <v>28</v>
      </c>
      <c r="AF429" t="n">
        <v>5</v>
      </c>
      <c r="AG429" t="n">
        <v>8</v>
      </c>
      <c r="AH429" t="n">
        <v>5</v>
      </c>
      <c r="AI429" t="n">
        <v>8</v>
      </c>
      <c r="AJ429" t="n">
        <v>10</v>
      </c>
      <c r="AK429" t="n">
        <v>10</v>
      </c>
      <c r="AL429" t="n">
        <v>7</v>
      </c>
      <c r="AM429" t="n">
        <v>7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HYPERLINK("http://catalog.hathitrust.org/Record/001491525","HathiTrust Record")</f>
        <v/>
      </c>
      <c r="AS429">
        <f>HYPERLINK("https://creighton-primo.hosted.exlibrisgroup.com/primo-explore/search?tab=default_tab&amp;search_scope=EVERYTHING&amp;vid=01CRU&amp;lang=en_US&amp;offset=0&amp;query=any,contains,991005257359702656","Catalog Record")</f>
        <v/>
      </c>
      <c r="AT429">
        <f>HYPERLINK("http://www.worldcat.org/oclc/82317","WorldCat Record")</f>
        <v/>
      </c>
      <c r="AU429" t="inlineStr">
        <is>
          <t>354227249:eng</t>
        </is>
      </c>
      <c r="AV429" t="inlineStr">
        <is>
          <t>82317</t>
        </is>
      </c>
      <c r="AW429" t="inlineStr">
        <is>
          <t>991005257359702656</t>
        </is>
      </c>
      <c r="AX429" t="inlineStr">
        <is>
          <t>991005257359702656</t>
        </is>
      </c>
      <c r="AY429" t="inlineStr">
        <is>
          <t>2272046220002656</t>
        </is>
      </c>
      <c r="AZ429" t="inlineStr">
        <is>
          <t>BOOK</t>
        </is>
      </c>
      <c r="BC429" t="inlineStr">
        <is>
          <t>32285002869294</t>
        </is>
      </c>
      <c r="BD429" t="inlineStr">
        <is>
          <t>893789695</t>
        </is>
      </c>
    </row>
    <row r="430">
      <c r="A430" t="inlineStr">
        <is>
          <t>No</t>
        </is>
      </c>
      <c r="B430" t="inlineStr">
        <is>
          <t>QH345 .F494 1960</t>
        </is>
      </c>
      <c r="C430" t="inlineStr">
        <is>
          <t>0                      QH 0345000F  494         1960</t>
        </is>
      </c>
      <c r="D430" t="inlineStr">
        <is>
          <t>Unity and diversity in biochemistry : an introduction to chemical biology / by Marcel Florkin. Translated from the French by T. Wood.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Florkin, Marcel.</t>
        </is>
      </c>
      <c r="L430" t="inlineStr">
        <is>
          <t>Oxford : New York : Pergamon,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enk</t>
        </is>
      </c>
      <c r="Q430" t="inlineStr">
        <is>
          <t>International series of monographs on pure and applied biology. Division, Modern trends in physiological sciences ; v. 1</t>
        </is>
      </c>
      <c r="R430" t="inlineStr">
        <is>
          <t xml:space="preserve">QH </t>
        </is>
      </c>
      <c r="S430" t="n">
        <v>8</v>
      </c>
      <c r="T430" t="n">
        <v>8</v>
      </c>
      <c r="U430" t="inlineStr">
        <is>
          <t>1996-09-23</t>
        </is>
      </c>
      <c r="V430" t="inlineStr">
        <is>
          <t>1996-09-23</t>
        </is>
      </c>
      <c r="W430" t="inlineStr">
        <is>
          <t>1992-03-17</t>
        </is>
      </c>
      <c r="X430" t="inlineStr">
        <is>
          <t>1992-03-17</t>
        </is>
      </c>
      <c r="Y430" t="n">
        <v>385</v>
      </c>
      <c r="Z430" t="n">
        <v>294</v>
      </c>
      <c r="AA430" t="n">
        <v>360</v>
      </c>
      <c r="AB430" t="n">
        <v>3</v>
      </c>
      <c r="AC430" t="n">
        <v>4</v>
      </c>
      <c r="AD430" t="n">
        <v>11</v>
      </c>
      <c r="AE430" t="n">
        <v>15</v>
      </c>
      <c r="AF430" t="n">
        <v>2</v>
      </c>
      <c r="AG430" t="n">
        <v>4</v>
      </c>
      <c r="AH430" t="n">
        <v>2</v>
      </c>
      <c r="AI430" t="n">
        <v>4</v>
      </c>
      <c r="AJ430" t="n">
        <v>6</v>
      </c>
      <c r="AK430" t="n">
        <v>6</v>
      </c>
      <c r="AL430" t="n">
        <v>2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HYPERLINK("http://catalog.hathitrust.org/Record/001491528","HathiTrust Record")</f>
        <v/>
      </c>
      <c r="AS430">
        <f>HYPERLINK("https://creighton-primo.hosted.exlibrisgroup.com/primo-explore/search?tab=default_tab&amp;search_scope=EVERYTHING&amp;vid=01CRU&amp;lang=en_US&amp;offset=0&amp;query=any,contains,991002972759702656","Catalog Record")</f>
        <v/>
      </c>
      <c r="AT430">
        <f>HYPERLINK("http://www.worldcat.org/oclc/550396","WorldCat Record")</f>
        <v/>
      </c>
      <c r="AU430" t="inlineStr">
        <is>
          <t>2908718645:eng</t>
        </is>
      </c>
      <c r="AV430" t="inlineStr">
        <is>
          <t>550396</t>
        </is>
      </c>
      <c r="AW430" t="inlineStr">
        <is>
          <t>991002972759702656</t>
        </is>
      </c>
      <c r="AX430" t="inlineStr">
        <is>
          <t>991002972759702656</t>
        </is>
      </c>
      <c r="AY430" t="inlineStr">
        <is>
          <t>2254943500002656</t>
        </is>
      </c>
      <c r="AZ430" t="inlineStr">
        <is>
          <t>BOOK</t>
        </is>
      </c>
      <c r="BC430" t="inlineStr">
        <is>
          <t>32285001022549</t>
        </is>
      </c>
      <c r="BD430" t="inlineStr">
        <is>
          <t>893805281</t>
        </is>
      </c>
    </row>
    <row r="431">
      <c r="A431" t="inlineStr">
        <is>
          <t>No</t>
        </is>
      </c>
      <c r="B431" t="inlineStr">
        <is>
          <t>QH345 .M39 2001</t>
        </is>
      </c>
      <c r="C431" t="inlineStr">
        <is>
          <t>0                      QH 0345000M  39          2001</t>
        </is>
      </c>
      <c r="D431" t="inlineStr">
        <is>
          <t>Biochemistry : the chemical reactions of living cells / David E. Metzler.</t>
        </is>
      </c>
      <c r="E431" t="inlineStr">
        <is>
          <t>V. 2</t>
        </is>
      </c>
      <c r="F431" t="inlineStr">
        <is>
          <t>Yes</t>
        </is>
      </c>
      <c r="G431" t="inlineStr">
        <is>
          <t>1</t>
        </is>
      </c>
      <c r="H431" t="inlineStr">
        <is>
          <t>Yes</t>
        </is>
      </c>
      <c r="I431" t="inlineStr">
        <is>
          <t>No</t>
        </is>
      </c>
      <c r="J431" t="inlineStr">
        <is>
          <t>0</t>
        </is>
      </c>
      <c r="K431" t="inlineStr">
        <is>
          <t>Metzler, David E.</t>
        </is>
      </c>
      <c r="L431" t="inlineStr">
        <is>
          <t>San Diego, Calif. : Academic Press, 2001.</t>
        </is>
      </c>
      <c r="M431" t="inlineStr">
        <is>
          <t>2001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QH </t>
        </is>
      </c>
      <c r="S431" t="n">
        <v>9</v>
      </c>
      <c r="T431" t="n">
        <v>19</v>
      </c>
      <c r="U431" t="inlineStr">
        <is>
          <t>2009-09-23</t>
        </is>
      </c>
      <c r="V431" t="inlineStr">
        <is>
          <t>2009-09-28</t>
        </is>
      </c>
      <c r="W431" t="inlineStr">
        <is>
          <t>2003-06-24</t>
        </is>
      </c>
      <c r="X431" t="inlineStr">
        <is>
          <t>2003-06-24</t>
        </is>
      </c>
      <c r="Y431" t="n">
        <v>560</v>
      </c>
      <c r="Z431" t="n">
        <v>441</v>
      </c>
      <c r="AA431" t="n">
        <v>687</v>
      </c>
      <c r="AB431" t="n">
        <v>7</v>
      </c>
      <c r="AC431" t="n">
        <v>9</v>
      </c>
      <c r="AD431" t="n">
        <v>28</v>
      </c>
      <c r="AE431" t="n">
        <v>40</v>
      </c>
      <c r="AF431" t="n">
        <v>13</v>
      </c>
      <c r="AG431" t="n">
        <v>17</v>
      </c>
      <c r="AH431" t="n">
        <v>6</v>
      </c>
      <c r="AI431" t="n">
        <v>8</v>
      </c>
      <c r="AJ431" t="n">
        <v>11</v>
      </c>
      <c r="AK431" t="n">
        <v>18</v>
      </c>
      <c r="AL431" t="n">
        <v>5</v>
      </c>
      <c r="AM431" t="n">
        <v>7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1">
        <f>HYPERLINK("http://www.worldcat.org/oclc/44852069","WorldCat Record")</f>
        <v/>
      </c>
      <c r="AU431" t="inlineStr">
        <is>
          <t>777350942:eng</t>
        </is>
      </c>
      <c r="AV431" t="inlineStr">
        <is>
          <t>44852069</t>
        </is>
      </c>
      <c r="AW431" t="inlineStr">
        <is>
          <t>991003998609702656</t>
        </is>
      </c>
      <c r="AX431" t="inlineStr">
        <is>
          <t>991003998609702656</t>
        </is>
      </c>
      <c r="AY431" t="inlineStr">
        <is>
          <t>2265280090002656</t>
        </is>
      </c>
      <c r="AZ431" t="inlineStr">
        <is>
          <t>BOOK</t>
        </is>
      </c>
      <c r="BB431" t="inlineStr">
        <is>
          <t>9780124925403</t>
        </is>
      </c>
      <c r="BC431" t="inlineStr">
        <is>
          <t>32285004754627</t>
        </is>
      </c>
      <c r="BD431" t="inlineStr">
        <is>
          <t>893417100</t>
        </is>
      </c>
    </row>
    <row r="432">
      <c r="A432" t="inlineStr">
        <is>
          <t>No</t>
        </is>
      </c>
      <c r="B432" t="inlineStr">
        <is>
          <t>QH345 .M39 2001</t>
        </is>
      </c>
      <c r="C432" t="inlineStr">
        <is>
          <t>0                      QH 0345000M  39          2001</t>
        </is>
      </c>
      <c r="D432" t="inlineStr">
        <is>
          <t>Biochemistry : the chemical reactions of living cells / David E. Metzler.</t>
        </is>
      </c>
      <c r="E432" t="inlineStr">
        <is>
          <t>V. 1</t>
        </is>
      </c>
      <c r="F432" t="inlineStr">
        <is>
          <t>Yes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Metzler, David E.</t>
        </is>
      </c>
      <c r="L432" t="inlineStr">
        <is>
          <t>San Diego, Calif. : Academic Press, 2001.</t>
        </is>
      </c>
      <c r="M432" t="inlineStr">
        <is>
          <t>2001</t>
        </is>
      </c>
      <c r="N432" t="inlineStr">
        <is>
          <t>2nd ed.</t>
        </is>
      </c>
      <c r="O432" t="inlineStr">
        <is>
          <t>eng</t>
        </is>
      </c>
      <c r="P432" t="inlineStr">
        <is>
          <t>cau</t>
        </is>
      </c>
      <c r="R432" t="inlineStr">
        <is>
          <t xml:space="preserve">QH </t>
        </is>
      </c>
      <c r="S432" t="n">
        <v>10</v>
      </c>
      <c r="T432" t="n">
        <v>19</v>
      </c>
      <c r="U432" t="inlineStr">
        <is>
          <t>2009-09-28</t>
        </is>
      </c>
      <c r="V432" t="inlineStr">
        <is>
          <t>2009-09-28</t>
        </is>
      </c>
      <c r="W432" t="inlineStr">
        <is>
          <t>2003-06-24</t>
        </is>
      </c>
      <c r="X432" t="inlineStr">
        <is>
          <t>2003-06-24</t>
        </is>
      </c>
      <c r="Y432" t="n">
        <v>560</v>
      </c>
      <c r="Z432" t="n">
        <v>441</v>
      </c>
      <c r="AA432" t="n">
        <v>687</v>
      </c>
      <c r="AB432" t="n">
        <v>7</v>
      </c>
      <c r="AC432" t="n">
        <v>9</v>
      </c>
      <c r="AD432" t="n">
        <v>28</v>
      </c>
      <c r="AE432" t="n">
        <v>40</v>
      </c>
      <c r="AF432" t="n">
        <v>13</v>
      </c>
      <c r="AG432" t="n">
        <v>17</v>
      </c>
      <c r="AH432" t="n">
        <v>6</v>
      </c>
      <c r="AI432" t="n">
        <v>8</v>
      </c>
      <c r="AJ432" t="n">
        <v>11</v>
      </c>
      <c r="AK432" t="n">
        <v>18</v>
      </c>
      <c r="AL432" t="n">
        <v>5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2">
        <f>HYPERLINK("http://www.worldcat.org/oclc/44852069","WorldCat Record")</f>
        <v/>
      </c>
      <c r="AU432" t="inlineStr">
        <is>
          <t>777350942:eng</t>
        </is>
      </c>
      <c r="AV432" t="inlineStr">
        <is>
          <t>44852069</t>
        </is>
      </c>
      <c r="AW432" t="inlineStr">
        <is>
          <t>991003998609702656</t>
        </is>
      </c>
      <c r="AX432" t="inlineStr">
        <is>
          <t>991003998609702656</t>
        </is>
      </c>
      <c r="AY432" t="inlineStr">
        <is>
          <t>2265280090002656</t>
        </is>
      </c>
      <c r="AZ432" t="inlineStr">
        <is>
          <t>BOOK</t>
        </is>
      </c>
      <c r="BB432" t="inlineStr">
        <is>
          <t>9780124925403</t>
        </is>
      </c>
      <c r="BC432" t="inlineStr">
        <is>
          <t>32285004754619</t>
        </is>
      </c>
      <c r="BD432" t="inlineStr">
        <is>
          <t>893417101</t>
        </is>
      </c>
    </row>
    <row r="433">
      <c r="A433" t="inlineStr">
        <is>
          <t>No</t>
        </is>
      </c>
      <c r="B433" t="inlineStr">
        <is>
          <t>QH351 .B67 1991</t>
        </is>
      </c>
      <c r="C433" t="inlineStr">
        <is>
          <t>0                      QH 0351000B  67          1991</t>
        </is>
      </c>
      <c r="D433" t="inlineStr">
        <is>
          <t>Morphometric tools for landmark data : geometry and biology / Fred L. Bookstein.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Bookstein, Fred L., 1947-</t>
        </is>
      </c>
      <c r="L433" t="inlineStr">
        <is>
          <t>Cambridge [England] ; New York : Cambridge University Press, 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R433" t="inlineStr">
        <is>
          <t xml:space="preserve">QH </t>
        </is>
      </c>
      <c r="S433" t="n">
        <v>2</v>
      </c>
      <c r="T433" t="n">
        <v>2</v>
      </c>
      <c r="U433" t="inlineStr">
        <is>
          <t>2009-06-16</t>
        </is>
      </c>
      <c r="V433" t="inlineStr">
        <is>
          <t>2009-06-16</t>
        </is>
      </c>
      <c r="W433" t="inlineStr">
        <is>
          <t>1994-03-11</t>
        </is>
      </c>
      <c r="X433" t="inlineStr">
        <is>
          <t>1994-03-11</t>
        </is>
      </c>
      <c r="Y433" t="n">
        <v>254</v>
      </c>
      <c r="Z433" t="n">
        <v>176</v>
      </c>
      <c r="AA433" t="n">
        <v>229</v>
      </c>
      <c r="AB433" t="n">
        <v>2</v>
      </c>
      <c r="AC433" t="n">
        <v>3</v>
      </c>
      <c r="AD433" t="n">
        <v>5</v>
      </c>
      <c r="AE433" t="n">
        <v>6</v>
      </c>
      <c r="AF433" t="n">
        <v>1</v>
      </c>
      <c r="AG433" t="n">
        <v>1</v>
      </c>
      <c r="AH433" t="n">
        <v>1</v>
      </c>
      <c r="AI433" t="n">
        <v>1</v>
      </c>
      <c r="AJ433" t="n">
        <v>3</v>
      </c>
      <c r="AK433" t="n">
        <v>3</v>
      </c>
      <c r="AL433" t="n">
        <v>1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HYPERLINK("https://creighton-primo.hosted.exlibrisgroup.com/primo-explore/search?tab=default_tab&amp;search_scope=EVERYTHING&amp;vid=01CRU&amp;lang=en_US&amp;offset=0&amp;query=any,contains,991001952949702656","Catalog Record")</f>
        <v/>
      </c>
      <c r="AT433">
        <f>HYPERLINK("http://www.worldcat.org/oclc/24696362","WorldCat Record")</f>
        <v/>
      </c>
      <c r="AU433" t="inlineStr">
        <is>
          <t>808449108:eng</t>
        </is>
      </c>
      <c r="AV433" t="inlineStr">
        <is>
          <t>24696362</t>
        </is>
      </c>
      <c r="AW433" t="inlineStr">
        <is>
          <t>991001952949702656</t>
        </is>
      </c>
      <c r="AX433" t="inlineStr">
        <is>
          <t>991001952949702656</t>
        </is>
      </c>
      <c r="AY433" t="inlineStr">
        <is>
          <t>2265013830002656</t>
        </is>
      </c>
      <c r="AZ433" t="inlineStr">
        <is>
          <t>BOOK</t>
        </is>
      </c>
      <c r="BB433" t="inlineStr">
        <is>
          <t>9780521383851</t>
        </is>
      </c>
      <c r="BC433" t="inlineStr">
        <is>
          <t>32285001856011</t>
        </is>
      </c>
      <c r="BD433" t="inlineStr">
        <is>
          <t>893697183</t>
        </is>
      </c>
    </row>
    <row r="434">
      <c r="A434" t="inlineStr">
        <is>
          <t>No</t>
        </is>
      </c>
      <c r="B434" t="inlineStr">
        <is>
          <t>QH351 .C65 1991</t>
        </is>
      </c>
      <c r="C434" t="inlineStr">
        <is>
          <t>0                      QH 0351000C  65          1991</t>
        </is>
      </c>
      <c r="D434" t="inlineStr">
        <is>
          <t>Constructional morphology and evolution / N. Schmidt-Kittler, K. Vogel (eds.).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Berlin ; New York : Springer-Verlag, c1991.</t>
        </is>
      </c>
      <c r="M434" t="inlineStr">
        <is>
          <t>1991</t>
        </is>
      </c>
      <c r="O434" t="inlineStr">
        <is>
          <t>eng</t>
        </is>
      </c>
      <c r="P434" t="inlineStr">
        <is>
          <t xml:space="preserve">gw </t>
        </is>
      </c>
      <c r="R434" t="inlineStr">
        <is>
          <t xml:space="preserve">QH </t>
        </is>
      </c>
      <c r="S434" t="n">
        <v>4</v>
      </c>
      <c r="T434" t="n">
        <v>4</v>
      </c>
      <c r="U434" t="inlineStr">
        <is>
          <t>2005-01-19</t>
        </is>
      </c>
      <c r="V434" t="inlineStr">
        <is>
          <t>2005-01-19</t>
        </is>
      </c>
      <c r="W434" t="inlineStr">
        <is>
          <t>1992-08-05</t>
        </is>
      </c>
      <c r="X434" t="inlineStr">
        <is>
          <t>1992-08-05</t>
        </is>
      </c>
      <c r="Y434" t="n">
        <v>131</v>
      </c>
      <c r="Z434" t="n">
        <v>56</v>
      </c>
      <c r="AA434" t="n">
        <v>80</v>
      </c>
      <c r="AB434" t="n">
        <v>1</v>
      </c>
      <c r="AC434" t="n">
        <v>1</v>
      </c>
      <c r="AD434" t="n">
        <v>2</v>
      </c>
      <c r="AE434" t="n">
        <v>3</v>
      </c>
      <c r="AF434" t="n">
        <v>0</v>
      </c>
      <c r="AG434" t="n">
        <v>1</v>
      </c>
      <c r="AH434" t="n">
        <v>2</v>
      </c>
      <c r="AI434" t="n">
        <v>2</v>
      </c>
      <c r="AJ434" t="n">
        <v>2</v>
      </c>
      <c r="AK434" t="n">
        <v>3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HYPERLINK("http://catalog.hathitrust.org/Record/002495084","HathiTrust Record")</f>
        <v/>
      </c>
      <c r="AS434">
        <f>HYPERLINK("https://creighton-primo.hosted.exlibrisgroup.com/primo-explore/search?tab=default_tab&amp;search_scope=EVERYTHING&amp;vid=01CRU&amp;lang=en_US&amp;offset=0&amp;query=any,contains,991001861689702656","Catalog Record")</f>
        <v/>
      </c>
      <c r="AT434">
        <f>HYPERLINK("http://www.worldcat.org/oclc/23384513","WorldCat Record")</f>
        <v/>
      </c>
      <c r="AU434" t="inlineStr">
        <is>
          <t>350135229:eng</t>
        </is>
      </c>
      <c r="AV434" t="inlineStr">
        <is>
          <t>23384513</t>
        </is>
      </c>
      <c r="AW434" t="inlineStr">
        <is>
          <t>991001861689702656</t>
        </is>
      </c>
      <c r="AX434" t="inlineStr">
        <is>
          <t>991001861689702656</t>
        </is>
      </c>
      <c r="AY434" t="inlineStr">
        <is>
          <t>2267848530002656</t>
        </is>
      </c>
      <c r="AZ434" t="inlineStr">
        <is>
          <t>BOOK</t>
        </is>
      </c>
      <c r="BB434" t="inlineStr">
        <is>
          <t>9780387532790</t>
        </is>
      </c>
      <c r="BC434" t="inlineStr">
        <is>
          <t>32285001196749</t>
        </is>
      </c>
      <c r="BD434" t="inlineStr">
        <is>
          <t>893516631</t>
        </is>
      </c>
    </row>
    <row r="435">
      <c r="A435" t="inlineStr">
        <is>
          <t>No</t>
        </is>
      </c>
      <c r="B435" t="inlineStr">
        <is>
          <t>QH351 .E37 1994</t>
        </is>
      </c>
      <c r="C435" t="inlineStr">
        <is>
          <t>0                      QH 0351000E  37          1994</t>
        </is>
      </c>
      <c r="D435" t="inlineStr">
        <is>
          <t>Ecological morphology : integrative organismal biology / edited by Peter C. Wainwright and Stephen M. Reilly.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Chicago : University of Chicago Press. c1994.</t>
        </is>
      </c>
      <c r="M435" t="inlineStr">
        <is>
          <t>1994</t>
        </is>
      </c>
      <c r="O435" t="inlineStr">
        <is>
          <t>eng</t>
        </is>
      </c>
      <c r="P435" t="inlineStr">
        <is>
          <t>ilu</t>
        </is>
      </c>
      <c r="R435" t="inlineStr">
        <is>
          <t xml:space="preserve">QH </t>
        </is>
      </c>
      <c r="S435" t="n">
        <v>8</v>
      </c>
      <c r="T435" t="n">
        <v>8</v>
      </c>
      <c r="U435" t="inlineStr">
        <is>
          <t>2003-03-04</t>
        </is>
      </c>
      <c r="V435" t="inlineStr">
        <is>
          <t>2003-03-04</t>
        </is>
      </c>
      <c r="W435" t="inlineStr">
        <is>
          <t>1995-08-01</t>
        </is>
      </c>
      <c r="X435" t="inlineStr">
        <is>
          <t>1995-08-01</t>
        </is>
      </c>
      <c r="Y435" t="n">
        <v>412</v>
      </c>
      <c r="Z435" t="n">
        <v>306</v>
      </c>
      <c r="AA435" t="n">
        <v>306</v>
      </c>
      <c r="AB435" t="n">
        <v>4</v>
      </c>
      <c r="AC435" t="n">
        <v>4</v>
      </c>
      <c r="AD435" t="n">
        <v>15</v>
      </c>
      <c r="AE435" t="n">
        <v>15</v>
      </c>
      <c r="AF435" t="n">
        <v>5</v>
      </c>
      <c r="AG435" t="n">
        <v>5</v>
      </c>
      <c r="AH435" t="n">
        <v>4</v>
      </c>
      <c r="AI435" t="n">
        <v>4</v>
      </c>
      <c r="AJ435" t="n">
        <v>7</v>
      </c>
      <c r="AK435" t="n">
        <v>7</v>
      </c>
      <c r="AL435" t="n">
        <v>3</v>
      </c>
      <c r="AM435" t="n">
        <v>3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HYPERLINK("https://creighton-primo.hosted.exlibrisgroup.com/primo-explore/search?tab=default_tab&amp;search_scope=EVERYTHING&amp;vid=01CRU&amp;lang=en_US&amp;offset=0&amp;query=any,contains,991002262679702656","Catalog Record")</f>
        <v/>
      </c>
      <c r="AT435">
        <f>HYPERLINK("http://www.worldcat.org/oclc/29357502","WorldCat Record")</f>
        <v/>
      </c>
      <c r="AU435" t="inlineStr">
        <is>
          <t>836953514:eng</t>
        </is>
      </c>
      <c r="AV435" t="inlineStr">
        <is>
          <t>29357502</t>
        </is>
      </c>
      <c r="AW435" t="inlineStr">
        <is>
          <t>991002262679702656</t>
        </is>
      </c>
      <c r="AX435" t="inlineStr">
        <is>
          <t>991002262679702656</t>
        </is>
      </c>
      <c r="AY435" t="inlineStr">
        <is>
          <t>2265816320002656</t>
        </is>
      </c>
      <c r="AZ435" t="inlineStr">
        <is>
          <t>BOOK</t>
        </is>
      </c>
      <c r="BB435" t="inlineStr">
        <is>
          <t>9780226869940</t>
        </is>
      </c>
      <c r="BC435" t="inlineStr">
        <is>
          <t>32285002076486</t>
        </is>
      </c>
      <c r="BD435" t="inlineStr">
        <is>
          <t>893347299</t>
        </is>
      </c>
    </row>
    <row r="436">
      <c r="A436" t="inlineStr">
        <is>
          <t>No</t>
        </is>
      </c>
      <c r="B436" t="inlineStr">
        <is>
          <t>QH351 .F685 1997</t>
        </is>
      </c>
      <c r="C436" t="inlineStr">
        <is>
          <t>0                      QH 0351000F  685         1997</t>
        </is>
      </c>
      <c r="D436" t="inlineStr">
        <is>
          <t>Fourier descriptors and their applications in biology / edited by Pete E. Lestrel.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 ; New York : Cambridge University Press, 1997.</t>
        </is>
      </c>
      <c r="M436" t="inlineStr">
        <is>
          <t>1997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QH </t>
        </is>
      </c>
      <c r="S436" t="n">
        <v>2</v>
      </c>
      <c r="T436" t="n">
        <v>2</v>
      </c>
      <c r="U436" t="inlineStr">
        <is>
          <t>1997-09-08</t>
        </is>
      </c>
      <c r="V436" t="inlineStr">
        <is>
          <t>1997-09-08</t>
        </is>
      </c>
      <c r="W436" t="inlineStr">
        <is>
          <t>1997-08-27</t>
        </is>
      </c>
      <c r="X436" t="inlineStr">
        <is>
          <t>1997-08-27</t>
        </is>
      </c>
      <c r="Y436" t="n">
        <v>209</v>
      </c>
      <c r="Z436" t="n">
        <v>156</v>
      </c>
      <c r="AA436" t="n">
        <v>168</v>
      </c>
      <c r="AB436" t="n">
        <v>2</v>
      </c>
      <c r="AC436" t="n">
        <v>2</v>
      </c>
      <c r="AD436" t="n">
        <v>7</v>
      </c>
      <c r="AE436" t="n">
        <v>7</v>
      </c>
      <c r="AF436" t="n">
        <v>2</v>
      </c>
      <c r="AG436" t="n">
        <v>2</v>
      </c>
      <c r="AH436" t="n">
        <v>2</v>
      </c>
      <c r="AI436" t="n">
        <v>2</v>
      </c>
      <c r="AJ436" t="n">
        <v>3</v>
      </c>
      <c r="AK436" t="n">
        <v>3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HYPERLINK("https://creighton-primo.hosted.exlibrisgroup.com/primo-explore/search?tab=default_tab&amp;search_scope=EVERYTHING&amp;vid=01CRU&amp;lang=en_US&amp;offset=0&amp;query=any,contains,991002648379702656","Catalog Record")</f>
        <v/>
      </c>
      <c r="AT436">
        <f>HYPERLINK("http://www.worldcat.org/oclc/34651712","WorldCat Record")</f>
        <v/>
      </c>
      <c r="AU436" t="inlineStr">
        <is>
          <t>917503003:eng</t>
        </is>
      </c>
      <c r="AV436" t="inlineStr">
        <is>
          <t>34651712</t>
        </is>
      </c>
      <c r="AW436" t="inlineStr">
        <is>
          <t>991002648379702656</t>
        </is>
      </c>
      <c r="AX436" t="inlineStr">
        <is>
          <t>991002648379702656</t>
        </is>
      </c>
      <c r="AY436" t="inlineStr">
        <is>
          <t>2261977030002656</t>
        </is>
      </c>
      <c r="AZ436" t="inlineStr">
        <is>
          <t>BOOK</t>
        </is>
      </c>
      <c r="BB436" t="inlineStr">
        <is>
          <t>9780521452014</t>
        </is>
      </c>
      <c r="BC436" t="inlineStr">
        <is>
          <t>32285003002242</t>
        </is>
      </c>
      <c r="BD436" t="inlineStr">
        <is>
          <t>893721555</t>
        </is>
      </c>
    </row>
    <row r="437">
      <c r="A437" t="inlineStr">
        <is>
          <t>No</t>
        </is>
      </c>
      <c r="B437" t="inlineStr">
        <is>
          <t>QH351 .M34 1983</t>
        </is>
      </c>
      <c r="C437" t="inlineStr">
        <is>
          <t>0                      QH 0351000M  34          1983</t>
        </is>
      </c>
      <c r="D437" t="inlineStr">
        <is>
          <t>On size and life / Thomas A. McMahon, John Tyler Bonner.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McMahon, Thomas A., 1943-1999.</t>
        </is>
      </c>
      <c r="L437" t="inlineStr">
        <is>
          <t>New York : Scientific American Library : Distributed by W.H. Freeman, c1983.</t>
        </is>
      </c>
      <c r="M437" t="inlineStr">
        <is>
          <t>1983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QH </t>
        </is>
      </c>
      <c r="S437" t="n">
        <v>10</v>
      </c>
      <c r="T437" t="n">
        <v>10</v>
      </c>
      <c r="U437" t="inlineStr">
        <is>
          <t>1996-04-14</t>
        </is>
      </c>
      <c r="V437" t="inlineStr">
        <is>
          <t>1996-04-14</t>
        </is>
      </c>
      <c r="W437" t="inlineStr">
        <is>
          <t>1993-03-29</t>
        </is>
      </c>
      <c r="X437" t="inlineStr">
        <is>
          <t>1993-03-29</t>
        </is>
      </c>
      <c r="Y437" t="n">
        <v>956</v>
      </c>
      <c r="Z437" t="n">
        <v>805</v>
      </c>
      <c r="AA437" t="n">
        <v>814</v>
      </c>
      <c r="AB437" t="n">
        <v>5</v>
      </c>
      <c r="AC437" t="n">
        <v>5</v>
      </c>
      <c r="AD437" t="n">
        <v>23</v>
      </c>
      <c r="AE437" t="n">
        <v>23</v>
      </c>
      <c r="AF437" t="n">
        <v>8</v>
      </c>
      <c r="AG437" t="n">
        <v>8</v>
      </c>
      <c r="AH437" t="n">
        <v>2</v>
      </c>
      <c r="AI437" t="n">
        <v>2</v>
      </c>
      <c r="AJ437" t="n">
        <v>14</v>
      </c>
      <c r="AK437" t="n">
        <v>14</v>
      </c>
      <c r="AL437" t="n">
        <v>4</v>
      </c>
      <c r="AM437" t="n">
        <v>4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HYPERLINK("https://creighton-primo.hosted.exlibrisgroup.com/primo-explore/search?tab=default_tab&amp;search_scope=EVERYTHING&amp;vid=01CRU&amp;lang=en_US&amp;offset=0&amp;query=any,contains,991000275329702656","Catalog Record")</f>
        <v/>
      </c>
      <c r="AT437">
        <f>HYPERLINK("http://www.worldcat.org/oclc/9894489","WorldCat Record")</f>
        <v/>
      </c>
      <c r="AU437" t="inlineStr">
        <is>
          <t>22949915:eng</t>
        </is>
      </c>
      <c r="AV437" t="inlineStr">
        <is>
          <t>9894489</t>
        </is>
      </c>
      <c r="AW437" t="inlineStr">
        <is>
          <t>991000275329702656</t>
        </is>
      </c>
      <c r="AX437" t="inlineStr">
        <is>
          <t>991000275329702656</t>
        </is>
      </c>
      <c r="AY437" t="inlineStr">
        <is>
          <t>2262678440002656</t>
        </is>
      </c>
      <c r="AZ437" t="inlineStr">
        <is>
          <t>BOOK</t>
        </is>
      </c>
      <c r="BB437" t="inlineStr">
        <is>
          <t>9780716750000</t>
        </is>
      </c>
      <c r="BC437" t="inlineStr">
        <is>
          <t>32285001553287</t>
        </is>
      </c>
      <c r="BD437" t="inlineStr">
        <is>
          <t>893790385</t>
        </is>
      </c>
    </row>
    <row r="438">
      <c r="A438" t="inlineStr">
        <is>
          <t>No</t>
        </is>
      </c>
      <c r="B438" t="inlineStr">
        <is>
          <t>QH351 .P58 2000</t>
        </is>
      </c>
      <c r="C438" t="inlineStr">
        <is>
          <t>0                      QH 0351000P  58          2000</t>
        </is>
      </c>
      <c r="D438" t="inlineStr">
        <is>
          <t>Phylogenetic analysis of morphological data / edited by John J. Wiens.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D.C. : Smithsonian Institution Press , c2000.</t>
        </is>
      </c>
      <c r="M438" t="inlineStr">
        <is>
          <t>2000</t>
        </is>
      </c>
      <c r="O438" t="inlineStr">
        <is>
          <t>eng</t>
        </is>
      </c>
      <c r="P438" t="inlineStr">
        <is>
          <t>dcu</t>
        </is>
      </c>
      <c r="Q438" t="inlineStr">
        <is>
          <t>Smithsonian series in comparative evolutionary biology</t>
        </is>
      </c>
      <c r="R438" t="inlineStr">
        <is>
          <t xml:space="preserve">QH </t>
        </is>
      </c>
      <c r="S438" t="n">
        <v>1</v>
      </c>
      <c r="T438" t="n">
        <v>1</v>
      </c>
      <c r="U438" t="inlineStr">
        <is>
          <t>2001-01-17</t>
        </is>
      </c>
      <c r="V438" t="inlineStr">
        <is>
          <t>2001-01-17</t>
        </is>
      </c>
      <c r="W438" t="inlineStr">
        <is>
          <t>2001-01-17</t>
        </is>
      </c>
      <c r="X438" t="inlineStr">
        <is>
          <t>2001-01-17</t>
        </is>
      </c>
      <c r="Y438" t="n">
        <v>461</v>
      </c>
      <c r="Z438" t="n">
        <v>381</v>
      </c>
      <c r="AA438" t="n">
        <v>388</v>
      </c>
      <c r="AB438" t="n">
        <v>3</v>
      </c>
      <c r="AC438" t="n">
        <v>3</v>
      </c>
      <c r="AD438" t="n">
        <v>20</v>
      </c>
      <c r="AE438" t="n">
        <v>20</v>
      </c>
      <c r="AF438" t="n">
        <v>9</v>
      </c>
      <c r="AG438" t="n">
        <v>9</v>
      </c>
      <c r="AH438" t="n">
        <v>4</v>
      </c>
      <c r="AI438" t="n">
        <v>4</v>
      </c>
      <c r="AJ438" t="n">
        <v>10</v>
      </c>
      <c r="AK438" t="n">
        <v>10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HYPERLINK("http://catalog.hathitrust.org/Record/004120224","HathiTrust Record")</f>
        <v/>
      </c>
      <c r="AS438">
        <f>HYPERLINK("https://creighton-primo.hosted.exlibrisgroup.com/primo-explore/search?tab=default_tab&amp;search_scope=EVERYTHING&amp;vid=01CRU&amp;lang=en_US&amp;offset=0&amp;query=any,contains,991003333879702656","Catalog Record")</f>
        <v/>
      </c>
      <c r="AT438">
        <f>HYPERLINK("http://www.worldcat.org/oclc/43487311","WorldCat Record")</f>
        <v/>
      </c>
      <c r="AU438" t="inlineStr">
        <is>
          <t>45026036:eng</t>
        </is>
      </c>
      <c r="AV438" t="inlineStr">
        <is>
          <t>43487311</t>
        </is>
      </c>
      <c r="AW438" t="inlineStr">
        <is>
          <t>991003333879702656</t>
        </is>
      </c>
      <c r="AX438" t="inlineStr">
        <is>
          <t>991003333879702656</t>
        </is>
      </c>
      <c r="AY438" t="inlineStr">
        <is>
          <t>2261065730002656</t>
        </is>
      </c>
      <c r="AZ438" t="inlineStr">
        <is>
          <t>BOOK</t>
        </is>
      </c>
      <c r="BB438" t="inlineStr">
        <is>
          <t>9781560988168</t>
        </is>
      </c>
      <c r="BC438" t="inlineStr">
        <is>
          <t>32285004284617</t>
        </is>
      </c>
      <c r="BD438" t="inlineStr">
        <is>
          <t>893258325</t>
        </is>
      </c>
    </row>
    <row r="439">
      <c r="A439" t="inlineStr">
        <is>
          <t>No</t>
        </is>
      </c>
      <c r="B439" t="inlineStr">
        <is>
          <t>QH352 .B44 1979</t>
        </is>
      </c>
      <c r="C439" t="inlineStr">
        <is>
          <t>0                      QH 0352000B  44          1979</t>
        </is>
      </c>
      <c r="D439" t="inlineStr">
        <is>
          <t>Investigating animal abundance : capture-recapture for biologists / Michael Begon.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Begon, Michael.</t>
        </is>
      </c>
      <c r="L439" t="inlineStr">
        <is>
          <t>Baltimore : University Park Press, 1979.</t>
        </is>
      </c>
      <c r="M439" t="inlineStr">
        <is>
          <t>1979</t>
        </is>
      </c>
      <c r="O439" t="inlineStr">
        <is>
          <t>eng</t>
        </is>
      </c>
      <c r="P439" t="inlineStr">
        <is>
          <t>mdu</t>
        </is>
      </c>
      <c r="R439" t="inlineStr">
        <is>
          <t xml:space="preserve">QH </t>
        </is>
      </c>
      <c r="S439" t="n">
        <v>7</v>
      </c>
      <c r="T439" t="n">
        <v>7</v>
      </c>
      <c r="U439" t="inlineStr">
        <is>
          <t>1997-02-21</t>
        </is>
      </c>
      <c r="V439" t="inlineStr">
        <is>
          <t>1997-02-21</t>
        </is>
      </c>
      <c r="W439" t="inlineStr">
        <is>
          <t>1993-03-29</t>
        </is>
      </c>
      <c r="X439" t="inlineStr">
        <is>
          <t>1993-03-29</t>
        </is>
      </c>
      <c r="Y439" t="n">
        <v>403</v>
      </c>
      <c r="Z439" t="n">
        <v>359</v>
      </c>
      <c r="AA439" t="n">
        <v>432</v>
      </c>
      <c r="AB439" t="n">
        <v>3</v>
      </c>
      <c r="AC439" t="n">
        <v>5</v>
      </c>
      <c r="AD439" t="n">
        <v>11</v>
      </c>
      <c r="AE439" t="n">
        <v>14</v>
      </c>
      <c r="AF439" t="n">
        <v>5</v>
      </c>
      <c r="AG439" t="n">
        <v>6</v>
      </c>
      <c r="AH439" t="n">
        <v>2</v>
      </c>
      <c r="AI439" t="n">
        <v>2</v>
      </c>
      <c r="AJ439" t="n">
        <v>4</v>
      </c>
      <c r="AK439" t="n">
        <v>4</v>
      </c>
      <c r="AL439" t="n">
        <v>2</v>
      </c>
      <c r="AM439" t="n">
        <v>4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HYPERLINK("http://catalog.hathitrust.org/Record/000257184","HathiTrust Record")</f>
        <v/>
      </c>
      <c r="AS439">
        <f>HYPERLINK("https://creighton-primo.hosted.exlibrisgroup.com/primo-explore/search?tab=default_tab&amp;search_scope=EVERYTHING&amp;vid=01CRU&amp;lang=en_US&amp;offset=0&amp;query=any,contains,991004666939702656","Catalog Record")</f>
        <v/>
      </c>
      <c r="AT439">
        <f>HYPERLINK("http://www.worldcat.org/oclc/4504508","WorldCat Record")</f>
        <v/>
      </c>
      <c r="AU439" t="inlineStr">
        <is>
          <t>504125:eng</t>
        </is>
      </c>
      <c r="AV439" t="inlineStr">
        <is>
          <t>4504508</t>
        </is>
      </c>
      <c r="AW439" t="inlineStr">
        <is>
          <t>991004666939702656</t>
        </is>
      </c>
      <c r="AX439" t="inlineStr">
        <is>
          <t>991004666939702656</t>
        </is>
      </c>
      <c r="AY439" t="inlineStr">
        <is>
          <t>2264803250002656</t>
        </is>
      </c>
      <c r="AZ439" t="inlineStr">
        <is>
          <t>BOOK</t>
        </is>
      </c>
      <c r="BB439" t="inlineStr">
        <is>
          <t>9780839113874</t>
        </is>
      </c>
      <c r="BC439" t="inlineStr">
        <is>
          <t>32285001553303</t>
        </is>
      </c>
      <c r="BD439" t="inlineStr">
        <is>
          <t>893782510</t>
        </is>
      </c>
    </row>
    <row r="440">
      <c r="A440" t="inlineStr">
        <is>
          <t>No</t>
        </is>
      </c>
      <c r="B440" t="inlineStr">
        <is>
          <t>QH352 .G47 1989</t>
        </is>
      </c>
      <c r="C440" t="inlineStr">
        <is>
          <t>0                      QH 0352000G  47          1989</t>
        </is>
      </c>
      <c r="D440" t="inlineStr">
        <is>
          <t>Population harvesting : demographic models of fish, forest, and animal resources / Wayne M. Getz and Robert G. Haight.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Getz, Wayne Marcus.</t>
        </is>
      </c>
      <c r="L440" t="inlineStr">
        <is>
          <t>Princeton, N.J. : Princeton University Press, c1989.</t>
        </is>
      </c>
      <c r="M440" t="inlineStr">
        <is>
          <t>1989</t>
        </is>
      </c>
      <c r="O440" t="inlineStr">
        <is>
          <t>eng</t>
        </is>
      </c>
      <c r="P440" t="inlineStr">
        <is>
          <t>nju</t>
        </is>
      </c>
      <c r="Q440" t="inlineStr">
        <is>
          <t>Monographs in population biology ; 27</t>
        </is>
      </c>
      <c r="R440" t="inlineStr">
        <is>
          <t xml:space="preserve">QH </t>
        </is>
      </c>
      <c r="S440" t="n">
        <v>7</v>
      </c>
      <c r="T440" t="n">
        <v>7</v>
      </c>
      <c r="U440" t="inlineStr">
        <is>
          <t>2001-11-07</t>
        </is>
      </c>
      <c r="V440" t="inlineStr">
        <is>
          <t>2001-11-07</t>
        </is>
      </c>
      <c r="W440" t="inlineStr">
        <is>
          <t>1991-11-21</t>
        </is>
      </c>
      <c r="X440" t="inlineStr">
        <is>
          <t>1991-11-21</t>
        </is>
      </c>
      <c r="Y440" t="n">
        <v>418</v>
      </c>
      <c r="Z440" t="n">
        <v>297</v>
      </c>
      <c r="AA440" t="n">
        <v>481</v>
      </c>
      <c r="AB440" t="n">
        <v>2</v>
      </c>
      <c r="AC440" t="n">
        <v>2</v>
      </c>
      <c r="AD440" t="n">
        <v>11</v>
      </c>
      <c r="AE440" t="n">
        <v>22</v>
      </c>
      <c r="AF440" t="n">
        <v>5</v>
      </c>
      <c r="AG440" t="n">
        <v>12</v>
      </c>
      <c r="AH440" t="n">
        <v>2</v>
      </c>
      <c r="AI440" t="n">
        <v>5</v>
      </c>
      <c r="AJ440" t="n">
        <v>5</v>
      </c>
      <c r="AK440" t="n">
        <v>10</v>
      </c>
      <c r="AL440" t="n">
        <v>1</v>
      </c>
      <c r="AM440" t="n">
        <v>1</v>
      </c>
      <c r="AN440" t="n">
        <v>1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HYPERLINK("https://creighton-primo.hosted.exlibrisgroup.com/primo-explore/search?tab=default_tab&amp;search_scope=EVERYTHING&amp;vid=01CRU&amp;lang=en_US&amp;offset=0&amp;query=any,contains,991001312729702656","Catalog Record")</f>
        <v/>
      </c>
      <c r="AT440">
        <f>HYPERLINK("http://www.worldcat.org/oclc/18163238","WorldCat Record")</f>
        <v/>
      </c>
      <c r="AU440" t="inlineStr">
        <is>
          <t>138621343:eng</t>
        </is>
      </c>
      <c r="AV440" t="inlineStr">
        <is>
          <t>18163238</t>
        </is>
      </c>
      <c r="AW440" t="inlineStr">
        <is>
          <t>991001312729702656</t>
        </is>
      </c>
      <c r="AX440" t="inlineStr">
        <is>
          <t>991001312729702656</t>
        </is>
      </c>
      <c r="AY440" t="inlineStr">
        <is>
          <t>2261649010002656</t>
        </is>
      </c>
      <c r="AZ440" t="inlineStr">
        <is>
          <t>BOOK</t>
        </is>
      </c>
      <c r="BB440" t="inlineStr">
        <is>
          <t>9780691085166</t>
        </is>
      </c>
      <c r="BC440" t="inlineStr">
        <is>
          <t>32285000843275</t>
        </is>
      </c>
      <c r="BD440" t="inlineStr">
        <is>
          <t>893720994</t>
        </is>
      </c>
    </row>
    <row r="441">
      <c r="A441" t="inlineStr">
        <is>
          <t>No</t>
        </is>
      </c>
      <c r="B441" t="inlineStr">
        <is>
          <t>QH352 .G556 1985</t>
        </is>
      </c>
      <c r="C441" t="inlineStr">
        <is>
          <t>0                      QH 0352000G  556         1985</t>
        </is>
      </c>
      <c r="D441" t="inlineStr">
        <is>
          <t>Lectures in theoretical population biology / Lev R. Ginzburg, Edward M. Golenberg.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Ginzburg, Lev R.</t>
        </is>
      </c>
      <c r="L441" t="inlineStr">
        <is>
          <t>Englewood Cliffs, N.J. : Prentice-Hall, c1985.</t>
        </is>
      </c>
      <c r="M441" t="inlineStr">
        <is>
          <t>1985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QH </t>
        </is>
      </c>
      <c r="S441" t="n">
        <v>1</v>
      </c>
      <c r="T441" t="n">
        <v>1</v>
      </c>
      <c r="U441" t="inlineStr">
        <is>
          <t>1995-01-28</t>
        </is>
      </c>
      <c r="V441" t="inlineStr">
        <is>
          <t>1995-01-28</t>
        </is>
      </c>
      <c r="W441" t="inlineStr">
        <is>
          <t>1993-03-29</t>
        </is>
      </c>
      <c r="X441" t="inlineStr">
        <is>
          <t>1993-03-29</t>
        </is>
      </c>
      <c r="Y441" t="n">
        <v>192</v>
      </c>
      <c r="Z441" t="n">
        <v>148</v>
      </c>
      <c r="AA441" t="n">
        <v>150</v>
      </c>
      <c r="AB441" t="n">
        <v>2</v>
      </c>
      <c r="AC441" t="n">
        <v>2</v>
      </c>
      <c r="AD441" t="n">
        <v>5</v>
      </c>
      <c r="AE441" t="n">
        <v>5</v>
      </c>
      <c r="AF441" t="n">
        <v>1</v>
      </c>
      <c r="AG441" t="n">
        <v>1</v>
      </c>
      <c r="AH441" t="n">
        <v>2</v>
      </c>
      <c r="AI441" t="n">
        <v>2</v>
      </c>
      <c r="AJ441" t="n">
        <v>2</v>
      </c>
      <c r="AK441" t="n">
        <v>2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HYPERLINK("http://catalog.hathitrust.org/Record/000416228","HathiTrust Record")</f>
        <v/>
      </c>
      <c r="AS441">
        <f>HYPERLINK("https://creighton-primo.hosted.exlibrisgroup.com/primo-explore/search?tab=default_tab&amp;search_scope=EVERYTHING&amp;vid=01CRU&amp;lang=en_US&amp;offset=0&amp;query=any,contains,991000441189702656","Catalog Record")</f>
        <v/>
      </c>
      <c r="AT441">
        <f>HYPERLINK("http://www.worldcat.org/oclc/10824546","WorldCat Record")</f>
        <v/>
      </c>
      <c r="AU441" t="inlineStr">
        <is>
          <t>3326822:eng</t>
        </is>
      </c>
      <c r="AV441" t="inlineStr">
        <is>
          <t>10824546</t>
        </is>
      </c>
      <c r="AW441" t="inlineStr">
        <is>
          <t>991000441189702656</t>
        </is>
      </c>
      <c r="AX441" t="inlineStr">
        <is>
          <t>991000441189702656</t>
        </is>
      </c>
      <c r="AY441" t="inlineStr">
        <is>
          <t>2265140260002656</t>
        </is>
      </c>
      <c r="AZ441" t="inlineStr">
        <is>
          <t>BOOK</t>
        </is>
      </c>
      <c r="BB441" t="inlineStr">
        <is>
          <t>9780135280430</t>
        </is>
      </c>
      <c r="BC441" t="inlineStr">
        <is>
          <t>32285001553337</t>
        </is>
      </c>
      <c r="BD441" t="inlineStr">
        <is>
          <t>893890681</t>
        </is>
      </c>
    </row>
    <row r="442">
      <c r="A442" t="inlineStr">
        <is>
          <t>No</t>
        </is>
      </c>
      <c r="B442" t="inlineStr">
        <is>
          <t>QH352 .H38 1997</t>
        </is>
      </c>
      <c r="C442" t="inlineStr">
        <is>
          <t>0                      QH 0352000H  38          1997</t>
        </is>
      </c>
      <c r="D442" t="inlineStr">
        <is>
          <t>Population biology : concepts and models / Alan Hastings.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Hastings, Alan, 1953-</t>
        </is>
      </c>
      <c r="L442" t="inlineStr">
        <is>
          <t>New York : Springer, c1997.</t>
        </is>
      </c>
      <c r="M442" t="inlineStr">
        <is>
          <t>1997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QH </t>
        </is>
      </c>
      <c r="S442" t="n">
        <v>3</v>
      </c>
      <c r="T442" t="n">
        <v>3</v>
      </c>
      <c r="U442" t="inlineStr">
        <is>
          <t>2001-04-02</t>
        </is>
      </c>
      <c r="V442" t="inlineStr">
        <is>
          <t>2001-04-02</t>
        </is>
      </c>
      <c r="W442" t="inlineStr">
        <is>
          <t>1999-04-27</t>
        </is>
      </c>
      <c r="X442" t="inlineStr">
        <is>
          <t>1999-04-27</t>
        </is>
      </c>
      <c r="Y442" t="n">
        <v>461</v>
      </c>
      <c r="Z442" t="n">
        <v>333</v>
      </c>
      <c r="AA442" t="n">
        <v>355</v>
      </c>
      <c r="AB442" t="n">
        <v>5</v>
      </c>
      <c r="AC442" t="n">
        <v>5</v>
      </c>
      <c r="AD442" t="n">
        <v>12</v>
      </c>
      <c r="AE442" t="n">
        <v>14</v>
      </c>
      <c r="AF442" t="n">
        <v>3</v>
      </c>
      <c r="AG442" t="n">
        <v>4</v>
      </c>
      <c r="AH442" t="n">
        <v>3</v>
      </c>
      <c r="AI442" t="n">
        <v>3</v>
      </c>
      <c r="AJ442" t="n">
        <v>7</v>
      </c>
      <c r="AK442" t="n">
        <v>9</v>
      </c>
      <c r="AL442" t="n">
        <v>4</v>
      </c>
      <c r="AM442" t="n">
        <v>4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HYPERLINK("http://catalog.hathitrust.org/Record/003122776","HathiTrust Record")</f>
        <v/>
      </c>
      <c r="AS442">
        <f>HYPERLINK("https://creighton-primo.hosted.exlibrisgroup.com/primo-explore/search?tab=default_tab&amp;search_scope=EVERYTHING&amp;vid=01CRU&amp;lang=en_US&amp;offset=0&amp;query=any,contains,991002689999702656","Catalog Record")</f>
        <v/>
      </c>
      <c r="AT442">
        <f>HYPERLINK("http://www.worldcat.org/oclc/35138635","WorldCat Record")</f>
        <v/>
      </c>
      <c r="AU442" t="inlineStr">
        <is>
          <t>807498732:eng</t>
        </is>
      </c>
      <c r="AV442" t="inlineStr">
        <is>
          <t>35138635</t>
        </is>
      </c>
      <c r="AW442" t="inlineStr">
        <is>
          <t>991002689999702656</t>
        </is>
      </c>
      <c r="AX442" t="inlineStr">
        <is>
          <t>991002689999702656</t>
        </is>
      </c>
      <c r="AY442" t="inlineStr">
        <is>
          <t>2267243100002656</t>
        </is>
      </c>
      <c r="AZ442" t="inlineStr">
        <is>
          <t>BOOK</t>
        </is>
      </c>
      <c r="BB442" t="inlineStr">
        <is>
          <t>9780387948539</t>
        </is>
      </c>
      <c r="BC442" t="inlineStr">
        <is>
          <t>32285003556387</t>
        </is>
      </c>
      <c r="BD442" t="inlineStr">
        <is>
          <t>893704385</t>
        </is>
      </c>
    </row>
    <row r="443">
      <c r="A443" t="inlineStr">
        <is>
          <t>No</t>
        </is>
      </c>
      <c r="B443" t="inlineStr">
        <is>
          <t>QH352 .H39 1997</t>
        </is>
      </c>
      <c r="C443" t="inlineStr">
        <is>
          <t>0                      QH 0352000H  39          1997</t>
        </is>
      </c>
      <c r="D443" t="inlineStr">
        <is>
          <t>Surveying natural populations / Lee-Ann C. Hayek and Martin A. Buzas.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Hayek, Lee-Ann C.</t>
        </is>
      </c>
      <c r="L443" t="inlineStr">
        <is>
          <t>New York : Columbia University Press, 1997.</t>
        </is>
      </c>
      <c r="M443" t="inlineStr">
        <is>
          <t>1997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QH </t>
        </is>
      </c>
      <c r="S443" t="n">
        <v>1</v>
      </c>
      <c r="T443" t="n">
        <v>1</v>
      </c>
      <c r="U443" t="inlineStr">
        <is>
          <t>2001-11-07</t>
        </is>
      </c>
      <c r="V443" t="inlineStr">
        <is>
          <t>2001-11-07</t>
        </is>
      </c>
      <c r="W443" t="inlineStr">
        <is>
          <t>1999-05-11</t>
        </is>
      </c>
      <c r="X443" t="inlineStr">
        <is>
          <t>1999-05-11</t>
        </is>
      </c>
      <c r="Y443" t="n">
        <v>563</v>
      </c>
      <c r="Z443" t="n">
        <v>455</v>
      </c>
      <c r="AA443" t="n">
        <v>458</v>
      </c>
      <c r="AB443" t="n">
        <v>4</v>
      </c>
      <c r="AC443" t="n">
        <v>4</v>
      </c>
      <c r="AD443" t="n">
        <v>18</v>
      </c>
      <c r="AE443" t="n">
        <v>18</v>
      </c>
      <c r="AF443" t="n">
        <v>5</v>
      </c>
      <c r="AG443" t="n">
        <v>5</v>
      </c>
      <c r="AH443" t="n">
        <v>4</v>
      </c>
      <c r="AI443" t="n">
        <v>4</v>
      </c>
      <c r="AJ443" t="n">
        <v>10</v>
      </c>
      <c r="AK443" t="n">
        <v>10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HYPERLINK("https://creighton-primo.hosted.exlibrisgroup.com/primo-explore/search?tab=default_tab&amp;search_scope=EVERYTHING&amp;vid=01CRU&amp;lang=en_US&amp;offset=0&amp;query=any,contains,991002650959702656","Catalog Record")</f>
        <v/>
      </c>
      <c r="AT443">
        <f>HYPERLINK("http://www.worldcat.org/oclc/34669491","WorldCat Record")</f>
        <v/>
      </c>
      <c r="AU443" t="inlineStr">
        <is>
          <t>991458:eng</t>
        </is>
      </c>
      <c r="AV443" t="inlineStr">
        <is>
          <t>34669491</t>
        </is>
      </c>
      <c r="AW443" t="inlineStr">
        <is>
          <t>991002650959702656</t>
        </is>
      </c>
      <c r="AX443" t="inlineStr">
        <is>
          <t>991002650959702656</t>
        </is>
      </c>
      <c r="AY443" t="inlineStr">
        <is>
          <t>2271308620002656</t>
        </is>
      </c>
      <c r="AZ443" t="inlineStr">
        <is>
          <t>BOOK</t>
        </is>
      </c>
      <c r="BB443" t="inlineStr">
        <is>
          <t>9780231102407</t>
        </is>
      </c>
      <c r="BC443" t="inlineStr">
        <is>
          <t>32285003570487</t>
        </is>
      </c>
      <c r="BD443" t="inlineStr">
        <is>
          <t>893262396</t>
        </is>
      </c>
    </row>
    <row r="444">
      <c r="A444" t="inlineStr">
        <is>
          <t>No</t>
        </is>
      </c>
      <c r="B444" t="inlineStr">
        <is>
          <t>QH352 .H66 1982</t>
        </is>
      </c>
      <c r="C444" t="inlineStr">
        <is>
          <t>0                      QH 0352000H  66          1982</t>
        </is>
      </c>
      <c r="D444" t="inlineStr">
        <is>
          <t>Mathematical methods of population biology / Frank C. Hoppensteadt.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Hoppensteadt, Frank C. (Frank Charles), 1938-</t>
        </is>
      </c>
      <c r="L444" t="inlineStr">
        <is>
          <t>Cambridge [Cambridgeshire] ; New York : Cambridge University Press, 1982.</t>
        </is>
      </c>
      <c r="M444" t="inlineStr">
        <is>
          <t>1982</t>
        </is>
      </c>
      <c r="O444" t="inlineStr">
        <is>
          <t>eng</t>
        </is>
      </c>
      <c r="P444" t="inlineStr">
        <is>
          <t>enk</t>
        </is>
      </c>
      <c r="Q444" t="inlineStr">
        <is>
          <t>Cambridge studies in mathematical biology</t>
        </is>
      </c>
      <c r="R444" t="inlineStr">
        <is>
          <t xml:space="preserve">QH </t>
        </is>
      </c>
      <c r="S444" t="n">
        <v>4</v>
      </c>
      <c r="T444" t="n">
        <v>4</v>
      </c>
      <c r="U444" t="inlineStr">
        <is>
          <t>2006-07-17</t>
        </is>
      </c>
      <c r="V444" t="inlineStr">
        <is>
          <t>2006-07-17</t>
        </is>
      </c>
      <c r="W444" t="inlineStr">
        <is>
          <t>1993-03-29</t>
        </is>
      </c>
      <c r="X444" t="inlineStr">
        <is>
          <t>1993-03-29</t>
        </is>
      </c>
      <c r="Y444" t="n">
        <v>503</v>
      </c>
      <c r="Z444" t="n">
        <v>361</v>
      </c>
      <c r="AA444" t="n">
        <v>374</v>
      </c>
      <c r="AB444" t="n">
        <v>1</v>
      </c>
      <c r="AC444" t="n">
        <v>1</v>
      </c>
      <c r="AD444" t="n">
        <v>13</v>
      </c>
      <c r="AE444" t="n">
        <v>13</v>
      </c>
      <c r="AF444" t="n">
        <v>6</v>
      </c>
      <c r="AG444" t="n">
        <v>6</v>
      </c>
      <c r="AH444" t="n">
        <v>5</v>
      </c>
      <c r="AI444" t="n">
        <v>5</v>
      </c>
      <c r="AJ444" t="n">
        <v>9</v>
      </c>
      <c r="AK444" t="n">
        <v>9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HYPERLINK("https://creighton-primo.hosted.exlibrisgroup.com/primo-explore/search?tab=default_tab&amp;search_scope=EVERYTHING&amp;vid=01CRU&amp;lang=en_US&amp;offset=0&amp;query=any,contains,991005136839702656","Catalog Record")</f>
        <v/>
      </c>
      <c r="AT444">
        <f>HYPERLINK("http://www.worldcat.org/oclc/7577967","WorldCat Record")</f>
        <v/>
      </c>
      <c r="AU444" t="inlineStr">
        <is>
          <t>505010:eng</t>
        </is>
      </c>
      <c r="AV444" t="inlineStr">
        <is>
          <t>7577967</t>
        </is>
      </c>
      <c r="AW444" t="inlineStr">
        <is>
          <t>991005136839702656</t>
        </is>
      </c>
      <c r="AX444" t="inlineStr">
        <is>
          <t>991005136839702656</t>
        </is>
      </c>
      <c r="AY444" t="inlineStr">
        <is>
          <t>2264648910002656</t>
        </is>
      </c>
      <c r="AZ444" t="inlineStr">
        <is>
          <t>BOOK</t>
        </is>
      </c>
      <c r="BB444" t="inlineStr">
        <is>
          <t>9780521238465</t>
        </is>
      </c>
      <c r="BC444" t="inlineStr">
        <is>
          <t>32285005195945</t>
        </is>
      </c>
      <c r="BD444" t="inlineStr">
        <is>
          <t>893443459</t>
        </is>
      </c>
    </row>
    <row r="445">
      <c r="A445" t="inlineStr">
        <is>
          <t>No</t>
        </is>
      </c>
      <c r="B445" t="inlineStr">
        <is>
          <t>QH352 .K56 1985</t>
        </is>
      </c>
      <c r="C445" t="inlineStr">
        <is>
          <t>0                      QH 0352000K  56          1985</t>
        </is>
      </c>
      <c r="D445" t="inlineStr">
        <is>
          <t>Modeling nature : episodes in the history of population ecology / Sharon E. Kingsland.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Kingsland, Sharon E.</t>
        </is>
      </c>
      <c r="L445" t="inlineStr">
        <is>
          <t>Chicago : University of Chicago Press, 1985.</t>
        </is>
      </c>
      <c r="M445" t="inlineStr">
        <is>
          <t>1985</t>
        </is>
      </c>
      <c r="O445" t="inlineStr">
        <is>
          <t>eng</t>
        </is>
      </c>
      <c r="P445" t="inlineStr">
        <is>
          <t>ilu</t>
        </is>
      </c>
      <c r="Q445" t="inlineStr">
        <is>
          <t>Science and its conceptual foundations</t>
        </is>
      </c>
      <c r="R445" t="inlineStr">
        <is>
          <t xml:space="preserve">QH </t>
        </is>
      </c>
      <c r="S445" t="n">
        <v>1</v>
      </c>
      <c r="T445" t="n">
        <v>1</v>
      </c>
      <c r="U445" t="inlineStr">
        <is>
          <t>1995-01-28</t>
        </is>
      </c>
      <c r="V445" t="inlineStr">
        <is>
          <t>1995-01-28</t>
        </is>
      </c>
      <c r="W445" t="inlineStr">
        <is>
          <t>1993-03-29</t>
        </is>
      </c>
      <c r="X445" t="inlineStr">
        <is>
          <t>1993-03-29</t>
        </is>
      </c>
      <c r="Y445" t="n">
        <v>558</v>
      </c>
      <c r="Z445" t="n">
        <v>441</v>
      </c>
      <c r="AA445" t="n">
        <v>549</v>
      </c>
      <c r="AB445" t="n">
        <v>2</v>
      </c>
      <c r="AC445" t="n">
        <v>3</v>
      </c>
      <c r="AD445" t="n">
        <v>19</v>
      </c>
      <c r="AE445" t="n">
        <v>23</v>
      </c>
      <c r="AF445" t="n">
        <v>7</v>
      </c>
      <c r="AG445" t="n">
        <v>8</v>
      </c>
      <c r="AH445" t="n">
        <v>5</v>
      </c>
      <c r="AI445" t="n">
        <v>5</v>
      </c>
      <c r="AJ445" t="n">
        <v>12</v>
      </c>
      <c r="AK445" t="n">
        <v>15</v>
      </c>
      <c r="AL445" t="n">
        <v>1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HYPERLINK("https://creighton-primo.hosted.exlibrisgroup.com/primo-explore/search?tab=default_tab&amp;search_scope=EVERYTHING&amp;vid=01CRU&amp;lang=en_US&amp;offset=0&amp;query=any,contains,991000583599702656","Catalog Record")</f>
        <v/>
      </c>
      <c r="AT445">
        <f>HYPERLINK("http://www.worldcat.org/oclc/11755083","WorldCat Record")</f>
        <v/>
      </c>
      <c r="AU445" t="inlineStr">
        <is>
          <t>4296769:eng</t>
        </is>
      </c>
      <c r="AV445" t="inlineStr">
        <is>
          <t>11755083</t>
        </is>
      </c>
      <c r="AW445" t="inlineStr">
        <is>
          <t>991000583599702656</t>
        </is>
      </c>
      <c r="AX445" t="inlineStr">
        <is>
          <t>991000583599702656</t>
        </is>
      </c>
      <c r="AY445" t="inlineStr">
        <is>
          <t>2270580600002656</t>
        </is>
      </c>
      <c r="AZ445" t="inlineStr">
        <is>
          <t>BOOK</t>
        </is>
      </c>
      <c r="BB445" t="inlineStr">
        <is>
          <t>9780226437262</t>
        </is>
      </c>
      <c r="BC445" t="inlineStr">
        <is>
          <t>32285001553352</t>
        </is>
      </c>
      <c r="BD445" t="inlineStr">
        <is>
          <t>893695965</t>
        </is>
      </c>
    </row>
    <row r="446">
      <c r="A446" t="inlineStr">
        <is>
          <t>No</t>
        </is>
      </c>
      <c r="B446" t="inlineStr">
        <is>
          <t>QH352 .L66 1988</t>
        </is>
      </c>
      <c r="C446" t="inlineStr">
        <is>
          <t>0                      QH 0352000L  66          1988</t>
        </is>
      </c>
      <c r="D446" t="inlineStr">
        <is>
          <t>Population ecology of individuals / Adam Lomnicki.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Łomnicki, Adam, 1935-</t>
        </is>
      </c>
      <c r="L446" t="inlineStr">
        <is>
          <t>Princeton, N.J. : Princeton University Press, c1988.</t>
        </is>
      </c>
      <c r="M446" t="inlineStr">
        <is>
          <t>1988</t>
        </is>
      </c>
      <c r="O446" t="inlineStr">
        <is>
          <t>eng</t>
        </is>
      </c>
      <c r="P446" t="inlineStr">
        <is>
          <t>nju</t>
        </is>
      </c>
      <c r="Q446" t="inlineStr">
        <is>
          <t>Monographs in population biology ; 25</t>
        </is>
      </c>
      <c r="R446" t="inlineStr">
        <is>
          <t xml:space="preserve">QH </t>
        </is>
      </c>
      <c r="S446" t="n">
        <v>6</v>
      </c>
      <c r="T446" t="n">
        <v>6</v>
      </c>
      <c r="U446" t="inlineStr">
        <is>
          <t>2008-10-23</t>
        </is>
      </c>
      <c r="V446" t="inlineStr">
        <is>
          <t>2008-10-23</t>
        </is>
      </c>
      <c r="W446" t="inlineStr">
        <is>
          <t>1993-03-29</t>
        </is>
      </c>
      <c r="X446" t="inlineStr">
        <is>
          <t>1993-03-29</t>
        </is>
      </c>
      <c r="Y446" t="n">
        <v>422</v>
      </c>
      <c r="Z446" t="n">
        <v>300</v>
      </c>
      <c r="AA446" t="n">
        <v>478</v>
      </c>
      <c r="AB446" t="n">
        <v>2</v>
      </c>
      <c r="AC446" t="n">
        <v>2</v>
      </c>
      <c r="AD446" t="n">
        <v>11</v>
      </c>
      <c r="AE446" t="n">
        <v>23</v>
      </c>
      <c r="AF446" t="n">
        <v>6</v>
      </c>
      <c r="AG446" t="n">
        <v>13</v>
      </c>
      <c r="AH446" t="n">
        <v>2</v>
      </c>
      <c r="AI446" t="n">
        <v>5</v>
      </c>
      <c r="AJ446" t="n">
        <v>6</v>
      </c>
      <c r="AK446" t="n">
        <v>12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HYPERLINK("https://creighton-primo.hosted.exlibrisgroup.com/primo-explore/search?tab=default_tab&amp;search_scope=EVERYTHING&amp;vid=01CRU&amp;lang=en_US&amp;offset=0&amp;query=any,contains,991001037869702656","Catalog Record")</f>
        <v/>
      </c>
      <c r="AT446">
        <f>HYPERLINK("http://www.worldcat.org/oclc/15550490","WorldCat Record")</f>
        <v/>
      </c>
      <c r="AU446" t="inlineStr">
        <is>
          <t>892768:eng</t>
        </is>
      </c>
      <c r="AV446" t="inlineStr">
        <is>
          <t>15550490</t>
        </is>
      </c>
      <c r="AW446" t="inlineStr">
        <is>
          <t>991001037869702656</t>
        </is>
      </c>
      <c r="AX446" t="inlineStr">
        <is>
          <t>991001037869702656</t>
        </is>
      </c>
      <c r="AY446" t="inlineStr">
        <is>
          <t>2256350530002656</t>
        </is>
      </c>
      <c r="AZ446" t="inlineStr">
        <is>
          <t>BOOK</t>
        </is>
      </c>
      <c r="BB446" t="inlineStr">
        <is>
          <t>9780691084626</t>
        </is>
      </c>
      <c r="BC446" t="inlineStr">
        <is>
          <t>32285001553360</t>
        </is>
      </c>
      <c r="BD446" t="inlineStr">
        <is>
          <t>893509327</t>
        </is>
      </c>
    </row>
    <row r="447">
      <c r="A447" t="inlineStr">
        <is>
          <t>No</t>
        </is>
      </c>
      <c r="B447" t="inlineStr">
        <is>
          <t>QH352 .M47 1997</t>
        </is>
      </c>
      <c r="C447" t="inlineStr">
        <is>
          <t>0                      QH 0352000M  47          1997</t>
        </is>
      </c>
      <c r="D447" t="inlineStr">
        <is>
          <t>Metapopulation biology : ecology, genetics, and evolution / edited by Ilkka Hanski, Michael E. Gilpin.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San Diego, CA : Academic Press, c1997.</t>
        </is>
      </c>
      <c r="M447" t="inlineStr">
        <is>
          <t>1997</t>
        </is>
      </c>
      <c r="O447" t="inlineStr">
        <is>
          <t>eng</t>
        </is>
      </c>
      <c r="P447" t="inlineStr">
        <is>
          <t>cau</t>
        </is>
      </c>
      <c r="R447" t="inlineStr">
        <is>
          <t xml:space="preserve">QH </t>
        </is>
      </c>
      <c r="S447" t="n">
        <v>1</v>
      </c>
      <c r="T447" t="n">
        <v>1</v>
      </c>
      <c r="U447" t="inlineStr">
        <is>
          <t>2008-10-23</t>
        </is>
      </c>
      <c r="V447" t="inlineStr">
        <is>
          <t>2008-10-23</t>
        </is>
      </c>
      <c r="W447" t="inlineStr">
        <is>
          <t>1999-03-25</t>
        </is>
      </c>
      <c r="X447" t="inlineStr">
        <is>
          <t>1999-03-25</t>
        </is>
      </c>
      <c r="Y447" t="n">
        <v>682</v>
      </c>
      <c r="Z447" t="n">
        <v>511</v>
      </c>
      <c r="AA447" t="n">
        <v>611</v>
      </c>
      <c r="AB447" t="n">
        <v>3</v>
      </c>
      <c r="AC447" t="n">
        <v>5</v>
      </c>
      <c r="AD447" t="n">
        <v>24</v>
      </c>
      <c r="AE447" t="n">
        <v>27</v>
      </c>
      <c r="AF447" t="n">
        <v>11</v>
      </c>
      <c r="AG447" t="n">
        <v>11</v>
      </c>
      <c r="AH447" t="n">
        <v>5</v>
      </c>
      <c r="AI447" t="n">
        <v>6</v>
      </c>
      <c r="AJ447" t="n">
        <v>13</v>
      </c>
      <c r="AK447" t="n">
        <v>13</v>
      </c>
      <c r="AL447" t="n">
        <v>2</v>
      </c>
      <c r="AM447" t="n">
        <v>4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HYPERLINK("http://catalog.hathitrust.org/Record/003106387","HathiTrust Record")</f>
        <v/>
      </c>
      <c r="AS447">
        <f>HYPERLINK("https://creighton-primo.hosted.exlibrisgroup.com/primo-explore/search?tab=default_tab&amp;search_scope=EVERYTHING&amp;vid=01CRU&amp;lang=en_US&amp;offset=0&amp;query=any,contains,991002681489702656","Catalog Record")</f>
        <v/>
      </c>
      <c r="AT447">
        <f>HYPERLINK("http://www.worldcat.org/oclc/35042014","WorldCat Record")</f>
        <v/>
      </c>
      <c r="AU447" t="inlineStr">
        <is>
          <t>1066931331:eng</t>
        </is>
      </c>
      <c r="AV447" t="inlineStr">
        <is>
          <t>35042014</t>
        </is>
      </c>
      <c r="AW447" t="inlineStr">
        <is>
          <t>991002681489702656</t>
        </is>
      </c>
      <c r="AX447" t="inlineStr">
        <is>
          <t>991002681489702656</t>
        </is>
      </c>
      <c r="AY447" t="inlineStr">
        <is>
          <t>2257997920002656</t>
        </is>
      </c>
      <c r="AZ447" t="inlineStr">
        <is>
          <t>BOOK</t>
        </is>
      </c>
      <c r="BB447" t="inlineStr">
        <is>
          <t>9780123234452</t>
        </is>
      </c>
      <c r="BC447" t="inlineStr">
        <is>
          <t>32285003546214</t>
        </is>
      </c>
      <c r="BD447" t="inlineStr">
        <is>
          <t>893867547</t>
        </is>
      </c>
    </row>
    <row r="448">
      <c r="A448" t="inlineStr">
        <is>
          <t>No</t>
        </is>
      </c>
      <c r="B448" t="inlineStr">
        <is>
          <t>QH352 .M94 2000</t>
        </is>
      </c>
      <c r="C448" t="inlineStr">
        <is>
          <t>0                      QH 0352000M  94          2000</t>
        </is>
      </c>
      <c r="D448" t="inlineStr">
        <is>
          <t>Stability in model populations / Laurence D. Mueller and Amitabh Joshi.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Mueller, Laurence D., 1951-</t>
        </is>
      </c>
      <c r="L448" t="inlineStr">
        <is>
          <t>Princeton, N.J. : Princeton University Press, c2000.</t>
        </is>
      </c>
      <c r="M448" t="inlineStr">
        <is>
          <t>2000</t>
        </is>
      </c>
      <c r="O448" t="inlineStr">
        <is>
          <t>eng</t>
        </is>
      </c>
      <c r="P448" t="inlineStr">
        <is>
          <t>nju</t>
        </is>
      </c>
      <c r="Q448" t="inlineStr">
        <is>
          <t>Monographs in population biology ; 31</t>
        </is>
      </c>
      <c r="R448" t="inlineStr">
        <is>
          <t xml:space="preserve">QH </t>
        </is>
      </c>
      <c r="S448" t="n">
        <v>1</v>
      </c>
      <c r="T448" t="n">
        <v>1</v>
      </c>
      <c r="U448" t="inlineStr">
        <is>
          <t>2001-01-11</t>
        </is>
      </c>
      <c r="V448" t="inlineStr">
        <is>
          <t>2001-01-11</t>
        </is>
      </c>
      <c r="W448" t="inlineStr">
        <is>
          <t>2001-01-11</t>
        </is>
      </c>
      <c r="X448" t="inlineStr">
        <is>
          <t>2001-01-11</t>
        </is>
      </c>
      <c r="Y448" t="n">
        <v>282</v>
      </c>
      <c r="Z448" t="n">
        <v>211</v>
      </c>
      <c r="AA448" t="n">
        <v>211</v>
      </c>
      <c r="AB448" t="n">
        <v>3</v>
      </c>
      <c r="AC448" t="n">
        <v>3</v>
      </c>
      <c r="AD448" t="n">
        <v>7</v>
      </c>
      <c r="AE448" t="n">
        <v>7</v>
      </c>
      <c r="AF448" t="n">
        <v>1</v>
      </c>
      <c r="AG448" t="n">
        <v>1</v>
      </c>
      <c r="AH448" t="n">
        <v>2</v>
      </c>
      <c r="AI448" t="n">
        <v>2</v>
      </c>
      <c r="AJ448" t="n">
        <v>4</v>
      </c>
      <c r="AK448" t="n">
        <v>4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HYPERLINK("https://creighton-primo.hosted.exlibrisgroup.com/primo-explore/search?tab=default_tab&amp;search_scope=EVERYTHING&amp;vid=01CRU&amp;lang=en_US&amp;offset=0&amp;query=any,contains,991003462919702656","Catalog Record")</f>
        <v/>
      </c>
      <c r="AT448">
        <f>HYPERLINK("http://www.worldcat.org/oclc/43790194","WorldCat Record")</f>
        <v/>
      </c>
      <c r="AU448" t="inlineStr">
        <is>
          <t>891080:eng</t>
        </is>
      </c>
      <c r="AV448" t="inlineStr">
        <is>
          <t>43790194</t>
        </is>
      </c>
      <c r="AW448" t="inlineStr">
        <is>
          <t>991003462919702656</t>
        </is>
      </c>
      <c r="AX448" t="inlineStr">
        <is>
          <t>991003462919702656</t>
        </is>
      </c>
      <c r="AY448" t="inlineStr">
        <is>
          <t>2263675010002656</t>
        </is>
      </c>
      <c r="AZ448" t="inlineStr">
        <is>
          <t>BOOK</t>
        </is>
      </c>
      <c r="BB448" t="inlineStr">
        <is>
          <t>9780691007328</t>
        </is>
      </c>
      <c r="BC448" t="inlineStr">
        <is>
          <t>32285004282546</t>
        </is>
      </c>
      <c r="BD448" t="inlineStr">
        <is>
          <t>893410295</t>
        </is>
      </c>
    </row>
    <row r="449">
      <c r="A449" t="inlineStr">
        <is>
          <t>No</t>
        </is>
      </c>
      <c r="B449" t="inlineStr">
        <is>
          <t>QH352 .M97</t>
        </is>
      </c>
      <c r="C449" t="inlineStr">
        <is>
          <t>0                      QH 0352000M  97</t>
        </is>
      </c>
      <c r="D449" t="inlineStr">
        <is>
          <t>Population dynamics : alternative models / Bertram G. Murray, Jr.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Murray, Bertram G.</t>
        </is>
      </c>
      <c r="L449" t="inlineStr">
        <is>
          <t>New York : Academic Press, 1979.</t>
        </is>
      </c>
      <c r="M449" t="inlineStr">
        <is>
          <t>1979</t>
        </is>
      </c>
      <c r="O449" t="inlineStr">
        <is>
          <t>eng</t>
        </is>
      </c>
      <c r="P449" t="inlineStr">
        <is>
          <t>nyu</t>
        </is>
      </c>
      <c r="Q449" t="inlineStr">
        <is>
          <t>Physiological ecology</t>
        </is>
      </c>
      <c r="R449" t="inlineStr">
        <is>
          <t xml:space="preserve">QH </t>
        </is>
      </c>
      <c r="S449" t="n">
        <v>1</v>
      </c>
      <c r="T449" t="n">
        <v>1</v>
      </c>
      <c r="U449" t="inlineStr">
        <is>
          <t>1995-02-19</t>
        </is>
      </c>
      <c r="V449" t="inlineStr">
        <is>
          <t>1995-02-19</t>
        </is>
      </c>
      <c r="W449" t="inlineStr">
        <is>
          <t>1993-03-29</t>
        </is>
      </c>
      <c r="X449" t="inlineStr">
        <is>
          <t>1993-03-29</t>
        </is>
      </c>
      <c r="Y449" t="n">
        <v>434</v>
      </c>
      <c r="Z449" t="n">
        <v>319</v>
      </c>
      <c r="AA449" t="n">
        <v>339</v>
      </c>
      <c r="AB449" t="n">
        <v>3</v>
      </c>
      <c r="AC449" t="n">
        <v>3</v>
      </c>
      <c r="AD449" t="n">
        <v>13</v>
      </c>
      <c r="AE449" t="n">
        <v>14</v>
      </c>
      <c r="AF449" t="n">
        <v>5</v>
      </c>
      <c r="AG449" t="n">
        <v>6</v>
      </c>
      <c r="AH449" t="n">
        <v>6</v>
      </c>
      <c r="AI449" t="n">
        <v>7</v>
      </c>
      <c r="AJ449" t="n">
        <v>5</v>
      </c>
      <c r="AK449" t="n">
        <v>5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HYPERLINK("http://catalog.hathitrust.org/Record/000693507","HathiTrust Record")</f>
        <v/>
      </c>
      <c r="AS449">
        <f>HYPERLINK("https://creighton-primo.hosted.exlibrisgroup.com/primo-explore/search?tab=default_tab&amp;search_scope=EVERYTHING&amp;vid=01CRU&amp;lang=en_US&amp;offset=0&amp;query=any,contains,991004851569702656","Catalog Record")</f>
        <v/>
      </c>
      <c r="AT449">
        <f>HYPERLINK("http://www.worldcat.org/oclc/5614521","WorldCat Record")</f>
        <v/>
      </c>
      <c r="AU449" t="inlineStr">
        <is>
          <t>365448333:eng</t>
        </is>
      </c>
      <c r="AV449" t="inlineStr">
        <is>
          <t>5614521</t>
        </is>
      </c>
      <c r="AW449" t="inlineStr">
        <is>
          <t>991004851569702656</t>
        </is>
      </c>
      <c r="AX449" t="inlineStr">
        <is>
          <t>991004851569702656</t>
        </is>
      </c>
      <c r="AY449" t="inlineStr">
        <is>
          <t>2259767640002656</t>
        </is>
      </c>
      <c r="AZ449" t="inlineStr">
        <is>
          <t>BOOK</t>
        </is>
      </c>
      <c r="BC449" t="inlineStr">
        <is>
          <t>32285001553378</t>
        </is>
      </c>
      <c r="BD449" t="inlineStr">
        <is>
          <t>893782723</t>
        </is>
      </c>
    </row>
    <row r="450">
      <c r="A450" t="inlineStr">
        <is>
          <t>No</t>
        </is>
      </c>
      <c r="B450" t="inlineStr">
        <is>
          <t>QH352 .P628 1996</t>
        </is>
      </c>
      <c r="C450" t="inlineStr">
        <is>
          <t>0                      QH 0352000P  628         1996</t>
        </is>
      </c>
      <c r="D450" t="inlineStr">
        <is>
          <t>Population dynamics in ecological space and time / edited by Olin E. Rhodes, Jr., Ronald K. Chesser, and Michael H. Smith.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Chicago : University of Chicago Press, 1996.</t>
        </is>
      </c>
      <c r="M450" t="inlineStr">
        <is>
          <t>1996</t>
        </is>
      </c>
      <c r="O450" t="inlineStr">
        <is>
          <t>eng</t>
        </is>
      </c>
      <c r="P450" t="inlineStr">
        <is>
          <t>ilu</t>
        </is>
      </c>
      <c r="R450" t="inlineStr">
        <is>
          <t xml:space="preserve">QH </t>
        </is>
      </c>
      <c r="S450" t="n">
        <v>2</v>
      </c>
      <c r="T450" t="n">
        <v>2</v>
      </c>
      <c r="U450" t="inlineStr">
        <is>
          <t>1997-02-21</t>
        </is>
      </c>
      <c r="V450" t="inlineStr">
        <is>
          <t>1997-02-21</t>
        </is>
      </c>
      <c r="W450" t="inlineStr">
        <is>
          <t>1996-12-05</t>
        </is>
      </c>
      <c r="X450" t="inlineStr">
        <is>
          <t>1996-12-05</t>
        </is>
      </c>
      <c r="Y450" t="n">
        <v>468</v>
      </c>
      <c r="Z450" t="n">
        <v>383</v>
      </c>
      <c r="AA450" t="n">
        <v>388</v>
      </c>
      <c r="AB450" t="n">
        <v>3</v>
      </c>
      <c r="AC450" t="n">
        <v>3</v>
      </c>
      <c r="AD450" t="n">
        <v>22</v>
      </c>
      <c r="AE450" t="n">
        <v>22</v>
      </c>
      <c r="AF450" t="n">
        <v>9</v>
      </c>
      <c r="AG450" t="n">
        <v>9</v>
      </c>
      <c r="AH450" t="n">
        <v>3</v>
      </c>
      <c r="AI450" t="n">
        <v>3</v>
      </c>
      <c r="AJ450" t="n">
        <v>13</v>
      </c>
      <c r="AK450" t="n">
        <v>13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HYPERLINK("https://creighton-primo.hosted.exlibrisgroup.com/primo-explore/search?tab=default_tab&amp;search_scope=EVERYTHING&amp;vid=01CRU&amp;lang=en_US&amp;offset=0&amp;query=any,contains,991002610329702656","Catalog Record")</f>
        <v/>
      </c>
      <c r="AT450">
        <f>HYPERLINK("http://www.worldcat.org/oclc/34192363","WorldCat Record")</f>
        <v/>
      </c>
      <c r="AU450" t="inlineStr">
        <is>
          <t>350553745:eng</t>
        </is>
      </c>
      <c r="AV450" t="inlineStr">
        <is>
          <t>34192363</t>
        </is>
      </c>
      <c r="AW450" t="inlineStr">
        <is>
          <t>991002610329702656</t>
        </is>
      </c>
      <c r="AX450" t="inlineStr">
        <is>
          <t>991002610329702656</t>
        </is>
      </c>
      <c r="AY450" t="inlineStr">
        <is>
          <t>2259922300002656</t>
        </is>
      </c>
      <c r="AZ450" t="inlineStr">
        <is>
          <t>BOOK</t>
        </is>
      </c>
      <c r="BB450" t="inlineStr">
        <is>
          <t>9780226710570</t>
        </is>
      </c>
      <c r="BC450" t="inlineStr">
        <is>
          <t>32285002388501</t>
        </is>
      </c>
      <c r="BD450" t="inlineStr">
        <is>
          <t>893233173</t>
        </is>
      </c>
    </row>
    <row r="451">
      <c r="A451" t="inlineStr">
        <is>
          <t>No</t>
        </is>
      </c>
      <c r="B451" t="inlineStr">
        <is>
          <t>QH352 .P63</t>
        </is>
      </c>
      <c r="C451" t="inlineStr">
        <is>
          <t>0                      QH 0352000P  63</t>
        </is>
      </c>
      <c r="D451" t="inlineStr">
        <is>
          <t>Population regulation / edited by Robert H. Tamarin.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Stroudsburg, Pa. : Dowden, Hutchinson &amp; Ross, c1978.</t>
        </is>
      </c>
      <c r="M451" t="inlineStr">
        <is>
          <t>1978</t>
        </is>
      </c>
      <c r="O451" t="inlineStr">
        <is>
          <t>eng</t>
        </is>
      </c>
      <c r="P451" t="inlineStr">
        <is>
          <t>pau</t>
        </is>
      </c>
      <c r="Q451" t="inlineStr">
        <is>
          <t>Benchmark papers in ecology ; 7</t>
        </is>
      </c>
      <c r="R451" t="inlineStr">
        <is>
          <t xml:space="preserve">QH </t>
        </is>
      </c>
      <c r="S451" t="n">
        <v>9</v>
      </c>
      <c r="T451" t="n">
        <v>9</v>
      </c>
      <c r="U451" t="inlineStr">
        <is>
          <t>1997-02-21</t>
        </is>
      </c>
      <c r="V451" t="inlineStr">
        <is>
          <t>1997-02-21</t>
        </is>
      </c>
      <c r="W451" t="inlineStr">
        <is>
          <t>1993-03-29</t>
        </is>
      </c>
      <c r="X451" t="inlineStr">
        <is>
          <t>1993-03-29</t>
        </is>
      </c>
      <c r="Y451" t="n">
        <v>525</v>
      </c>
      <c r="Z451" t="n">
        <v>407</v>
      </c>
      <c r="AA451" t="n">
        <v>408</v>
      </c>
      <c r="AB451" t="n">
        <v>5</v>
      </c>
      <c r="AC451" t="n">
        <v>5</v>
      </c>
      <c r="AD451" t="n">
        <v>11</v>
      </c>
      <c r="AE451" t="n">
        <v>11</v>
      </c>
      <c r="AF451" t="n">
        <v>4</v>
      </c>
      <c r="AG451" t="n">
        <v>4</v>
      </c>
      <c r="AH451" t="n">
        <v>1</v>
      </c>
      <c r="AI451" t="n">
        <v>1</v>
      </c>
      <c r="AJ451" t="n">
        <v>4</v>
      </c>
      <c r="AK451" t="n">
        <v>4</v>
      </c>
      <c r="AL451" t="n">
        <v>4</v>
      </c>
      <c r="AM451" t="n">
        <v>4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HYPERLINK("http://catalog.hathitrust.org/Record/000751345","HathiTrust Record")</f>
        <v/>
      </c>
      <c r="AS451">
        <f>HYPERLINK("https://creighton-primo.hosted.exlibrisgroup.com/primo-explore/search?tab=default_tab&amp;search_scope=EVERYTHING&amp;vid=01CRU&amp;lang=en_US&amp;offset=0&amp;query=any,contains,991004425509702656","Catalog Record")</f>
        <v/>
      </c>
      <c r="AT451">
        <f>HYPERLINK("http://www.worldcat.org/oclc/3397157","WorldCat Record")</f>
        <v/>
      </c>
      <c r="AU451" t="inlineStr">
        <is>
          <t>10286153:eng</t>
        </is>
      </c>
      <c r="AV451" t="inlineStr">
        <is>
          <t>3397157</t>
        </is>
      </c>
      <c r="AW451" t="inlineStr">
        <is>
          <t>991004425509702656</t>
        </is>
      </c>
      <c r="AX451" t="inlineStr">
        <is>
          <t>991004425509702656</t>
        </is>
      </c>
      <c r="AY451" t="inlineStr">
        <is>
          <t>2267254870002656</t>
        </is>
      </c>
      <c r="AZ451" t="inlineStr">
        <is>
          <t>BOOK</t>
        </is>
      </c>
      <c r="BB451" t="inlineStr">
        <is>
          <t>9780879333249</t>
        </is>
      </c>
      <c r="BC451" t="inlineStr">
        <is>
          <t>32285001553386</t>
        </is>
      </c>
      <c r="BD451" t="inlineStr">
        <is>
          <t>893794844</t>
        </is>
      </c>
    </row>
    <row r="452">
      <c r="A452" t="inlineStr">
        <is>
          <t>No</t>
        </is>
      </c>
      <c r="B452" t="inlineStr">
        <is>
          <t>QH352 .T36</t>
        </is>
      </c>
      <c r="C452" t="inlineStr">
        <is>
          <t>0                      QH 0352000T  36</t>
        </is>
      </c>
      <c r="D452" t="inlineStr">
        <is>
          <t>Guide to the study of animal populations / James T. Tanner.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Tanner, James T. (James Taylor)</t>
        </is>
      </c>
      <c r="L452" t="inlineStr">
        <is>
          <t>Knoxville : University of Tennessee Press, c1978.</t>
        </is>
      </c>
      <c r="M452" t="inlineStr">
        <is>
          <t>1978</t>
        </is>
      </c>
      <c r="O452" t="inlineStr">
        <is>
          <t>eng</t>
        </is>
      </c>
      <c r="P452" t="inlineStr">
        <is>
          <t>tnu</t>
        </is>
      </c>
      <c r="R452" t="inlineStr">
        <is>
          <t xml:space="preserve">QH </t>
        </is>
      </c>
      <c r="S452" t="n">
        <v>3</v>
      </c>
      <c r="T452" t="n">
        <v>3</v>
      </c>
      <c r="U452" t="inlineStr">
        <is>
          <t>1995-02-19</t>
        </is>
      </c>
      <c r="V452" t="inlineStr">
        <is>
          <t>1995-02-19</t>
        </is>
      </c>
      <c r="W452" t="inlineStr">
        <is>
          <t>1991-11-21</t>
        </is>
      </c>
      <c r="X452" t="inlineStr">
        <is>
          <t>1991-11-21</t>
        </is>
      </c>
      <c r="Y452" t="n">
        <v>335</v>
      </c>
      <c r="Z452" t="n">
        <v>271</v>
      </c>
      <c r="AA452" t="n">
        <v>271</v>
      </c>
      <c r="AB452" t="n">
        <v>2</v>
      </c>
      <c r="AC452" t="n">
        <v>2</v>
      </c>
      <c r="AD452" t="n">
        <v>9</v>
      </c>
      <c r="AE452" t="n">
        <v>9</v>
      </c>
      <c r="AF452" t="n">
        <v>4</v>
      </c>
      <c r="AG452" t="n">
        <v>4</v>
      </c>
      <c r="AH452" t="n">
        <v>1</v>
      </c>
      <c r="AI452" t="n">
        <v>1</v>
      </c>
      <c r="AJ452" t="n">
        <v>4</v>
      </c>
      <c r="AK452" t="n">
        <v>4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HYPERLINK("https://creighton-primo.hosted.exlibrisgroup.com/primo-explore/search?tab=default_tab&amp;search_scope=EVERYTHING&amp;vid=01CRU&amp;lang=en_US&amp;offset=0&amp;query=any,contains,991004403039702656","Catalog Record")</f>
        <v/>
      </c>
      <c r="AT452">
        <f>HYPERLINK("http://www.worldcat.org/oclc/3311025","WorldCat Record")</f>
        <v/>
      </c>
      <c r="AU452" t="inlineStr">
        <is>
          <t>515425:eng</t>
        </is>
      </c>
      <c r="AV452" t="inlineStr">
        <is>
          <t>3311025</t>
        </is>
      </c>
      <c r="AW452" t="inlineStr">
        <is>
          <t>991004403039702656</t>
        </is>
      </c>
      <c r="AX452" t="inlineStr">
        <is>
          <t>991004403039702656</t>
        </is>
      </c>
      <c r="AY452" t="inlineStr">
        <is>
          <t>2271514550002656</t>
        </is>
      </c>
      <c r="AZ452" t="inlineStr">
        <is>
          <t>BOOK</t>
        </is>
      </c>
      <c r="BB452" t="inlineStr">
        <is>
          <t>9780870492358</t>
        </is>
      </c>
      <c r="BC452" t="inlineStr">
        <is>
          <t>32285000843267</t>
        </is>
      </c>
      <c r="BD452" t="inlineStr">
        <is>
          <t>893628141</t>
        </is>
      </c>
    </row>
    <row r="453">
      <c r="A453" t="inlineStr">
        <is>
          <t>No</t>
        </is>
      </c>
      <c r="B453" t="inlineStr">
        <is>
          <t>QH359 .C63</t>
        </is>
      </c>
      <c r="C453" t="inlineStr">
        <is>
          <t>0                      QH 0359000C  63</t>
        </is>
      </c>
      <c r="D453" t="inlineStr">
        <is>
          <t>Coevolution of animals and plants : Symposium V, First International Congress of Systematic and Evolutionary Biology, Boulder, Colorado, August, 1973 : [papers] / edited by Lawrence E. Gilbert and Peter H. Raven.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Austin : University of Texas Press, [1975]</t>
        </is>
      </c>
      <c r="M453" t="inlineStr">
        <is>
          <t>1975</t>
        </is>
      </c>
      <c r="O453" t="inlineStr">
        <is>
          <t>eng</t>
        </is>
      </c>
      <c r="P453" t="inlineStr">
        <is>
          <t>txu</t>
        </is>
      </c>
      <c r="Q453" t="inlineStr">
        <is>
          <t>Dan Danciger publication series</t>
        </is>
      </c>
      <c r="R453" t="inlineStr">
        <is>
          <t xml:space="preserve">QH </t>
        </is>
      </c>
      <c r="S453" t="n">
        <v>1</v>
      </c>
      <c r="T453" t="n">
        <v>1</v>
      </c>
      <c r="U453" t="inlineStr">
        <is>
          <t>2006-10-27</t>
        </is>
      </c>
      <c r="V453" t="inlineStr">
        <is>
          <t>2006-10-27</t>
        </is>
      </c>
      <c r="W453" t="inlineStr">
        <is>
          <t>1997-07-01</t>
        </is>
      </c>
      <c r="X453" t="inlineStr">
        <is>
          <t>1997-07-01</t>
        </is>
      </c>
      <c r="Y453" t="n">
        <v>581</v>
      </c>
      <c r="Z453" t="n">
        <v>485</v>
      </c>
      <c r="AA453" t="n">
        <v>590</v>
      </c>
      <c r="AB453" t="n">
        <v>4</v>
      </c>
      <c r="AC453" t="n">
        <v>4</v>
      </c>
      <c r="AD453" t="n">
        <v>18</v>
      </c>
      <c r="AE453" t="n">
        <v>20</v>
      </c>
      <c r="AF453" t="n">
        <v>6</v>
      </c>
      <c r="AG453" t="n">
        <v>7</v>
      </c>
      <c r="AH453" t="n">
        <v>5</v>
      </c>
      <c r="AI453" t="n">
        <v>5</v>
      </c>
      <c r="AJ453" t="n">
        <v>9</v>
      </c>
      <c r="AK453" t="n">
        <v>10</v>
      </c>
      <c r="AL453" t="n">
        <v>3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HYPERLINK("http://catalog.hathitrust.org/Record/000030658","HathiTrust Record")</f>
        <v/>
      </c>
      <c r="AS453">
        <f>HYPERLINK("https://creighton-primo.hosted.exlibrisgroup.com/primo-explore/search?tab=default_tab&amp;search_scope=EVERYTHING&amp;vid=01CRU&amp;lang=en_US&amp;offset=0&amp;query=any,contains,991003670199702656","Catalog Record")</f>
        <v/>
      </c>
      <c r="AT453">
        <f>HYPERLINK("http://www.worldcat.org/oclc/1287577","WorldCat Record")</f>
        <v/>
      </c>
      <c r="AU453" t="inlineStr">
        <is>
          <t>836706618:eng</t>
        </is>
      </c>
      <c r="AV453" t="inlineStr">
        <is>
          <t>1287577</t>
        </is>
      </c>
      <c r="AW453" t="inlineStr">
        <is>
          <t>991003670199702656</t>
        </is>
      </c>
      <c r="AX453" t="inlineStr">
        <is>
          <t>991003670199702656</t>
        </is>
      </c>
      <c r="AY453" t="inlineStr">
        <is>
          <t>2268648720002656</t>
        </is>
      </c>
      <c r="AZ453" t="inlineStr">
        <is>
          <t>BOOK</t>
        </is>
      </c>
      <c r="BB453" t="inlineStr">
        <is>
          <t>9780292710313</t>
        </is>
      </c>
      <c r="BC453" t="inlineStr">
        <is>
          <t>32285002869393</t>
        </is>
      </c>
      <c r="BD453" t="inlineStr">
        <is>
          <t>893246600</t>
        </is>
      </c>
    </row>
    <row r="454">
      <c r="A454" t="inlineStr">
        <is>
          <t>No</t>
        </is>
      </c>
      <c r="B454" t="inlineStr">
        <is>
          <t>QH359 .C75 1994</t>
        </is>
      </c>
      <c r="C454" t="inlineStr">
        <is>
          <t>0                      QH 0359000C  75          1994</t>
        </is>
      </c>
      <c r="D454" t="inlineStr">
        <is>
          <t>Creative evolution?! / edited by John H. Campbell, J. William Schopf.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Boston : Jones and Bartlett Publisher, c1994.</t>
        </is>
      </c>
      <c r="M454" t="inlineStr">
        <is>
          <t>1994</t>
        </is>
      </c>
      <c r="O454" t="inlineStr">
        <is>
          <t>eng</t>
        </is>
      </c>
      <c r="P454" t="inlineStr">
        <is>
          <t>mau</t>
        </is>
      </c>
      <c r="R454" t="inlineStr">
        <is>
          <t xml:space="preserve">QH </t>
        </is>
      </c>
      <c r="S454" t="n">
        <v>6</v>
      </c>
      <c r="T454" t="n">
        <v>6</v>
      </c>
      <c r="U454" t="inlineStr">
        <is>
          <t>1999-09-22</t>
        </is>
      </c>
      <c r="V454" t="inlineStr">
        <is>
          <t>1999-09-22</t>
        </is>
      </c>
      <c r="W454" t="inlineStr">
        <is>
          <t>1994-06-08</t>
        </is>
      </c>
      <c r="X454" t="inlineStr">
        <is>
          <t>1994-06-08</t>
        </is>
      </c>
      <c r="Y454" t="n">
        <v>128</v>
      </c>
      <c r="Z454" t="n">
        <v>104</v>
      </c>
      <c r="AA454" t="n">
        <v>142</v>
      </c>
      <c r="AB454" t="n">
        <v>1</v>
      </c>
      <c r="AC454" t="n">
        <v>1</v>
      </c>
      <c r="AD454" t="n">
        <v>6</v>
      </c>
      <c r="AE454" t="n">
        <v>7</v>
      </c>
      <c r="AF454" t="n">
        <v>2</v>
      </c>
      <c r="AG454" t="n">
        <v>2</v>
      </c>
      <c r="AH454" t="n">
        <v>2</v>
      </c>
      <c r="AI454" t="n">
        <v>2</v>
      </c>
      <c r="AJ454" t="n">
        <v>4</v>
      </c>
      <c r="AK454" t="n">
        <v>5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HYPERLINK("https://creighton-primo.hosted.exlibrisgroup.com/primo-explore/search?tab=default_tab&amp;search_scope=EVERYTHING&amp;vid=01CRU&amp;lang=en_US&amp;offset=0&amp;query=any,contains,991002287759702656","Catalog Record")</f>
        <v/>
      </c>
      <c r="AT454">
        <f>HYPERLINK("http://www.worldcat.org/oclc/29667759","WorldCat Record")</f>
        <v/>
      </c>
      <c r="AU454" t="inlineStr">
        <is>
          <t>1378889174:eng</t>
        </is>
      </c>
      <c r="AV454" t="inlineStr">
        <is>
          <t>29667759</t>
        </is>
      </c>
      <c r="AW454" t="inlineStr">
        <is>
          <t>991002287759702656</t>
        </is>
      </c>
      <c r="AX454" t="inlineStr">
        <is>
          <t>991002287759702656</t>
        </is>
      </c>
      <c r="AY454" t="inlineStr">
        <is>
          <t>2271598090002656</t>
        </is>
      </c>
      <c r="AZ454" t="inlineStr">
        <is>
          <t>BOOK</t>
        </is>
      </c>
      <c r="BB454" t="inlineStr">
        <is>
          <t>9780867209617</t>
        </is>
      </c>
      <c r="BC454" t="inlineStr">
        <is>
          <t>32285001922474</t>
        </is>
      </c>
      <c r="BD454" t="inlineStr">
        <is>
          <t>893716270</t>
        </is>
      </c>
    </row>
    <row r="455">
      <c r="A455" t="inlineStr">
        <is>
          <t>No</t>
        </is>
      </c>
      <c r="B455" t="inlineStr">
        <is>
          <t>QH359 .E35 1993</t>
        </is>
      </c>
      <c r="C455" t="inlineStr">
        <is>
          <t>0                      QH 0359000E  35          1993</t>
        </is>
      </c>
      <c r="D455" t="inlineStr">
        <is>
          <t>The evolutionary tales : rhyme and reason on creation/evolution with apologies to Chaucer and Darwin / Ronald L. Ecker.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Ecker, Ronald L.</t>
        </is>
      </c>
      <c r="L455" t="inlineStr">
        <is>
          <t>Palatka, FL : North Bridge Books, 1993.</t>
        </is>
      </c>
      <c r="M455" t="inlineStr">
        <is>
          <t>1993</t>
        </is>
      </c>
      <c r="N455" t="inlineStr">
        <is>
          <t>1st ed.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QH </t>
        </is>
      </c>
      <c r="S455" t="n">
        <v>5</v>
      </c>
      <c r="T455" t="n">
        <v>5</v>
      </c>
      <c r="U455" t="inlineStr">
        <is>
          <t>2008-03-24</t>
        </is>
      </c>
      <c r="V455" t="inlineStr">
        <is>
          <t>2008-03-24</t>
        </is>
      </c>
      <c r="W455" t="inlineStr">
        <is>
          <t>1994-07-12</t>
        </is>
      </c>
      <c r="X455" t="inlineStr">
        <is>
          <t>1994-07-12</t>
        </is>
      </c>
      <c r="Y455" t="n">
        <v>30</v>
      </c>
      <c r="Z455" t="n">
        <v>28</v>
      </c>
      <c r="AA455" t="n">
        <v>44</v>
      </c>
      <c r="AB455" t="n">
        <v>1</v>
      </c>
      <c r="AC455" t="n">
        <v>2</v>
      </c>
      <c r="AD455" t="n">
        <v>0</v>
      </c>
      <c r="AE455" t="n">
        <v>2</v>
      </c>
      <c r="AF455" t="n">
        <v>0</v>
      </c>
      <c r="AG455" t="n">
        <v>1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HYPERLINK("https://creighton-primo.hosted.exlibrisgroup.com/primo-explore/search?tab=default_tab&amp;search_scope=EVERYTHING&amp;vid=01CRU&amp;lang=en_US&amp;offset=0&amp;query=any,contains,991002266829702656","Catalog Record")</f>
        <v/>
      </c>
      <c r="AT455">
        <f>HYPERLINK("http://www.worldcat.org/oclc/29394740","WorldCat Record")</f>
        <v/>
      </c>
      <c r="AU455" t="inlineStr">
        <is>
          <t>31829732:eng</t>
        </is>
      </c>
      <c r="AV455" t="inlineStr">
        <is>
          <t>29394740</t>
        </is>
      </c>
      <c r="AW455" t="inlineStr">
        <is>
          <t>991002266829702656</t>
        </is>
      </c>
      <c r="AX455" t="inlineStr">
        <is>
          <t>991002266829702656</t>
        </is>
      </c>
      <c r="AY455" t="inlineStr">
        <is>
          <t>2271215620002656</t>
        </is>
      </c>
      <c r="AZ455" t="inlineStr">
        <is>
          <t>BOOK</t>
        </is>
      </c>
      <c r="BC455" t="inlineStr">
        <is>
          <t>32285001931541</t>
        </is>
      </c>
      <c r="BD455" t="inlineStr">
        <is>
          <t>893244963</t>
        </is>
      </c>
    </row>
    <row r="456">
      <c r="A456" t="inlineStr">
        <is>
          <t>No</t>
        </is>
      </c>
      <c r="B456" t="inlineStr">
        <is>
          <t>QH359 .E89 1985</t>
        </is>
      </c>
      <c r="C456" t="inlineStr">
        <is>
          <t>0                      QH 0359000E  89          1985</t>
        </is>
      </c>
      <c r="D456" t="inlineStr">
        <is>
          <t>Evolution and creation / Ernan McMullin, editor.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Notre Dame, Ind. : University of Notre Dame Press, c1985.</t>
        </is>
      </c>
      <c r="M456" t="inlineStr">
        <is>
          <t>1985</t>
        </is>
      </c>
      <c r="O456" t="inlineStr">
        <is>
          <t>eng</t>
        </is>
      </c>
      <c r="P456" t="inlineStr">
        <is>
          <t>inu</t>
        </is>
      </c>
      <c r="Q456" t="inlineStr">
        <is>
          <t>University of Notre Dame studies in the philosophy of religion ; no. 4</t>
        </is>
      </c>
      <c r="R456" t="inlineStr">
        <is>
          <t xml:space="preserve">QH </t>
        </is>
      </c>
      <c r="S456" t="n">
        <v>27</v>
      </c>
      <c r="T456" t="n">
        <v>27</v>
      </c>
      <c r="U456" t="inlineStr">
        <is>
          <t>2000-10-13</t>
        </is>
      </c>
      <c r="V456" t="inlineStr">
        <is>
          <t>2000-10-13</t>
        </is>
      </c>
      <c r="W456" t="inlineStr">
        <is>
          <t>1992-05-14</t>
        </is>
      </c>
      <c r="X456" t="inlineStr">
        <is>
          <t>1992-05-14</t>
        </is>
      </c>
      <c r="Y456" t="n">
        <v>819</v>
      </c>
      <c r="Z456" t="n">
        <v>718</v>
      </c>
      <c r="AA456" t="n">
        <v>726</v>
      </c>
      <c r="AB456" t="n">
        <v>4</v>
      </c>
      <c r="AC456" t="n">
        <v>4</v>
      </c>
      <c r="AD456" t="n">
        <v>38</v>
      </c>
      <c r="AE456" t="n">
        <v>38</v>
      </c>
      <c r="AF456" t="n">
        <v>18</v>
      </c>
      <c r="AG456" t="n">
        <v>18</v>
      </c>
      <c r="AH456" t="n">
        <v>7</v>
      </c>
      <c r="AI456" t="n">
        <v>7</v>
      </c>
      <c r="AJ456" t="n">
        <v>21</v>
      </c>
      <c r="AK456" t="n">
        <v>21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HYPERLINK("http://catalog.hathitrust.org/Record/000816089","HathiTrust Record")</f>
        <v/>
      </c>
      <c r="AS456">
        <f>HYPERLINK("https://creighton-primo.hosted.exlibrisgroup.com/primo-explore/search?tab=default_tab&amp;search_scope=EVERYTHING&amp;vid=01CRU&amp;lang=en_US&amp;offset=0&amp;query=any,contains,991000659489702656","Catalog Record")</f>
        <v/>
      </c>
      <c r="AT456">
        <f>HYPERLINK("http://www.worldcat.org/oclc/12236475","WorldCat Record")</f>
        <v/>
      </c>
      <c r="AU456" t="inlineStr">
        <is>
          <t>786175078:eng</t>
        </is>
      </c>
      <c r="AV456" t="inlineStr">
        <is>
          <t>12236475</t>
        </is>
      </c>
      <c r="AW456" t="inlineStr">
        <is>
          <t>991000659489702656</t>
        </is>
      </c>
      <c r="AX456" t="inlineStr">
        <is>
          <t>991000659489702656</t>
        </is>
      </c>
      <c r="AY456" t="inlineStr">
        <is>
          <t>2260991840002656</t>
        </is>
      </c>
      <c r="AZ456" t="inlineStr">
        <is>
          <t>BOOK</t>
        </is>
      </c>
      <c r="BB456" t="inlineStr">
        <is>
          <t>9780268009175</t>
        </is>
      </c>
      <c r="BC456" t="inlineStr">
        <is>
          <t>32285001109262</t>
        </is>
      </c>
      <c r="BD456" t="inlineStr">
        <is>
          <t>893321233</t>
        </is>
      </c>
    </row>
    <row r="457">
      <c r="A457" t="inlineStr">
        <is>
          <t>No</t>
        </is>
      </c>
      <c r="B457" t="inlineStr">
        <is>
          <t>QH359 .E8964 1999</t>
        </is>
      </c>
      <c r="C457" t="inlineStr">
        <is>
          <t>0                      QH 0359000E  8964        1999</t>
        </is>
      </c>
      <c r="D457" t="inlineStr">
        <is>
          <t>Evolution! : facts and fallacies / edited by J. William Schopf.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San Diego : Academic Press, c1999.</t>
        </is>
      </c>
      <c r="M457" t="inlineStr">
        <is>
          <t>1999</t>
        </is>
      </c>
      <c r="O457" t="inlineStr">
        <is>
          <t>eng</t>
        </is>
      </c>
      <c r="P457" t="inlineStr">
        <is>
          <t>cau</t>
        </is>
      </c>
      <c r="R457" t="inlineStr">
        <is>
          <t xml:space="preserve">QH </t>
        </is>
      </c>
      <c r="S457" t="n">
        <v>2</v>
      </c>
      <c r="T457" t="n">
        <v>2</v>
      </c>
      <c r="U457" t="inlineStr">
        <is>
          <t>1999-09-22</t>
        </is>
      </c>
      <c r="V457" t="inlineStr">
        <is>
          <t>1999-09-22</t>
        </is>
      </c>
      <c r="W457" t="inlineStr">
        <is>
          <t>1999-03-01</t>
        </is>
      </c>
      <c r="X457" t="inlineStr">
        <is>
          <t>1999-03-01</t>
        </is>
      </c>
      <c r="Y457" t="n">
        <v>668</v>
      </c>
      <c r="Z457" t="n">
        <v>589</v>
      </c>
      <c r="AA457" t="n">
        <v>589</v>
      </c>
      <c r="AB457" t="n">
        <v>5</v>
      </c>
      <c r="AC457" t="n">
        <v>5</v>
      </c>
      <c r="AD457" t="n">
        <v>28</v>
      </c>
      <c r="AE457" t="n">
        <v>28</v>
      </c>
      <c r="AF457" t="n">
        <v>15</v>
      </c>
      <c r="AG457" t="n">
        <v>15</v>
      </c>
      <c r="AH457" t="n">
        <v>4</v>
      </c>
      <c r="AI457" t="n">
        <v>4</v>
      </c>
      <c r="AJ457" t="n">
        <v>12</v>
      </c>
      <c r="AK457" t="n">
        <v>12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HYPERLINK("https://creighton-primo.hosted.exlibrisgroup.com/primo-explore/search?tab=default_tab&amp;search_scope=EVERYTHING&amp;vid=01CRU&amp;lang=en_US&amp;offset=0&amp;query=any,contains,991002995309702656","Catalog Record")</f>
        <v/>
      </c>
      <c r="AT457">
        <f>HYPERLINK("http://www.worldcat.org/oclc/40484288","WorldCat Record")</f>
        <v/>
      </c>
      <c r="AU457" t="inlineStr">
        <is>
          <t>837028234:eng</t>
        </is>
      </c>
      <c r="AV457" t="inlineStr">
        <is>
          <t>40484288</t>
        </is>
      </c>
      <c r="AW457" t="inlineStr">
        <is>
          <t>991002995309702656</t>
        </is>
      </c>
      <c r="AX457" t="inlineStr">
        <is>
          <t>991002995309702656</t>
        </is>
      </c>
      <c r="AY457" t="inlineStr">
        <is>
          <t>2261550590002656</t>
        </is>
      </c>
      <c r="AZ457" t="inlineStr">
        <is>
          <t>BOOK</t>
        </is>
      </c>
      <c r="BB457" t="inlineStr">
        <is>
          <t>9780126288605</t>
        </is>
      </c>
      <c r="BC457" t="inlineStr">
        <is>
          <t>32285003527917</t>
        </is>
      </c>
      <c r="BD457" t="inlineStr">
        <is>
          <t>893227559</t>
        </is>
      </c>
    </row>
    <row r="458">
      <c r="A458" t="inlineStr">
        <is>
          <t>No</t>
        </is>
      </c>
      <c r="B458" t="inlineStr">
        <is>
          <t>QH359 .E93</t>
        </is>
      </c>
      <c r="C458" t="inlineStr">
        <is>
          <t>0                      QH 0359000E  93</t>
        </is>
      </c>
      <c r="D458" t="inlineStr">
        <is>
          <t>The Evolution of adaptation by natural selection : a Royal Society discussion meeting / organized by J. Maynard Smith and R. Holliday, held on 6 and 7 December 1978.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London : Royal Society, 1979.</t>
        </is>
      </c>
      <c r="M458" t="inlineStr">
        <is>
          <t>1979</t>
        </is>
      </c>
      <c r="O458" t="inlineStr">
        <is>
          <t>eng</t>
        </is>
      </c>
      <c r="P458" t="inlineStr">
        <is>
          <t>enk</t>
        </is>
      </c>
      <c r="R458" t="inlineStr">
        <is>
          <t xml:space="preserve">QH </t>
        </is>
      </c>
      <c r="S458" t="n">
        <v>12</v>
      </c>
      <c r="T458" t="n">
        <v>12</v>
      </c>
      <c r="U458" t="inlineStr">
        <is>
          <t>1996-09-30</t>
        </is>
      </c>
      <c r="V458" t="inlineStr">
        <is>
          <t>1996-09-30</t>
        </is>
      </c>
      <c r="W458" t="inlineStr">
        <is>
          <t>1993-03-29</t>
        </is>
      </c>
      <c r="X458" t="inlineStr">
        <is>
          <t>1993-03-29</t>
        </is>
      </c>
      <c r="Y458" t="n">
        <v>105</v>
      </c>
      <c r="Z458" t="n">
        <v>59</v>
      </c>
      <c r="AA458" t="n">
        <v>66</v>
      </c>
      <c r="AB458" t="n">
        <v>1</v>
      </c>
      <c r="AC458" t="n">
        <v>1</v>
      </c>
      <c r="AD458" t="n">
        <v>1</v>
      </c>
      <c r="AE458" t="n">
        <v>1</v>
      </c>
      <c r="AF458" t="n">
        <v>1</v>
      </c>
      <c r="AG458" t="n">
        <v>1</v>
      </c>
      <c r="AH458" t="n">
        <v>0</v>
      </c>
      <c r="AI458" t="n">
        <v>0</v>
      </c>
      <c r="AJ458" t="n">
        <v>1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HYPERLINK("http://catalog.hathitrust.org/Record/000723735","HathiTrust Record")</f>
        <v/>
      </c>
      <c r="AS458">
        <f>HYPERLINK("https://creighton-primo.hosted.exlibrisgroup.com/primo-explore/search?tab=default_tab&amp;search_scope=EVERYTHING&amp;vid=01CRU&amp;lang=en_US&amp;offset=0&amp;query=any,contains,991004981719702656","Catalog Record")</f>
        <v/>
      </c>
      <c r="AT458">
        <f>HYPERLINK("http://www.worldcat.org/oclc/6423005","WorldCat Record")</f>
        <v/>
      </c>
      <c r="AU458" t="inlineStr">
        <is>
          <t>22233456:eng</t>
        </is>
      </c>
      <c r="AV458" t="inlineStr">
        <is>
          <t>6423005</t>
        </is>
      </c>
      <c r="AW458" t="inlineStr">
        <is>
          <t>991004981719702656</t>
        </is>
      </c>
      <c r="AX458" t="inlineStr">
        <is>
          <t>991004981719702656</t>
        </is>
      </c>
      <c r="AY458" t="inlineStr">
        <is>
          <t>2269332570002656</t>
        </is>
      </c>
      <c r="AZ458" t="inlineStr">
        <is>
          <t>BOOK</t>
        </is>
      </c>
      <c r="BB458" t="inlineStr">
        <is>
          <t>9780854031184</t>
        </is>
      </c>
      <c r="BC458" t="inlineStr">
        <is>
          <t>32285001553428</t>
        </is>
      </c>
      <c r="BD458" t="inlineStr">
        <is>
          <t>893520248</t>
        </is>
      </c>
    </row>
    <row r="459">
      <c r="A459" t="inlineStr">
        <is>
          <t>No</t>
        </is>
      </c>
      <c r="B459" t="inlineStr">
        <is>
          <t>QH359 .N48 1991</t>
        </is>
      </c>
      <c r="C459" t="inlineStr">
        <is>
          <t>0                      QH 0359000N  48          1991</t>
        </is>
      </c>
      <c r="D459" t="inlineStr">
        <is>
          <t>New perspectives on evolution : proceedings of a multidisciplinary symposium designed to interrelate recent discoveries and new insights in the field of evolution held at the University of Pennsylvania, April 18 and 19, 1990 / sponsored by the Wistar Institute, Philadelphia, Pennsylvania ; edited by Leonard Warren, Hilary Koprowski.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New York : Wiley-Liss, 1991.</t>
        </is>
      </c>
      <c r="M459" t="inlineStr">
        <is>
          <t>1991</t>
        </is>
      </c>
      <c r="O459" t="inlineStr">
        <is>
          <t>eng</t>
        </is>
      </c>
      <c r="P459" t="inlineStr">
        <is>
          <t>nyu</t>
        </is>
      </c>
      <c r="Q459" t="inlineStr">
        <is>
          <t>The Wistar symposium series ; v. 4</t>
        </is>
      </c>
      <c r="R459" t="inlineStr">
        <is>
          <t xml:space="preserve">QH </t>
        </is>
      </c>
      <c r="S459" t="n">
        <v>4</v>
      </c>
      <c r="T459" t="n">
        <v>4</v>
      </c>
      <c r="U459" t="inlineStr">
        <is>
          <t>2002-11-04</t>
        </is>
      </c>
      <c r="V459" t="inlineStr">
        <is>
          <t>2002-11-04</t>
        </is>
      </c>
      <c r="W459" t="inlineStr">
        <is>
          <t>1991-06-24</t>
        </is>
      </c>
      <c r="X459" t="inlineStr">
        <is>
          <t>1991-06-24</t>
        </is>
      </c>
      <c r="Y459" t="n">
        <v>259</v>
      </c>
      <c r="Z459" t="n">
        <v>209</v>
      </c>
      <c r="AA459" t="n">
        <v>215</v>
      </c>
      <c r="AB459" t="n">
        <v>2</v>
      </c>
      <c r="AC459" t="n">
        <v>2</v>
      </c>
      <c r="AD459" t="n">
        <v>9</v>
      </c>
      <c r="AE459" t="n">
        <v>9</v>
      </c>
      <c r="AF459" t="n">
        <v>4</v>
      </c>
      <c r="AG459" t="n">
        <v>4</v>
      </c>
      <c r="AH459" t="n">
        <v>3</v>
      </c>
      <c r="AI459" t="n">
        <v>3</v>
      </c>
      <c r="AJ459" t="n">
        <v>4</v>
      </c>
      <c r="AK459" t="n">
        <v>4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HYPERLINK("http://catalog.hathitrust.org/Record/002458194","HathiTrust Record")</f>
        <v/>
      </c>
      <c r="AS459">
        <f>HYPERLINK("https://creighton-primo.hosted.exlibrisgroup.com/primo-explore/search?tab=default_tab&amp;search_scope=EVERYTHING&amp;vid=01CRU&amp;lang=en_US&amp;offset=0&amp;query=any,contains,991001761029702656","Catalog Record")</f>
        <v/>
      </c>
      <c r="AT459">
        <f>HYPERLINK("http://www.worldcat.org/oclc/22274556","WorldCat Record")</f>
        <v/>
      </c>
      <c r="AU459" t="inlineStr">
        <is>
          <t>906419589:eng</t>
        </is>
      </c>
      <c r="AV459" t="inlineStr">
        <is>
          <t>22274556</t>
        </is>
      </c>
      <c r="AW459" t="inlineStr">
        <is>
          <t>991001761029702656</t>
        </is>
      </c>
      <c r="AX459" t="inlineStr">
        <is>
          <t>991001761029702656</t>
        </is>
      </c>
      <c r="AY459" t="inlineStr">
        <is>
          <t>2264199370002656</t>
        </is>
      </c>
      <c r="AZ459" t="inlineStr">
        <is>
          <t>BOOK</t>
        </is>
      </c>
      <c r="BB459" t="inlineStr">
        <is>
          <t>9780471560685</t>
        </is>
      </c>
      <c r="BC459" t="inlineStr">
        <is>
          <t>32285000658491</t>
        </is>
      </c>
      <c r="BD459" t="inlineStr">
        <is>
          <t>893226106</t>
        </is>
      </c>
    </row>
    <row r="460">
      <c r="A460" t="inlineStr">
        <is>
          <t>No</t>
        </is>
      </c>
      <c r="B460" t="inlineStr">
        <is>
          <t>QH360.5 .B73 1996</t>
        </is>
      </c>
      <c r="C460" t="inlineStr">
        <is>
          <t>0                      QH 0360500B  73          1996</t>
        </is>
      </c>
      <c r="D460" t="inlineStr">
        <is>
          <t>Concepts and methods in evolutionary biology / Robert N. Brandon.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Brandon, Robert N.</t>
        </is>
      </c>
      <c r="L460" t="inlineStr">
        <is>
          <t>Cambridge [England] ; New York, NY, USA : Cambridge University Press, 1996.</t>
        </is>
      </c>
      <c r="M460" t="inlineStr">
        <is>
          <t>1996</t>
        </is>
      </c>
      <c r="O460" t="inlineStr">
        <is>
          <t>eng</t>
        </is>
      </c>
      <c r="P460" t="inlineStr">
        <is>
          <t>enk</t>
        </is>
      </c>
      <c r="Q460" t="inlineStr">
        <is>
          <t>Cambridge studies in philosophy and biology</t>
        </is>
      </c>
      <c r="R460" t="inlineStr">
        <is>
          <t xml:space="preserve">QH </t>
        </is>
      </c>
      <c r="S460" t="n">
        <v>3</v>
      </c>
      <c r="T460" t="n">
        <v>3</v>
      </c>
      <c r="U460" t="inlineStr">
        <is>
          <t>2008-05-08</t>
        </is>
      </c>
      <c r="V460" t="inlineStr">
        <is>
          <t>2008-05-08</t>
        </is>
      </c>
      <c r="W460" t="inlineStr">
        <is>
          <t>1996-10-21</t>
        </is>
      </c>
      <c r="X460" t="inlineStr">
        <is>
          <t>1996-10-21</t>
        </is>
      </c>
      <c r="Y460" t="n">
        <v>474</v>
      </c>
      <c r="Z460" t="n">
        <v>346</v>
      </c>
      <c r="AA460" t="n">
        <v>347</v>
      </c>
      <c r="AB460" t="n">
        <v>4</v>
      </c>
      <c r="AC460" t="n">
        <v>4</v>
      </c>
      <c r="AD460" t="n">
        <v>29</v>
      </c>
      <c r="AE460" t="n">
        <v>29</v>
      </c>
      <c r="AF460" t="n">
        <v>11</v>
      </c>
      <c r="AG460" t="n">
        <v>11</v>
      </c>
      <c r="AH460" t="n">
        <v>8</v>
      </c>
      <c r="AI460" t="n">
        <v>8</v>
      </c>
      <c r="AJ460" t="n">
        <v>17</v>
      </c>
      <c r="AK460" t="n">
        <v>17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HYPERLINK("https://creighton-primo.hosted.exlibrisgroup.com/primo-explore/search?tab=default_tab&amp;search_scope=EVERYTHING&amp;vid=01CRU&amp;lang=en_US&amp;offset=0&amp;query=any,contains,991002458759702656","Catalog Record")</f>
        <v/>
      </c>
      <c r="AT460">
        <f>HYPERLINK("http://www.worldcat.org/oclc/32049949","WorldCat Record")</f>
        <v/>
      </c>
      <c r="AU460" t="inlineStr">
        <is>
          <t>46052395:eng</t>
        </is>
      </c>
      <c r="AV460" t="inlineStr">
        <is>
          <t>32049949</t>
        </is>
      </c>
      <c r="AW460" t="inlineStr">
        <is>
          <t>991002458759702656</t>
        </is>
      </c>
      <c r="AX460" t="inlineStr">
        <is>
          <t>991002458759702656</t>
        </is>
      </c>
      <c r="AY460" t="inlineStr">
        <is>
          <t>2267609710002656</t>
        </is>
      </c>
      <c r="AZ460" t="inlineStr">
        <is>
          <t>BOOK</t>
        </is>
      </c>
      <c r="BB460" t="inlineStr">
        <is>
          <t>9780521495455</t>
        </is>
      </c>
      <c r="BC460" t="inlineStr">
        <is>
          <t>32285002367190</t>
        </is>
      </c>
      <c r="BD460" t="inlineStr">
        <is>
          <t>893786166</t>
        </is>
      </c>
    </row>
    <row r="461">
      <c r="A461" t="inlineStr">
        <is>
          <t>No</t>
        </is>
      </c>
      <c r="B461" t="inlineStr">
        <is>
          <t>QH360.5 .E44 1995</t>
        </is>
      </c>
      <c r="C461" t="inlineStr">
        <is>
          <t>0                      QH 0360500E  44          1995</t>
        </is>
      </c>
      <c r="D461" t="inlineStr">
        <is>
          <t>Reinventing Darwin : the great debate at the high table of evolutionary theory / Niles Eldredge.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Eldredge, Niles.</t>
        </is>
      </c>
      <c r="L461" t="inlineStr">
        <is>
          <t>New York : Wiley, c1995.</t>
        </is>
      </c>
      <c r="M461" t="inlineStr">
        <is>
          <t>1995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QH </t>
        </is>
      </c>
      <c r="S461" t="n">
        <v>3</v>
      </c>
      <c r="T461" t="n">
        <v>3</v>
      </c>
      <c r="U461" t="inlineStr">
        <is>
          <t>1997-09-08</t>
        </is>
      </c>
      <c r="V461" t="inlineStr">
        <is>
          <t>1997-09-08</t>
        </is>
      </c>
      <c r="W461" t="inlineStr">
        <is>
          <t>1997-08-28</t>
        </is>
      </c>
      <c r="X461" t="inlineStr">
        <is>
          <t>1997-08-28</t>
        </is>
      </c>
      <c r="Y461" t="n">
        <v>631</v>
      </c>
      <c r="Z461" t="n">
        <v>567</v>
      </c>
      <c r="AA461" t="n">
        <v>576</v>
      </c>
      <c r="AB461" t="n">
        <v>3</v>
      </c>
      <c r="AC461" t="n">
        <v>3</v>
      </c>
      <c r="AD461" t="n">
        <v>22</v>
      </c>
      <c r="AE461" t="n">
        <v>22</v>
      </c>
      <c r="AF461" t="n">
        <v>8</v>
      </c>
      <c r="AG461" t="n">
        <v>8</v>
      </c>
      <c r="AH461" t="n">
        <v>3</v>
      </c>
      <c r="AI461" t="n">
        <v>3</v>
      </c>
      <c r="AJ461" t="n">
        <v>14</v>
      </c>
      <c r="AK461" t="n">
        <v>14</v>
      </c>
      <c r="AL461" t="n">
        <v>2</v>
      </c>
      <c r="AM461" t="n">
        <v>2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HYPERLINK("http://catalog.hathitrust.org/Record/004563597","HathiTrust Record")</f>
        <v/>
      </c>
      <c r="AS461">
        <f>HYPERLINK("https://creighton-primo.hosted.exlibrisgroup.com/primo-explore/search?tab=default_tab&amp;search_scope=EVERYTHING&amp;vid=01CRU&amp;lang=en_US&amp;offset=0&amp;query=any,contains,991002383779702656","Catalog Record")</f>
        <v/>
      </c>
      <c r="AT461">
        <f>HYPERLINK("http://www.worldcat.org/oclc/30975979","WorldCat Record")</f>
        <v/>
      </c>
      <c r="AU461" t="inlineStr">
        <is>
          <t>35898447:eng</t>
        </is>
      </c>
      <c r="AV461" t="inlineStr">
        <is>
          <t>30975979</t>
        </is>
      </c>
      <c r="AW461" t="inlineStr">
        <is>
          <t>991002383779702656</t>
        </is>
      </c>
      <c r="AX461" t="inlineStr">
        <is>
          <t>991002383779702656</t>
        </is>
      </c>
      <c r="AY461" t="inlineStr">
        <is>
          <t>2261571280002656</t>
        </is>
      </c>
      <c r="AZ461" t="inlineStr">
        <is>
          <t>BOOK</t>
        </is>
      </c>
      <c r="BB461" t="inlineStr">
        <is>
          <t>9780471303015</t>
        </is>
      </c>
      <c r="BC461" t="inlineStr">
        <is>
          <t>32285003002689</t>
        </is>
      </c>
      <c r="BD461" t="inlineStr">
        <is>
          <t>893238970</t>
        </is>
      </c>
    </row>
    <row r="462">
      <c r="A462" t="inlineStr">
        <is>
          <t>No</t>
        </is>
      </c>
      <c r="B462" t="inlineStr">
        <is>
          <t>QH360.5 .H86 2001</t>
        </is>
      </c>
      <c r="C462" t="inlineStr">
        <is>
          <t>0                      QH 0360500H  86          2001</t>
        </is>
      </c>
      <c r="D462" t="inlineStr">
        <is>
          <t>Science and selection : essays on biological evolution and the philosophy of science / David L. Hull.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Hull, David L.</t>
        </is>
      </c>
      <c r="L462" t="inlineStr">
        <is>
          <t>Cambridge, U.K. ; New York : Cambridge University Press, 2001.</t>
        </is>
      </c>
      <c r="M462" t="inlineStr">
        <is>
          <t>2001</t>
        </is>
      </c>
      <c r="O462" t="inlineStr">
        <is>
          <t>eng</t>
        </is>
      </c>
      <c r="P462" t="inlineStr">
        <is>
          <t>enk</t>
        </is>
      </c>
      <c r="Q462" t="inlineStr">
        <is>
          <t>Cambridge studies in philosophy and biology</t>
        </is>
      </c>
      <c r="R462" t="inlineStr">
        <is>
          <t xml:space="preserve">QH </t>
        </is>
      </c>
      <c r="S462" t="n">
        <v>2</v>
      </c>
      <c r="T462" t="n">
        <v>2</v>
      </c>
      <c r="U462" t="inlineStr">
        <is>
          <t>2001-02-20</t>
        </is>
      </c>
      <c r="V462" t="inlineStr">
        <is>
          <t>2001-02-20</t>
        </is>
      </c>
      <c r="W462" t="inlineStr">
        <is>
          <t>2001-02-20</t>
        </is>
      </c>
      <c r="X462" t="inlineStr">
        <is>
          <t>2001-02-20</t>
        </is>
      </c>
      <c r="Y462" t="n">
        <v>478</v>
      </c>
      <c r="Z462" t="n">
        <v>392</v>
      </c>
      <c r="AA462" t="n">
        <v>398</v>
      </c>
      <c r="AB462" t="n">
        <v>4</v>
      </c>
      <c r="AC462" t="n">
        <v>4</v>
      </c>
      <c r="AD462" t="n">
        <v>20</v>
      </c>
      <c r="AE462" t="n">
        <v>20</v>
      </c>
      <c r="AF462" t="n">
        <v>8</v>
      </c>
      <c r="AG462" t="n">
        <v>8</v>
      </c>
      <c r="AH462" t="n">
        <v>5</v>
      </c>
      <c r="AI462" t="n">
        <v>5</v>
      </c>
      <c r="AJ462" t="n">
        <v>9</v>
      </c>
      <c r="AK462" t="n">
        <v>9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HYPERLINK("https://creighton-primo.hosted.exlibrisgroup.com/primo-explore/search?tab=default_tab&amp;search_scope=EVERYTHING&amp;vid=01CRU&amp;lang=en_US&amp;offset=0&amp;query=any,contains,991003485699702656","Catalog Record")</f>
        <v/>
      </c>
      <c r="AT462">
        <f>HYPERLINK("http://www.worldcat.org/oclc/43561970","WorldCat Record")</f>
        <v/>
      </c>
      <c r="AU462" t="inlineStr">
        <is>
          <t>792095312:eng</t>
        </is>
      </c>
      <c r="AV462" t="inlineStr">
        <is>
          <t>43561970</t>
        </is>
      </c>
      <c r="AW462" t="inlineStr">
        <is>
          <t>991003485699702656</t>
        </is>
      </c>
      <c r="AX462" t="inlineStr">
        <is>
          <t>991003485699702656</t>
        </is>
      </c>
      <c r="AY462" t="inlineStr">
        <is>
          <t>2268204430002656</t>
        </is>
      </c>
      <c r="AZ462" t="inlineStr">
        <is>
          <t>BOOK</t>
        </is>
      </c>
      <c r="BB462" t="inlineStr">
        <is>
          <t>9780521643399</t>
        </is>
      </c>
      <c r="BC462" t="inlineStr">
        <is>
          <t>32285004295472</t>
        </is>
      </c>
      <c r="BD462" t="inlineStr">
        <is>
          <t>893330338</t>
        </is>
      </c>
    </row>
    <row r="463">
      <c r="A463" t="inlineStr">
        <is>
          <t>No</t>
        </is>
      </c>
      <c r="B463" t="inlineStr">
        <is>
          <t>QH360.5 .R874 1999</t>
        </is>
      </c>
      <c r="C463" t="inlineStr">
        <is>
          <t>0                      QH 0360500R  874         1999</t>
        </is>
      </c>
      <c r="D463" t="inlineStr">
        <is>
          <t>Mystery of mysteries : is evolution a social construction? / Michael Ruse.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Ruse, Michael.</t>
        </is>
      </c>
      <c r="L463" t="inlineStr">
        <is>
          <t>Cambridge, Mass. : Harvard University Press, 1999.</t>
        </is>
      </c>
      <c r="M463" t="inlineStr">
        <is>
          <t>1999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QH </t>
        </is>
      </c>
      <c r="S463" t="n">
        <v>6</v>
      </c>
      <c r="T463" t="n">
        <v>6</v>
      </c>
      <c r="U463" t="inlineStr">
        <is>
          <t>2008-10-30</t>
        </is>
      </c>
      <c r="V463" t="inlineStr">
        <is>
          <t>2008-10-30</t>
        </is>
      </c>
      <c r="W463" t="inlineStr">
        <is>
          <t>1999-08-17</t>
        </is>
      </c>
      <c r="X463" t="inlineStr">
        <is>
          <t>1999-08-17</t>
        </is>
      </c>
      <c r="Y463" t="n">
        <v>1063</v>
      </c>
      <c r="Z463" t="n">
        <v>903</v>
      </c>
      <c r="AA463" t="n">
        <v>937</v>
      </c>
      <c r="AB463" t="n">
        <v>8</v>
      </c>
      <c r="AC463" t="n">
        <v>8</v>
      </c>
      <c r="AD463" t="n">
        <v>41</v>
      </c>
      <c r="AE463" t="n">
        <v>41</v>
      </c>
      <c r="AF463" t="n">
        <v>18</v>
      </c>
      <c r="AG463" t="n">
        <v>18</v>
      </c>
      <c r="AH463" t="n">
        <v>7</v>
      </c>
      <c r="AI463" t="n">
        <v>7</v>
      </c>
      <c r="AJ463" t="n">
        <v>15</v>
      </c>
      <c r="AK463" t="n">
        <v>15</v>
      </c>
      <c r="AL463" t="n">
        <v>7</v>
      </c>
      <c r="AM463" t="n">
        <v>7</v>
      </c>
      <c r="AN463" t="n">
        <v>1</v>
      </c>
      <c r="AO463" t="n">
        <v>1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HYPERLINK("http://catalog.hathitrust.org/Record/004027749","HathiTrust Record")</f>
        <v/>
      </c>
      <c r="AS463">
        <f>HYPERLINK("https://creighton-primo.hosted.exlibrisgroup.com/primo-explore/search?tab=default_tab&amp;search_scope=EVERYTHING&amp;vid=01CRU&amp;lang=en_US&amp;offset=0&amp;query=any,contains,991005429449702656","Catalog Record")</f>
        <v/>
      </c>
      <c r="AT463">
        <f>HYPERLINK("http://www.worldcat.org/oclc/39887080","WorldCat Record")</f>
        <v/>
      </c>
      <c r="AU463" t="inlineStr">
        <is>
          <t>20457223:eng</t>
        </is>
      </c>
      <c r="AV463" t="inlineStr">
        <is>
          <t>39887080</t>
        </is>
      </c>
      <c r="AW463" t="inlineStr">
        <is>
          <t>991005429449702656</t>
        </is>
      </c>
      <c r="AX463" t="inlineStr">
        <is>
          <t>991005429449702656</t>
        </is>
      </c>
      <c r="AY463" t="inlineStr">
        <is>
          <t>2265530350002656</t>
        </is>
      </c>
      <c r="AZ463" t="inlineStr">
        <is>
          <t>BOOK</t>
        </is>
      </c>
      <c r="BB463" t="inlineStr">
        <is>
          <t>9780674467064</t>
        </is>
      </c>
      <c r="BC463" t="inlineStr">
        <is>
          <t>32285003581898</t>
        </is>
      </c>
      <c r="BD463" t="inlineStr">
        <is>
          <t>893783680</t>
        </is>
      </c>
    </row>
    <row r="464">
      <c r="A464" t="inlineStr">
        <is>
          <t>No</t>
        </is>
      </c>
      <c r="B464" t="inlineStr">
        <is>
          <t>QH360.5 .S74 2001</t>
        </is>
      </c>
      <c r="C464" t="inlineStr">
        <is>
          <t>0                      QH 0360500S  74          2001</t>
        </is>
      </c>
      <c r="D464" t="inlineStr">
        <is>
          <t>Dawkins vs. Gould : survival of the fittest / Kim Sterelny ; series editor, Jon Turney.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Sterelny, Kim.</t>
        </is>
      </c>
      <c r="L464" t="inlineStr">
        <is>
          <t>Cambridge : Icon : Totem Books, 2001.</t>
        </is>
      </c>
      <c r="M464" t="inlineStr">
        <is>
          <t>2001</t>
        </is>
      </c>
      <c r="O464" t="inlineStr">
        <is>
          <t>eng</t>
        </is>
      </c>
      <c r="P464" t="inlineStr">
        <is>
          <t>enk</t>
        </is>
      </c>
      <c r="R464" t="inlineStr">
        <is>
          <t xml:space="preserve">QH </t>
        </is>
      </c>
      <c r="S464" t="n">
        <v>10</v>
      </c>
      <c r="T464" t="n">
        <v>10</v>
      </c>
      <c r="U464" t="inlineStr">
        <is>
          <t>2009-01-21</t>
        </is>
      </c>
      <c r="V464" t="inlineStr">
        <is>
          <t>2009-01-21</t>
        </is>
      </c>
      <c r="W464" t="inlineStr">
        <is>
          <t>2002-01-07</t>
        </is>
      </c>
      <c r="X464" t="inlineStr">
        <is>
          <t>2002-01-07</t>
        </is>
      </c>
      <c r="Y464" t="n">
        <v>268</v>
      </c>
      <c r="Z464" t="n">
        <v>152</v>
      </c>
      <c r="AA464" t="n">
        <v>246</v>
      </c>
      <c r="AB464" t="n">
        <v>1</v>
      </c>
      <c r="AC464" t="n">
        <v>1</v>
      </c>
      <c r="AD464" t="n">
        <v>6</v>
      </c>
      <c r="AE464" t="n">
        <v>9</v>
      </c>
      <c r="AF464" t="n">
        <v>1</v>
      </c>
      <c r="AG464" t="n">
        <v>2</v>
      </c>
      <c r="AH464" t="n">
        <v>2</v>
      </c>
      <c r="AI464" t="n">
        <v>4</v>
      </c>
      <c r="AJ464" t="n">
        <v>4</v>
      </c>
      <c r="AK464" t="n">
        <v>4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HYPERLINK("https://creighton-primo.hosted.exlibrisgroup.com/primo-explore/search?tab=default_tab&amp;search_scope=EVERYTHING&amp;vid=01CRU&amp;lang=en_US&amp;offset=0&amp;query=any,contains,991003671559702656","Catalog Record")</f>
        <v/>
      </c>
      <c r="AT464">
        <f>HYPERLINK("http://www.worldcat.org/oclc/46395236","WorldCat Record")</f>
        <v/>
      </c>
      <c r="AU464" t="inlineStr">
        <is>
          <t>35902285:eng</t>
        </is>
      </c>
      <c r="AV464" t="inlineStr">
        <is>
          <t>46395236</t>
        </is>
      </c>
      <c r="AW464" t="inlineStr">
        <is>
          <t>991003671559702656</t>
        </is>
      </c>
      <c r="AX464" t="inlineStr">
        <is>
          <t>991003671559702656</t>
        </is>
      </c>
      <c r="AY464" t="inlineStr">
        <is>
          <t>2269389310002656</t>
        </is>
      </c>
      <c r="AZ464" t="inlineStr">
        <is>
          <t>BOOK</t>
        </is>
      </c>
      <c r="BB464" t="inlineStr">
        <is>
          <t>9781840462494</t>
        </is>
      </c>
      <c r="BC464" t="inlineStr">
        <is>
          <t>32285004445382</t>
        </is>
      </c>
      <c r="BD464" t="inlineStr">
        <is>
          <t>893904461</t>
        </is>
      </c>
    </row>
    <row r="465">
      <c r="A465" t="inlineStr">
        <is>
          <t>No</t>
        </is>
      </c>
      <c r="B465" t="inlineStr">
        <is>
          <t>QH361 .B68 1983</t>
        </is>
      </c>
      <c r="C465" t="inlineStr">
        <is>
          <t>0                      QH 0361000B  68          1983</t>
        </is>
      </c>
      <c r="D465" t="inlineStr">
        <is>
          <t>The eclipse of Darwinism : anti-Darwinian evolution theories in the decades around 1900 / Peter J. Bowler.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Bowler, Peter J.</t>
        </is>
      </c>
      <c r="L465" t="inlineStr">
        <is>
          <t>Baltimore : Johns Hopkins University Press, c1983.</t>
        </is>
      </c>
      <c r="M465" t="inlineStr">
        <is>
          <t>1983</t>
        </is>
      </c>
      <c r="O465" t="inlineStr">
        <is>
          <t>eng</t>
        </is>
      </c>
      <c r="P465" t="inlineStr">
        <is>
          <t>mdu</t>
        </is>
      </c>
      <c r="R465" t="inlineStr">
        <is>
          <t xml:space="preserve">QH </t>
        </is>
      </c>
      <c r="S465" t="n">
        <v>12</v>
      </c>
      <c r="T465" t="n">
        <v>12</v>
      </c>
      <c r="U465" t="inlineStr">
        <is>
          <t>1996-10-01</t>
        </is>
      </c>
      <c r="V465" t="inlineStr">
        <is>
          <t>1996-10-01</t>
        </is>
      </c>
      <c r="W465" t="inlineStr">
        <is>
          <t>1993-03-29</t>
        </is>
      </c>
      <c r="X465" t="inlineStr">
        <is>
          <t>1993-03-29</t>
        </is>
      </c>
      <c r="Y465" t="n">
        <v>969</v>
      </c>
      <c r="Z465" t="n">
        <v>796</v>
      </c>
      <c r="AA465" t="n">
        <v>842</v>
      </c>
      <c r="AB465" t="n">
        <v>3</v>
      </c>
      <c r="AC465" t="n">
        <v>3</v>
      </c>
      <c r="AD465" t="n">
        <v>30</v>
      </c>
      <c r="AE465" t="n">
        <v>33</v>
      </c>
      <c r="AF465" t="n">
        <v>11</v>
      </c>
      <c r="AG465" t="n">
        <v>13</v>
      </c>
      <c r="AH465" t="n">
        <v>7</v>
      </c>
      <c r="AI465" t="n">
        <v>7</v>
      </c>
      <c r="AJ465" t="n">
        <v>18</v>
      </c>
      <c r="AK465" t="n">
        <v>19</v>
      </c>
      <c r="AL465" t="n">
        <v>2</v>
      </c>
      <c r="AM465" t="n">
        <v>2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HYPERLINK("http://catalog.hathitrust.org/Record/000195281","HathiTrust Record")</f>
        <v/>
      </c>
      <c r="AS465">
        <f>HYPERLINK("https://creighton-primo.hosted.exlibrisgroup.com/primo-explore/search?tab=default_tab&amp;search_scope=EVERYTHING&amp;vid=01CRU&amp;lang=en_US&amp;offset=0&amp;query=any,contains,991000094679702656","Catalog Record")</f>
        <v/>
      </c>
      <c r="AT465">
        <f>HYPERLINK("http://www.worldcat.org/oclc/8928077","WorldCat Record")</f>
        <v/>
      </c>
      <c r="AU465" t="inlineStr">
        <is>
          <t>29348288:eng</t>
        </is>
      </c>
      <c r="AV465" t="inlineStr">
        <is>
          <t>8928077</t>
        </is>
      </c>
      <c r="AW465" t="inlineStr">
        <is>
          <t>991000094679702656</t>
        </is>
      </c>
      <c r="AX465" t="inlineStr">
        <is>
          <t>991000094679702656</t>
        </is>
      </c>
      <c r="AY465" t="inlineStr">
        <is>
          <t>2264333930002656</t>
        </is>
      </c>
      <c r="AZ465" t="inlineStr">
        <is>
          <t>BOOK</t>
        </is>
      </c>
      <c r="BB465" t="inlineStr">
        <is>
          <t>9780801829321</t>
        </is>
      </c>
      <c r="BC465" t="inlineStr">
        <is>
          <t>32285001553477</t>
        </is>
      </c>
      <c r="BD465" t="inlineStr">
        <is>
          <t>893333206</t>
        </is>
      </c>
    </row>
    <row r="466">
      <c r="A466" t="inlineStr">
        <is>
          <t>No</t>
        </is>
      </c>
      <c r="B466" t="inlineStr">
        <is>
          <t>QH361 .B693 1988</t>
        </is>
      </c>
      <c r="C466" t="inlineStr">
        <is>
          <t>0                      QH 0361000B  693         1988</t>
        </is>
      </c>
      <c r="D466" t="inlineStr">
        <is>
          <t>The non-Darwinian revolution : reinterpreting a historical myth / Peter J. Bowler.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Bowler, Peter J.</t>
        </is>
      </c>
      <c r="L466" t="inlineStr">
        <is>
          <t>Baltimore : Johns Hopkins University Press,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mdu</t>
        </is>
      </c>
      <c r="R466" t="inlineStr">
        <is>
          <t xml:space="preserve">QH </t>
        </is>
      </c>
      <c r="S466" t="n">
        <v>8</v>
      </c>
      <c r="T466" t="n">
        <v>8</v>
      </c>
      <c r="U466" t="inlineStr">
        <is>
          <t>1995-02-21</t>
        </is>
      </c>
      <c r="V466" t="inlineStr">
        <is>
          <t>1995-02-21</t>
        </is>
      </c>
      <c r="W466" t="inlineStr">
        <is>
          <t>1989-10-24</t>
        </is>
      </c>
      <c r="X466" t="inlineStr">
        <is>
          <t>1989-10-24</t>
        </is>
      </c>
      <c r="Y466" t="n">
        <v>760</v>
      </c>
      <c r="Z466" t="n">
        <v>626</v>
      </c>
      <c r="AA466" t="n">
        <v>640</v>
      </c>
      <c r="AB466" t="n">
        <v>4</v>
      </c>
      <c r="AC466" t="n">
        <v>4</v>
      </c>
      <c r="AD466" t="n">
        <v>32</v>
      </c>
      <c r="AE466" t="n">
        <v>32</v>
      </c>
      <c r="AF466" t="n">
        <v>14</v>
      </c>
      <c r="AG466" t="n">
        <v>14</v>
      </c>
      <c r="AH466" t="n">
        <v>7</v>
      </c>
      <c r="AI466" t="n">
        <v>7</v>
      </c>
      <c r="AJ466" t="n">
        <v>17</v>
      </c>
      <c r="AK466" t="n">
        <v>17</v>
      </c>
      <c r="AL466" t="n">
        <v>3</v>
      </c>
      <c r="AM466" t="n">
        <v>3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HYPERLINK("http://catalog.hathitrust.org/Record/004471478","HathiTrust Record")</f>
        <v/>
      </c>
      <c r="AS466">
        <f>HYPERLINK("https://creighton-primo.hosted.exlibrisgroup.com/primo-explore/search?tab=default_tab&amp;search_scope=EVERYTHING&amp;vid=01CRU&amp;lang=en_US&amp;offset=0&amp;query=any,contains,991001265069702656","Catalog Record")</f>
        <v/>
      </c>
      <c r="AT466">
        <f>HYPERLINK("http://www.worldcat.org/oclc/17804296","WorldCat Record")</f>
        <v/>
      </c>
      <c r="AU466" t="inlineStr">
        <is>
          <t>807099165:eng</t>
        </is>
      </c>
      <c r="AV466" t="inlineStr">
        <is>
          <t>17804296</t>
        </is>
      </c>
      <c r="AW466" t="inlineStr">
        <is>
          <t>991001265069702656</t>
        </is>
      </c>
      <c r="AX466" t="inlineStr">
        <is>
          <t>991001265069702656</t>
        </is>
      </c>
      <c r="AY466" t="inlineStr">
        <is>
          <t>2264609250002656</t>
        </is>
      </c>
      <c r="AZ466" t="inlineStr">
        <is>
          <t>BOOK</t>
        </is>
      </c>
      <c r="BB466" t="inlineStr">
        <is>
          <t>9780801836787</t>
        </is>
      </c>
      <c r="BC466" t="inlineStr">
        <is>
          <t>32285000004803</t>
        </is>
      </c>
      <c r="BD466" t="inlineStr">
        <is>
          <t>893534496</t>
        </is>
      </c>
    </row>
    <row r="467">
      <c r="A467" t="inlineStr">
        <is>
          <t>No</t>
        </is>
      </c>
      <c r="B467" t="inlineStr">
        <is>
          <t>QH361 .C3 1957</t>
        </is>
      </c>
      <c r="C467" t="inlineStr">
        <is>
          <t>0                      QH 0361000C  3           1957</t>
        </is>
      </c>
      <c r="D467" t="inlineStr">
        <is>
          <t>A hundred years of evolution.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Carter, G. S. (George Stuart)</t>
        </is>
      </c>
      <c r="L467" t="inlineStr">
        <is>
          <t>London : Sidgwick and Jackson, [1957]</t>
        </is>
      </c>
      <c r="M467" t="inlineStr">
        <is>
          <t>1957</t>
        </is>
      </c>
      <c r="O467" t="inlineStr">
        <is>
          <t>eng</t>
        </is>
      </c>
      <c r="P467" t="inlineStr">
        <is>
          <t>enk</t>
        </is>
      </c>
      <c r="R467" t="inlineStr">
        <is>
          <t xml:space="preserve">QH </t>
        </is>
      </c>
      <c r="S467" t="n">
        <v>3</v>
      </c>
      <c r="T467" t="n">
        <v>3</v>
      </c>
      <c r="U467" t="inlineStr">
        <is>
          <t>1997-05-02</t>
        </is>
      </c>
      <c r="V467" t="inlineStr">
        <is>
          <t>1997-05-02</t>
        </is>
      </c>
      <c r="W467" t="inlineStr">
        <is>
          <t>1993-12-13</t>
        </is>
      </c>
      <c r="X467" t="inlineStr">
        <is>
          <t>1993-12-13</t>
        </is>
      </c>
      <c r="Y467" t="n">
        <v>361</v>
      </c>
      <c r="Z467" t="n">
        <v>274</v>
      </c>
      <c r="AA467" t="n">
        <v>519</v>
      </c>
      <c r="AB467" t="n">
        <v>2</v>
      </c>
      <c r="AC467" t="n">
        <v>5</v>
      </c>
      <c r="AD467" t="n">
        <v>11</v>
      </c>
      <c r="AE467" t="n">
        <v>22</v>
      </c>
      <c r="AF467" t="n">
        <v>2</v>
      </c>
      <c r="AG467" t="n">
        <v>6</v>
      </c>
      <c r="AH467" t="n">
        <v>1</v>
      </c>
      <c r="AI467" t="n">
        <v>3</v>
      </c>
      <c r="AJ467" t="n">
        <v>9</v>
      </c>
      <c r="AK467" t="n">
        <v>15</v>
      </c>
      <c r="AL467" t="n">
        <v>1</v>
      </c>
      <c r="AM467" t="n">
        <v>4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HYPERLINK("http://catalog.hathitrust.org/Record/001491575","HathiTrust Record")</f>
        <v/>
      </c>
      <c r="AS467">
        <f>HYPERLINK("https://creighton-primo.hosted.exlibrisgroup.com/primo-explore/search?tab=default_tab&amp;search_scope=EVERYTHING&amp;vid=01CRU&amp;lang=en_US&amp;offset=0&amp;query=any,contains,991002969339702656","Catalog Record")</f>
        <v/>
      </c>
      <c r="AT467">
        <f>HYPERLINK("http://www.worldcat.org/oclc/547666","WorldCat Record")</f>
        <v/>
      </c>
      <c r="AU467" t="inlineStr">
        <is>
          <t>1581591:eng</t>
        </is>
      </c>
      <c r="AV467" t="inlineStr">
        <is>
          <t>547666</t>
        </is>
      </c>
      <c r="AW467" t="inlineStr">
        <is>
          <t>991002969339702656</t>
        </is>
      </c>
      <c r="AX467" t="inlineStr">
        <is>
          <t>991002969339702656</t>
        </is>
      </c>
      <c r="AY467" t="inlineStr">
        <is>
          <t>2262899110002656</t>
        </is>
      </c>
      <c r="AZ467" t="inlineStr">
        <is>
          <t>BOOK</t>
        </is>
      </c>
      <c r="BC467" t="inlineStr">
        <is>
          <t>32285001807642</t>
        </is>
      </c>
      <c r="BD467" t="inlineStr">
        <is>
          <t>893422012</t>
        </is>
      </c>
    </row>
    <row r="468">
      <c r="A468" t="inlineStr">
        <is>
          <t>No</t>
        </is>
      </c>
      <c r="B468" t="inlineStr">
        <is>
          <t>QH361 .C58 1972</t>
        </is>
      </c>
      <c r="C468" t="inlineStr">
        <is>
          <t>0                      QH 0361000C  58          1972</t>
        </is>
      </c>
      <c r="D468" t="inlineStr">
        <is>
          <t>Pioneers of evolution from Thales to Huxley : with an intermediate chapter on the causes of arrest of the movement.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Clodd, Edward, 1840-1930.</t>
        </is>
      </c>
      <c r="L468" t="inlineStr">
        <is>
          <t>Freeport, N.Y. : Books for Libraries Press, [1972]</t>
        </is>
      </c>
      <c r="M468" t="inlineStr">
        <is>
          <t>1972</t>
        </is>
      </c>
      <c r="O468" t="inlineStr">
        <is>
          <t>eng</t>
        </is>
      </c>
      <c r="P468" t="inlineStr">
        <is>
          <t>nyu</t>
        </is>
      </c>
      <c r="Q468" t="inlineStr">
        <is>
          <t>Essay index reprint series</t>
        </is>
      </c>
      <c r="R468" t="inlineStr">
        <is>
          <t xml:space="preserve">QH </t>
        </is>
      </c>
      <c r="S468" t="n">
        <v>6</v>
      </c>
      <c r="T468" t="n">
        <v>6</v>
      </c>
      <c r="U468" t="inlineStr">
        <is>
          <t>2001-08-20</t>
        </is>
      </c>
      <c r="V468" t="inlineStr">
        <is>
          <t>2001-08-20</t>
        </is>
      </c>
      <c r="W468" t="inlineStr">
        <is>
          <t>1993-11-23</t>
        </is>
      </c>
      <c r="X468" t="inlineStr">
        <is>
          <t>1993-11-23</t>
        </is>
      </c>
      <c r="Y468" t="n">
        <v>115</v>
      </c>
      <c r="Z468" t="n">
        <v>110</v>
      </c>
      <c r="AA468" t="n">
        <v>392</v>
      </c>
      <c r="AB468" t="n">
        <v>1</v>
      </c>
      <c r="AC468" t="n">
        <v>4</v>
      </c>
      <c r="AD468" t="n">
        <v>5</v>
      </c>
      <c r="AE468" t="n">
        <v>18</v>
      </c>
      <c r="AF468" t="n">
        <v>3</v>
      </c>
      <c r="AG468" t="n">
        <v>7</v>
      </c>
      <c r="AH468" t="n">
        <v>1</v>
      </c>
      <c r="AI468" t="n">
        <v>3</v>
      </c>
      <c r="AJ468" t="n">
        <v>3</v>
      </c>
      <c r="AK468" t="n">
        <v>8</v>
      </c>
      <c r="AL468" t="n">
        <v>0</v>
      </c>
      <c r="AM468" t="n">
        <v>3</v>
      </c>
      <c r="AN468" t="n">
        <v>0</v>
      </c>
      <c r="AO468" t="n">
        <v>1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HYPERLINK("http://catalog.hathitrust.org/Record/010661286","HathiTrust Record")</f>
        <v/>
      </c>
      <c r="AS468">
        <f>HYPERLINK("https://creighton-primo.hosted.exlibrisgroup.com/primo-explore/search?tab=default_tab&amp;search_scope=EVERYTHING&amp;vid=01CRU&amp;lang=en_US&amp;offset=0&amp;query=any,contains,991001224849702656","Catalog Record")</f>
        <v/>
      </c>
      <c r="AT468">
        <f>HYPERLINK("http://www.worldcat.org/oclc/199486","WorldCat Record")</f>
        <v/>
      </c>
      <c r="AU468" t="inlineStr">
        <is>
          <t>1380195:eng</t>
        </is>
      </c>
      <c r="AV468" t="inlineStr">
        <is>
          <t>199486</t>
        </is>
      </c>
      <c r="AW468" t="inlineStr">
        <is>
          <t>991001224849702656</t>
        </is>
      </c>
      <c r="AX468" t="inlineStr">
        <is>
          <t>991001224849702656</t>
        </is>
      </c>
      <c r="AY468" t="inlineStr">
        <is>
          <t>2269723310002656</t>
        </is>
      </c>
      <c r="AZ468" t="inlineStr">
        <is>
          <t>BOOK</t>
        </is>
      </c>
      <c r="BB468" t="inlineStr">
        <is>
          <t>9780836925401</t>
        </is>
      </c>
      <c r="BC468" t="inlineStr">
        <is>
          <t>32285001688380</t>
        </is>
      </c>
      <c r="BD468" t="inlineStr">
        <is>
          <t>893237951</t>
        </is>
      </c>
    </row>
    <row r="469">
      <c r="A469" t="inlineStr">
        <is>
          <t>No</t>
        </is>
      </c>
      <c r="B469" t="inlineStr">
        <is>
          <t>QH361 .C66 1988</t>
        </is>
      </c>
      <c r="C469" t="inlineStr">
        <is>
          <t>0                      QH 0361000C  66          1988</t>
        </is>
      </c>
      <c r="D469" t="inlineStr">
        <is>
          <t>The Comparative reception of Darwinism / edited by Thomas F. Glick ; with a new preface.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Chicago : University of Chicago Press, 1988.</t>
        </is>
      </c>
      <c r="M469" t="inlineStr">
        <is>
          <t>1988</t>
        </is>
      </c>
      <c r="O469" t="inlineStr">
        <is>
          <t>eng</t>
        </is>
      </c>
      <c r="P469" t="inlineStr">
        <is>
          <t>ilu</t>
        </is>
      </c>
      <c r="R469" t="inlineStr">
        <is>
          <t xml:space="preserve">QH </t>
        </is>
      </c>
      <c r="S469" t="n">
        <v>10</v>
      </c>
      <c r="T469" t="n">
        <v>10</v>
      </c>
      <c r="U469" t="inlineStr">
        <is>
          <t>2007-11-18</t>
        </is>
      </c>
      <c r="V469" t="inlineStr">
        <is>
          <t>2007-11-18</t>
        </is>
      </c>
      <c r="W469" t="inlineStr">
        <is>
          <t>1993-03-29</t>
        </is>
      </c>
      <c r="X469" t="inlineStr">
        <is>
          <t>1993-03-29</t>
        </is>
      </c>
      <c r="Y469" t="n">
        <v>212</v>
      </c>
      <c r="Z469" t="n">
        <v>156</v>
      </c>
      <c r="AA469" t="n">
        <v>606</v>
      </c>
      <c r="AB469" t="n">
        <v>2</v>
      </c>
      <c r="AC469" t="n">
        <v>7</v>
      </c>
      <c r="AD469" t="n">
        <v>8</v>
      </c>
      <c r="AE469" t="n">
        <v>28</v>
      </c>
      <c r="AF469" t="n">
        <v>3</v>
      </c>
      <c r="AG469" t="n">
        <v>6</v>
      </c>
      <c r="AH469" t="n">
        <v>1</v>
      </c>
      <c r="AI469" t="n">
        <v>7</v>
      </c>
      <c r="AJ469" t="n">
        <v>4</v>
      </c>
      <c r="AK469" t="n">
        <v>13</v>
      </c>
      <c r="AL469" t="n">
        <v>1</v>
      </c>
      <c r="AM469" t="n">
        <v>6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HYPERLINK("https://creighton-primo.hosted.exlibrisgroup.com/primo-explore/search?tab=default_tab&amp;search_scope=EVERYTHING&amp;vid=01CRU&amp;lang=en_US&amp;offset=0&amp;query=any,contains,991001203629702656","Catalog Record")</f>
        <v/>
      </c>
      <c r="AT469">
        <f>HYPERLINK("http://www.worldcat.org/oclc/17328115","WorldCat Record")</f>
        <v/>
      </c>
      <c r="AU469" t="inlineStr">
        <is>
          <t>365774198:eng</t>
        </is>
      </c>
      <c r="AV469" t="inlineStr">
        <is>
          <t>17328115</t>
        </is>
      </c>
      <c r="AW469" t="inlineStr">
        <is>
          <t>991001203629702656</t>
        </is>
      </c>
      <c r="AX469" t="inlineStr">
        <is>
          <t>991001203629702656</t>
        </is>
      </c>
      <c r="AY469" t="inlineStr">
        <is>
          <t>2261891610002656</t>
        </is>
      </c>
      <c r="AZ469" t="inlineStr">
        <is>
          <t>BOOK</t>
        </is>
      </c>
      <c r="BB469" t="inlineStr">
        <is>
          <t>9780226299778</t>
        </is>
      </c>
      <c r="BC469" t="inlineStr">
        <is>
          <t>32285001553493</t>
        </is>
      </c>
      <c r="BD469" t="inlineStr">
        <is>
          <t>893334148</t>
        </is>
      </c>
    </row>
    <row r="470">
      <c r="A470" t="inlineStr">
        <is>
          <t>No</t>
        </is>
      </c>
      <c r="B470" t="inlineStr">
        <is>
          <t>QH361 .E35</t>
        </is>
      </c>
      <c r="C470" t="inlineStr">
        <is>
          <t>0                      QH 0361000E  35</t>
        </is>
      </c>
      <c r="D470" t="inlineStr">
        <is>
          <t>Darwin's century : evolution and the men who discovered it.</t>
        </is>
      </c>
      <c r="F470" t="inlineStr">
        <is>
          <t>No</t>
        </is>
      </c>
      <c r="G470" t="inlineStr">
        <is>
          <t>1</t>
        </is>
      </c>
      <c r="H470" t="inlineStr">
        <is>
          <t>Yes</t>
        </is>
      </c>
      <c r="I470" t="inlineStr">
        <is>
          <t>No</t>
        </is>
      </c>
      <c r="J470" t="inlineStr">
        <is>
          <t>0</t>
        </is>
      </c>
      <c r="K470" t="inlineStr">
        <is>
          <t>Eiseley, Loren C., 1907-1977.</t>
        </is>
      </c>
      <c r="L470" t="inlineStr">
        <is>
          <t>Garden City, N.Y. : Doubleday, 1958.</t>
        </is>
      </c>
      <c r="M470" t="inlineStr">
        <is>
          <t>1958</t>
        </is>
      </c>
      <c r="N470" t="inlineStr">
        <is>
          <t>[1st ed.]</t>
        </is>
      </c>
      <c r="O470" t="inlineStr">
        <is>
          <t>eng</t>
        </is>
      </c>
      <c r="P470" t="inlineStr">
        <is>
          <t>nyu</t>
        </is>
      </c>
      <c r="Q470" t="inlineStr">
        <is>
          <t>Doubleday anchor books</t>
        </is>
      </c>
      <c r="R470" t="inlineStr">
        <is>
          <t xml:space="preserve">QH </t>
        </is>
      </c>
      <c r="S470" t="n">
        <v>6</v>
      </c>
      <c r="T470" t="n">
        <v>9</v>
      </c>
      <c r="U470" t="inlineStr">
        <is>
          <t>1995-09-27</t>
        </is>
      </c>
      <c r="V470" t="inlineStr">
        <is>
          <t>1995-09-27</t>
        </is>
      </c>
      <c r="W470" t="inlineStr">
        <is>
          <t>1993-12-22</t>
        </is>
      </c>
      <c r="X470" t="inlineStr">
        <is>
          <t>1993-12-22</t>
        </is>
      </c>
      <c r="Y470" t="n">
        <v>1291</v>
      </c>
      <c r="Z470" t="n">
        <v>1212</v>
      </c>
      <c r="AA470" t="n">
        <v>1636</v>
      </c>
      <c r="AB470" t="n">
        <v>17</v>
      </c>
      <c r="AC470" t="n">
        <v>21</v>
      </c>
      <c r="AD470" t="n">
        <v>45</v>
      </c>
      <c r="AE470" t="n">
        <v>53</v>
      </c>
      <c r="AF470" t="n">
        <v>14</v>
      </c>
      <c r="AG470" t="n">
        <v>18</v>
      </c>
      <c r="AH470" t="n">
        <v>6</v>
      </c>
      <c r="AI470" t="n">
        <v>9</v>
      </c>
      <c r="AJ470" t="n">
        <v>21</v>
      </c>
      <c r="AK470" t="n">
        <v>23</v>
      </c>
      <c r="AL470" t="n">
        <v>11</v>
      </c>
      <c r="AM470" t="n">
        <v>12</v>
      </c>
      <c r="AN470" t="n">
        <v>1</v>
      </c>
      <c r="AO470" t="n">
        <v>1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HYPERLINK("http://catalog.hathitrust.org/Record/001491580","HathiTrust Record")</f>
        <v/>
      </c>
      <c r="AS470">
        <f>HYPERLINK("https://creighton-primo.hosted.exlibrisgroup.com/primo-explore/search?tab=default_tab&amp;search_scope=EVERYTHING&amp;vid=01CRU&amp;lang=en_US&amp;offset=0&amp;query=any,contains,991001771159702656","Catalog Record")</f>
        <v/>
      </c>
      <c r="AT470">
        <f>HYPERLINK("http://www.worldcat.org/oclc/168989","WorldCat Record")</f>
        <v/>
      </c>
      <c r="AU470" t="inlineStr">
        <is>
          <t>1291102:eng</t>
        </is>
      </c>
      <c r="AV470" t="inlineStr">
        <is>
          <t>168989</t>
        </is>
      </c>
      <c r="AW470" t="inlineStr">
        <is>
          <t>991001771159702656</t>
        </is>
      </c>
      <c r="AX470" t="inlineStr">
        <is>
          <t>991001771159702656</t>
        </is>
      </c>
      <c r="AY470" t="inlineStr">
        <is>
          <t>2262283890002656</t>
        </is>
      </c>
      <c r="AZ470" t="inlineStr">
        <is>
          <t>BOOK</t>
        </is>
      </c>
      <c r="BC470" t="inlineStr">
        <is>
          <t>32285001826964</t>
        </is>
      </c>
      <c r="BD470" t="inlineStr">
        <is>
          <t>893244393</t>
        </is>
      </c>
    </row>
    <row r="471">
      <c r="A471" t="inlineStr">
        <is>
          <t>No</t>
        </is>
      </c>
      <c r="B471" t="inlineStr">
        <is>
          <t>QH361 .O8 1975</t>
        </is>
      </c>
      <c r="C471" t="inlineStr">
        <is>
          <t>0                      QH 0361000O  8           1975</t>
        </is>
      </c>
      <c r="D471" t="inlineStr">
        <is>
          <t>From the Greeks to Darwin / by Henry Fairfield Osborn.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Osborn, Henry Fairfield, 1857-1935.</t>
        </is>
      </c>
      <c r="L471" t="inlineStr">
        <is>
          <t>New York : Arno Press, 1975, c1929.</t>
        </is>
      </c>
      <c r="M471" t="inlineStr">
        <is>
          <t>1975</t>
        </is>
      </c>
      <c r="O471" t="inlineStr">
        <is>
          <t>eng</t>
        </is>
      </c>
      <c r="P471" t="inlineStr">
        <is>
          <t>nyu</t>
        </is>
      </c>
      <c r="Q471" t="inlineStr">
        <is>
          <t>History, philosophy and sociology of science</t>
        </is>
      </c>
      <c r="R471" t="inlineStr">
        <is>
          <t xml:space="preserve">QH </t>
        </is>
      </c>
      <c r="S471" t="n">
        <v>2</v>
      </c>
      <c r="T471" t="n">
        <v>2</v>
      </c>
      <c r="U471" t="inlineStr">
        <is>
          <t>2001-08-20</t>
        </is>
      </c>
      <c r="V471" t="inlineStr">
        <is>
          <t>2001-08-20</t>
        </is>
      </c>
      <c r="W471" t="inlineStr">
        <is>
          <t>1997-09-18</t>
        </is>
      </c>
      <c r="X471" t="inlineStr">
        <is>
          <t>1997-09-18</t>
        </is>
      </c>
      <c r="Y471" t="n">
        <v>127</v>
      </c>
      <c r="Z471" t="n">
        <v>111</v>
      </c>
      <c r="AA471" t="n">
        <v>148</v>
      </c>
      <c r="AB471" t="n">
        <v>2</v>
      </c>
      <c r="AC471" t="n">
        <v>2</v>
      </c>
      <c r="AD471" t="n">
        <v>4</v>
      </c>
      <c r="AE471" t="n">
        <v>5</v>
      </c>
      <c r="AF471" t="n">
        <v>1</v>
      </c>
      <c r="AG471" t="n">
        <v>1</v>
      </c>
      <c r="AH471" t="n">
        <v>1</v>
      </c>
      <c r="AI471" t="n">
        <v>1</v>
      </c>
      <c r="AJ471" t="n">
        <v>1</v>
      </c>
      <c r="AK471" t="n">
        <v>2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HYPERLINK("https://creighton-primo.hosted.exlibrisgroup.com/primo-explore/search?tab=default_tab&amp;search_scope=EVERYTHING&amp;vid=01CRU&amp;lang=en_US&amp;offset=0&amp;query=any,contains,991003626679702656","Catalog Record")</f>
        <v/>
      </c>
      <c r="AT471">
        <f>HYPERLINK("http://www.worldcat.org/oclc/1217478","WorldCat Record")</f>
        <v/>
      </c>
      <c r="AU471" t="inlineStr">
        <is>
          <t>4092408564:eng</t>
        </is>
      </c>
      <c r="AV471" t="inlineStr">
        <is>
          <t>1217478</t>
        </is>
      </c>
      <c r="AW471" t="inlineStr">
        <is>
          <t>991003626679702656</t>
        </is>
      </c>
      <c r="AX471" t="inlineStr">
        <is>
          <t>991003626679702656</t>
        </is>
      </c>
      <c r="AY471" t="inlineStr">
        <is>
          <t>2272235500002656</t>
        </is>
      </c>
      <c r="AZ471" t="inlineStr">
        <is>
          <t>BOOK</t>
        </is>
      </c>
      <c r="BB471" t="inlineStr">
        <is>
          <t>9780405066108</t>
        </is>
      </c>
      <c r="BC471" t="inlineStr">
        <is>
          <t>32285003174363</t>
        </is>
      </c>
      <c r="BD471" t="inlineStr">
        <is>
          <t>893806001</t>
        </is>
      </c>
    </row>
    <row r="472">
      <c r="A472" t="inlineStr">
        <is>
          <t>No</t>
        </is>
      </c>
      <c r="B472" t="inlineStr">
        <is>
          <t>QH361 .R87 1999</t>
        </is>
      </c>
      <c r="C472" t="inlineStr">
        <is>
          <t>0                      QH 0361000R  87          1999</t>
        </is>
      </c>
      <c r="D472" t="inlineStr">
        <is>
          <t>The Darwinian revolution : science red in tooth and claw / Michael Ruse.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Ruse, Michael.</t>
        </is>
      </c>
      <c r="L472" t="inlineStr">
        <is>
          <t>Chicago : University of Chicago Press, c1999.</t>
        </is>
      </c>
      <c r="M472" t="inlineStr">
        <is>
          <t>1999</t>
        </is>
      </c>
      <c r="N472" t="inlineStr">
        <is>
          <t>2nd ed.</t>
        </is>
      </c>
      <c r="O472" t="inlineStr">
        <is>
          <t>eng</t>
        </is>
      </c>
      <c r="P472" t="inlineStr">
        <is>
          <t>ilu</t>
        </is>
      </c>
      <c r="R472" t="inlineStr">
        <is>
          <t xml:space="preserve">QH </t>
        </is>
      </c>
      <c r="S472" t="n">
        <v>5</v>
      </c>
      <c r="T472" t="n">
        <v>5</v>
      </c>
      <c r="U472" t="inlineStr">
        <is>
          <t>2010-02-12</t>
        </is>
      </c>
      <c r="V472" t="inlineStr">
        <is>
          <t>2010-02-12</t>
        </is>
      </c>
      <c r="W472" t="inlineStr">
        <is>
          <t>2000-12-20</t>
        </is>
      </c>
      <c r="X472" t="inlineStr">
        <is>
          <t>2000-12-20</t>
        </is>
      </c>
      <c r="Y472" t="n">
        <v>541</v>
      </c>
      <c r="Z472" t="n">
        <v>453</v>
      </c>
      <c r="AA472" t="n">
        <v>1059</v>
      </c>
      <c r="AB472" t="n">
        <v>6</v>
      </c>
      <c r="AC472" t="n">
        <v>8</v>
      </c>
      <c r="AD472" t="n">
        <v>32</v>
      </c>
      <c r="AE472" t="n">
        <v>49</v>
      </c>
      <c r="AF472" t="n">
        <v>13</v>
      </c>
      <c r="AG472" t="n">
        <v>22</v>
      </c>
      <c r="AH472" t="n">
        <v>9</v>
      </c>
      <c r="AI472" t="n">
        <v>10</v>
      </c>
      <c r="AJ472" t="n">
        <v>12</v>
      </c>
      <c r="AK472" t="n">
        <v>23</v>
      </c>
      <c r="AL472" t="n">
        <v>5</v>
      </c>
      <c r="AM472" t="n">
        <v>7</v>
      </c>
      <c r="AN472" t="n">
        <v>0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HYPERLINK("https://creighton-primo.hosted.exlibrisgroup.com/primo-explore/search?tab=default_tab&amp;search_scope=EVERYTHING&amp;vid=01CRU&amp;lang=en_US&amp;offset=0&amp;query=any,contains,991003308559702656","Catalog Record")</f>
        <v/>
      </c>
      <c r="AT472">
        <f>HYPERLINK("http://www.worldcat.org/oclc/41173565","WorldCat Record")</f>
        <v/>
      </c>
      <c r="AU472" t="inlineStr">
        <is>
          <t>796136334:eng</t>
        </is>
      </c>
      <c r="AV472" t="inlineStr">
        <is>
          <t>41173565</t>
        </is>
      </c>
      <c r="AW472" t="inlineStr">
        <is>
          <t>991003308559702656</t>
        </is>
      </c>
      <c r="AX472" t="inlineStr">
        <is>
          <t>991003308559702656</t>
        </is>
      </c>
      <c r="AY472" t="inlineStr">
        <is>
          <t>2268936940002656</t>
        </is>
      </c>
      <c r="AZ472" t="inlineStr">
        <is>
          <t>BOOK</t>
        </is>
      </c>
      <c r="BB472" t="inlineStr">
        <is>
          <t>9780226731681</t>
        </is>
      </c>
      <c r="BC472" t="inlineStr">
        <is>
          <t>32285004278056</t>
        </is>
      </c>
      <c r="BD472" t="inlineStr">
        <is>
          <t>893592402</t>
        </is>
      </c>
    </row>
    <row r="473">
      <c r="A473" t="inlineStr">
        <is>
          <t>No</t>
        </is>
      </c>
      <c r="B473" t="inlineStr">
        <is>
          <t>QH361 .R874 2000</t>
        </is>
      </c>
      <c r="C473" t="inlineStr">
        <is>
          <t>0                      QH 0361000R  874         2000</t>
        </is>
      </c>
      <c r="D473" t="inlineStr">
        <is>
          <t>The evolution wars : a guide to the debates / Michael Ruse ; foreword by Edward O. Wilson.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Ruse, Michael.</t>
        </is>
      </c>
      <c r="L473" t="inlineStr">
        <is>
          <t>Santa Barbara, Calif. : ABC-CLIO, c2000.</t>
        </is>
      </c>
      <c r="M473" t="inlineStr">
        <is>
          <t>2000</t>
        </is>
      </c>
      <c r="O473" t="inlineStr">
        <is>
          <t>eng</t>
        </is>
      </c>
      <c r="P473" t="inlineStr">
        <is>
          <t>cau</t>
        </is>
      </c>
      <c r="R473" t="inlineStr">
        <is>
          <t xml:space="preserve">QH </t>
        </is>
      </c>
      <c r="S473" t="n">
        <v>12</v>
      </c>
      <c r="T473" t="n">
        <v>12</v>
      </c>
      <c r="U473" t="inlineStr">
        <is>
          <t>2010-02-12</t>
        </is>
      </c>
      <c r="V473" t="inlineStr">
        <is>
          <t>2010-02-12</t>
        </is>
      </c>
      <c r="W473" t="inlineStr">
        <is>
          <t>2001-05-30</t>
        </is>
      </c>
      <c r="X473" t="inlineStr">
        <is>
          <t>2001-05-30</t>
        </is>
      </c>
      <c r="Y473" t="n">
        <v>1023</v>
      </c>
      <c r="Z473" t="n">
        <v>934</v>
      </c>
      <c r="AA473" t="n">
        <v>1881</v>
      </c>
      <c r="AB473" t="n">
        <v>9</v>
      </c>
      <c r="AC473" t="n">
        <v>15</v>
      </c>
      <c r="AD473" t="n">
        <v>33</v>
      </c>
      <c r="AE473" t="n">
        <v>54</v>
      </c>
      <c r="AF473" t="n">
        <v>9</v>
      </c>
      <c r="AG473" t="n">
        <v>23</v>
      </c>
      <c r="AH473" t="n">
        <v>7</v>
      </c>
      <c r="AI473" t="n">
        <v>9</v>
      </c>
      <c r="AJ473" t="n">
        <v>13</v>
      </c>
      <c r="AK473" t="n">
        <v>17</v>
      </c>
      <c r="AL473" t="n">
        <v>8</v>
      </c>
      <c r="AM473" t="n">
        <v>13</v>
      </c>
      <c r="AN473" t="n">
        <v>1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HYPERLINK("http://catalog.hathitrust.org/Record/004114477","HathiTrust Record")</f>
        <v/>
      </c>
      <c r="AS473">
        <f>HYPERLINK("https://creighton-primo.hosted.exlibrisgroup.com/primo-explore/search?tab=default_tab&amp;search_scope=EVERYTHING&amp;vid=01CRU&amp;lang=en_US&amp;offset=0&amp;query=any,contains,991003511299702656","Catalog Record")</f>
        <v/>
      </c>
      <c r="AT473">
        <f>HYPERLINK("http://www.worldcat.org/oclc/43864180","WorldCat Record")</f>
        <v/>
      </c>
      <c r="AU473" t="inlineStr">
        <is>
          <t>800062001:eng</t>
        </is>
      </c>
      <c r="AV473" t="inlineStr">
        <is>
          <t>43864180</t>
        </is>
      </c>
      <c r="AW473" t="inlineStr">
        <is>
          <t>991003511299702656</t>
        </is>
      </c>
      <c r="AX473" t="inlineStr">
        <is>
          <t>991003511299702656</t>
        </is>
      </c>
      <c r="AY473" t="inlineStr">
        <is>
          <t>2259183240002656</t>
        </is>
      </c>
      <c r="AZ473" t="inlineStr">
        <is>
          <t>BOOK</t>
        </is>
      </c>
      <c r="BB473" t="inlineStr">
        <is>
          <t>9781576071854</t>
        </is>
      </c>
      <c r="BC473" t="inlineStr">
        <is>
          <t>32285004319322</t>
        </is>
      </c>
      <c r="BD473" t="inlineStr">
        <is>
          <t>893228117</t>
        </is>
      </c>
    </row>
    <row r="474">
      <c r="A474" t="inlineStr">
        <is>
          <t>No</t>
        </is>
      </c>
      <c r="B474" t="inlineStr">
        <is>
          <t>QH361 .S68 2004</t>
        </is>
      </c>
      <c r="C474" t="inlineStr">
        <is>
          <t>0                      QH 0361000S  68          2004</t>
        </is>
      </c>
      <c r="D474" t="inlineStr">
        <is>
          <t>Sourcebook on history of evolution / [edited by] Mark A. Largent.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Dubuque, Iowa : Kendall/Hunt Pub. Co., 2004, c2002.</t>
        </is>
      </c>
      <c r="M474" t="inlineStr">
        <is>
          <t>2004</t>
        </is>
      </c>
      <c r="N474" t="inlineStr">
        <is>
          <t>Rev. printing.</t>
        </is>
      </c>
      <c r="O474" t="inlineStr">
        <is>
          <t>eng</t>
        </is>
      </c>
      <c r="P474" t="inlineStr">
        <is>
          <t>iau</t>
        </is>
      </c>
      <c r="R474" t="inlineStr">
        <is>
          <t xml:space="preserve">QH </t>
        </is>
      </c>
      <c r="S474" t="n">
        <v>2</v>
      </c>
      <c r="T474" t="n">
        <v>2</v>
      </c>
      <c r="U474" t="inlineStr">
        <is>
          <t>2006-05-31</t>
        </is>
      </c>
      <c r="V474" t="inlineStr">
        <is>
          <t>2006-05-31</t>
        </is>
      </c>
      <c r="W474" t="inlineStr">
        <is>
          <t>2006-05-31</t>
        </is>
      </c>
      <c r="X474" t="inlineStr">
        <is>
          <t>2006-05-31</t>
        </is>
      </c>
      <c r="Y474" t="n">
        <v>8</v>
      </c>
      <c r="Z474" t="n">
        <v>7</v>
      </c>
      <c r="AA474" t="n">
        <v>29</v>
      </c>
      <c r="AB474" t="n">
        <v>0</v>
      </c>
      <c r="AC474" t="n">
        <v>0</v>
      </c>
      <c r="AD474" t="n">
        <v>0</v>
      </c>
      <c r="AE474" t="n">
        <v>2</v>
      </c>
      <c r="AF474" t="n">
        <v>0</v>
      </c>
      <c r="AG474" t="n">
        <v>2</v>
      </c>
      <c r="AH474" t="n">
        <v>0</v>
      </c>
      <c r="AI474" t="n">
        <v>0</v>
      </c>
      <c r="AJ474" t="n">
        <v>0</v>
      </c>
      <c r="AK474" t="n">
        <v>1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HYPERLINK("http://catalog.hathitrust.org/Record/007267729","HathiTrust Record")</f>
        <v/>
      </c>
      <c r="AS474">
        <f>HYPERLINK("https://creighton-primo.hosted.exlibrisgroup.com/primo-explore/search?tab=default_tab&amp;search_scope=EVERYTHING&amp;vid=01CRU&amp;lang=en_US&amp;offset=0&amp;query=any,contains,991004822949702656","Catalog Record")</f>
        <v/>
      </c>
      <c r="AT474">
        <f>HYPERLINK("http://www.worldcat.org/oclc/72671512","WorldCat Record")</f>
        <v/>
      </c>
      <c r="AU474" t="inlineStr">
        <is>
          <t>8723083:eng</t>
        </is>
      </c>
      <c r="AV474" t="inlineStr">
        <is>
          <t>72671512</t>
        </is>
      </c>
      <c r="AW474" t="inlineStr">
        <is>
          <t>991004822949702656</t>
        </is>
      </c>
      <c r="AX474" t="inlineStr">
        <is>
          <t>991004822949702656</t>
        </is>
      </c>
      <c r="AY474" t="inlineStr">
        <is>
          <t>2267724700002656</t>
        </is>
      </c>
      <c r="AZ474" t="inlineStr">
        <is>
          <t>BOOK</t>
        </is>
      </c>
      <c r="BB474" t="inlineStr">
        <is>
          <t>9780757514814</t>
        </is>
      </c>
      <c r="BC474" t="inlineStr">
        <is>
          <t>32285005142673</t>
        </is>
      </c>
      <c r="BD474" t="inlineStr">
        <is>
          <t>893789140</t>
        </is>
      </c>
    </row>
    <row r="475">
      <c r="A475" t="inlineStr">
        <is>
          <t>No</t>
        </is>
      </c>
      <c r="B475" t="inlineStr">
        <is>
          <t>QH361 .Y695 2007</t>
        </is>
      </c>
      <c r="C475" t="inlineStr">
        <is>
          <t>0                      QH 0361000Y  695         2007</t>
        </is>
      </c>
      <c r="D475" t="inlineStr">
        <is>
          <t>The discovery of evolution / David Young.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Young, David, 1942 February 25-</t>
        </is>
      </c>
      <c r="L475" t="inlineStr">
        <is>
          <t>Cambridge ; New York : Cambridge University Press ; London : In association with Natural History Museum, 2007.</t>
        </is>
      </c>
      <c r="M475" t="inlineStr">
        <is>
          <t>2007</t>
        </is>
      </c>
      <c r="N475" t="inlineStr">
        <is>
          <t>2nd ed.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QH </t>
        </is>
      </c>
      <c r="S475" t="n">
        <v>1</v>
      </c>
      <c r="T475" t="n">
        <v>1</v>
      </c>
      <c r="U475" t="inlineStr">
        <is>
          <t>2007-11-13</t>
        </is>
      </c>
      <c r="V475" t="inlineStr">
        <is>
          <t>2007-11-13</t>
        </is>
      </c>
      <c r="W475" t="inlineStr">
        <is>
          <t>2007-11-13</t>
        </is>
      </c>
      <c r="X475" t="inlineStr">
        <is>
          <t>2007-11-13</t>
        </is>
      </c>
      <c r="Y475" t="n">
        <v>334</v>
      </c>
      <c r="Z475" t="n">
        <v>245</v>
      </c>
      <c r="AA475" t="n">
        <v>708</v>
      </c>
      <c r="AB475" t="n">
        <v>2</v>
      </c>
      <c r="AC475" t="n">
        <v>8</v>
      </c>
      <c r="AD475" t="n">
        <v>7</v>
      </c>
      <c r="AE475" t="n">
        <v>34</v>
      </c>
      <c r="AF475" t="n">
        <v>2</v>
      </c>
      <c r="AG475" t="n">
        <v>12</v>
      </c>
      <c r="AH475" t="n">
        <v>2</v>
      </c>
      <c r="AI475" t="n">
        <v>6</v>
      </c>
      <c r="AJ475" t="n">
        <v>4</v>
      </c>
      <c r="AK475" t="n">
        <v>17</v>
      </c>
      <c r="AL475" t="n">
        <v>1</v>
      </c>
      <c r="AM475" t="n">
        <v>7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HYPERLINK("http://catalog.hathitrust.org/Record/102324681","HathiTrust Record")</f>
        <v/>
      </c>
      <c r="AS475">
        <f>HYPERLINK("https://creighton-primo.hosted.exlibrisgroup.com/primo-explore/search?tab=default_tab&amp;search_scope=EVERYTHING&amp;vid=01CRU&amp;lang=en_US&amp;offset=0&amp;query=any,contains,991005142779702656","Catalog Record")</f>
        <v/>
      </c>
      <c r="AT475">
        <f>HYPERLINK("http://www.worldcat.org/oclc/76851597","WorldCat Record")</f>
        <v/>
      </c>
      <c r="AU475" t="inlineStr">
        <is>
          <t>138725536:eng</t>
        </is>
      </c>
      <c r="AV475" t="inlineStr">
        <is>
          <t>76851597</t>
        </is>
      </c>
      <c r="AW475" t="inlineStr">
        <is>
          <t>991005142779702656</t>
        </is>
      </c>
      <c r="AX475" t="inlineStr">
        <is>
          <t>991005142779702656</t>
        </is>
      </c>
      <c r="AY475" t="inlineStr">
        <is>
          <t>2258795720002656</t>
        </is>
      </c>
      <c r="AZ475" t="inlineStr">
        <is>
          <t>BOOK</t>
        </is>
      </c>
      <c r="BB475" t="inlineStr">
        <is>
          <t>9780521687461</t>
        </is>
      </c>
      <c r="BC475" t="inlineStr">
        <is>
          <t>32285005366934</t>
        </is>
      </c>
      <c r="BD475" t="inlineStr">
        <is>
          <t>893236352</t>
        </is>
      </c>
    </row>
    <row r="476">
      <c r="A476" t="inlineStr">
        <is>
          <t>No</t>
        </is>
      </c>
      <c r="B476" t="inlineStr">
        <is>
          <t>QH361 .Z48 2001</t>
        </is>
      </c>
      <c r="C476" t="inlineStr">
        <is>
          <t>0                      QH 0361000Z  48          2001</t>
        </is>
      </c>
      <c r="D476" t="inlineStr">
        <is>
          <t>Evolution : the triumph of an idea / Carl Zimmer ; introduction by Stephen Jay Gould ; foreword by Richard Hutton.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Zimmer, Carl, 1966-</t>
        </is>
      </c>
      <c r="L476" t="inlineStr">
        <is>
          <t>New York : HarperCollins, c2001.</t>
        </is>
      </c>
      <c r="M476" t="inlineStr">
        <is>
          <t>2001</t>
        </is>
      </c>
      <c r="N476" t="inlineStr">
        <is>
          <t>1st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QH </t>
        </is>
      </c>
      <c r="S476" t="n">
        <v>7</v>
      </c>
      <c r="T476" t="n">
        <v>7</v>
      </c>
      <c r="U476" t="inlineStr">
        <is>
          <t>2007-02-05</t>
        </is>
      </c>
      <c r="V476" t="inlineStr">
        <is>
          <t>2007-02-05</t>
        </is>
      </c>
      <c r="W476" t="inlineStr">
        <is>
          <t>2002-01-07</t>
        </is>
      </c>
      <c r="X476" t="inlineStr">
        <is>
          <t>2002-01-07</t>
        </is>
      </c>
      <c r="Y476" t="n">
        <v>1482</v>
      </c>
      <c r="Z476" t="n">
        <v>1333</v>
      </c>
      <c r="AA476" t="n">
        <v>1535</v>
      </c>
      <c r="AB476" t="n">
        <v>14</v>
      </c>
      <c r="AC476" t="n">
        <v>14</v>
      </c>
      <c r="AD476" t="n">
        <v>29</v>
      </c>
      <c r="AE476" t="n">
        <v>31</v>
      </c>
      <c r="AF476" t="n">
        <v>14</v>
      </c>
      <c r="AG476" t="n">
        <v>15</v>
      </c>
      <c r="AH476" t="n">
        <v>6</v>
      </c>
      <c r="AI476" t="n">
        <v>7</v>
      </c>
      <c r="AJ476" t="n">
        <v>12</v>
      </c>
      <c r="AK476" t="n">
        <v>13</v>
      </c>
      <c r="AL476" t="n">
        <v>6</v>
      </c>
      <c r="AM476" t="n">
        <v>6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HYPERLINK("https://creighton-primo.hosted.exlibrisgroup.com/primo-explore/search?tab=default_tab&amp;search_scope=EVERYTHING&amp;vid=01CRU&amp;lang=en_US&amp;offset=0&amp;query=any,contains,991003666279702656","Catalog Record")</f>
        <v/>
      </c>
      <c r="AT476">
        <f>HYPERLINK("http://www.worldcat.org/oclc/46359440","WorldCat Record")</f>
        <v/>
      </c>
      <c r="AU476" t="inlineStr">
        <is>
          <t>35270102:eng</t>
        </is>
      </c>
      <c r="AV476" t="inlineStr">
        <is>
          <t>46359440</t>
        </is>
      </c>
      <c r="AW476" t="inlineStr">
        <is>
          <t>991003666279702656</t>
        </is>
      </c>
      <c r="AX476" t="inlineStr">
        <is>
          <t>991003666279702656</t>
        </is>
      </c>
      <c r="AY476" t="inlineStr">
        <is>
          <t>2261343260002656</t>
        </is>
      </c>
      <c r="AZ476" t="inlineStr">
        <is>
          <t>BOOK</t>
        </is>
      </c>
      <c r="BB476" t="inlineStr">
        <is>
          <t>9780060199067</t>
        </is>
      </c>
      <c r="BC476" t="inlineStr">
        <is>
          <t>32285004445127</t>
        </is>
      </c>
      <c r="BD476" t="inlineStr">
        <is>
          <t>893342833</t>
        </is>
      </c>
    </row>
    <row r="477">
      <c r="A477" t="inlineStr">
        <is>
          <t>No</t>
        </is>
      </c>
      <c r="B477" t="inlineStr">
        <is>
          <t>QH362 .A62 2001</t>
        </is>
      </c>
      <c r="C477" t="inlineStr">
        <is>
          <t>0                      QH 0362000A  62          2001</t>
        </is>
      </c>
      <c r="D477" t="inlineStr">
        <is>
          <t>Defending evolution in the classroom : a guide to the creation/evolution controversy / Brian J. Alters, Sandra M. Alters.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Alters, Brian J.</t>
        </is>
      </c>
      <c r="L477" t="inlineStr">
        <is>
          <t>Sudbury, Mass. : Jones and Bartlett Publishers, c2001.</t>
        </is>
      </c>
      <c r="M477" t="inlineStr">
        <is>
          <t>2001</t>
        </is>
      </c>
      <c r="O477" t="inlineStr">
        <is>
          <t>eng</t>
        </is>
      </c>
      <c r="P477" t="inlineStr">
        <is>
          <t>mau</t>
        </is>
      </c>
      <c r="R477" t="inlineStr">
        <is>
          <t xml:space="preserve">QH </t>
        </is>
      </c>
      <c r="S477" t="n">
        <v>8</v>
      </c>
      <c r="T477" t="n">
        <v>8</v>
      </c>
      <c r="U477" t="inlineStr">
        <is>
          <t>2006-10-09</t>
        </is>
      </c>
      <c r="V477" t="inlineStr">
        <is>
          <t>2006-10-09</t>
        </is>
      </c>
      <c r="W477" t="inlineStr">
        <is>
          <t>2001-08-27</t>
        </is>
      </c>
      <c r="X477" t="inlineStr">
        <is>
          <t>2001-08-27</t>
        </is>
      </c>
      <c r="Y477" t="n">
        <v>436</v>
      </c>
      <c r="Z477" t="n">
        <v>397</v>
      </c>
      <c r="AA477" t="n">
        <v>399</v>
      </c>
      <c r="AB477" t="n">
        <v>4</v>
      </c>
      <c r="AC477" t="n">
        <v>4</v>
      </c>
      <c r="AD477" t="n">
        <v>16</v>
      </c>
      <c r="AE477" t="n">
        <v>16</v>
      </c>
      <c r="AF477" t="n">
        <v>7</v>
      </c>
      <c r="AG477" t="n">
        <v>7</v>
      </c>
      <c r="AH477" t="n">
        <v>3</v>
      </c>
      <c r="AI477" t="n">
        <v>3</v>
      </c>
      <c r="AJ477" t="n">
        <v>7</v>
      </c>
      <c r="AK477" t="n">
        <v>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HYPERLINK("http://catalog.hathitrust.org/Record/004581494","HathiTrust Record")</f>
        <v/>
      </c>
      <c r="AS477">
        <f>HYPERLINK("https://creighton-primo.hosted.exlibrisgroup.com/primo-explore/search?tab=default_tab&amp;search_scope=EVERYTHING&amp;vid=01CRU&amp;lang=en_US&amp;offset=0&amp;query=any,contains,991003587349702656","Catalog Record")</f>
        <v/>
      </c>
      <c r="AT477">
        <f>HYPERLINK("http://www.worldcat.org/oclc/46343269","WorldCat Record")</f>
        <v/>
      </c>
      <c r="AU477" t="inlineStr">
        <is>
          <t>792094304:eng</t>
        </is>
      </c>
      <c r="AV477" t="inlineStr">
        <is>
          <t>46343269</t>
        </is>
      </c>
      <c r="AW477" t="inlineStr">
        <is>
          <t>991003587349702656</t>
        </is>
      </c>
      <c r="AX477" t="inlineStr">
        <is>
          <t>991003587349702656</t>
        </is>
      </c>
      <c r="AY477" t="inlineStr">
        <is>
          <t>2271157510002656</t>
        </is>
      </c>
      <c r="AZ477" t="inlineStr">
        <is>
          <t>BOOK</t>
        </is>
      </c>
      <c r="BB477" t="inlineStr">
        <is>
          <t>9780763711184</t>
        </is>
      </c>
      <c r="BC477" t="inlineStr">
        <is>
          <t>32285004380993</t>
        </is>
      </c>
      <c r="BD477" t="inlineStr">
        <is>
          <t>893441455</t>
        </is>
      </c>
    </row>
    <row r="478">
      <c r="A478" t="inlineStr">
        <is>
          <t>No</t>
        </is>
      </c>
      <c r="B478" t="inlineStr">
        <is>
          <t>QH362 .A628 2005</t>
        </is>
      </c>
      <c r="C478" t="inlineStr">
        <is>
          <t>0                      QH 0362000A  628         2005</t>
        </is>
      </c>
      <c r="D478" t="inlineStr">
        <is>
          <t>Teaching biological evolution in higher education : methodological, religious, and nonreligious issues / Brian Alters.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Alters, Brian J.</t>
        </is>
      </c>
      <c r="L478" t="inlineStr">
        <is>
          <t>Sudbury, Mass. : Jones and Bartlett Publishers, c2005.</t>
        </is>
      </c>
      <c r="M478" t="inlineStr">
        <is>
          <t>2005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QH </t>
        </is>
      </c>
      <c r="S478" t="n">
        <v>6</v>
      </c>
      <c r="T478" t="n">
        <v>6</v>
      </c>
      <c r="U478" t="inlineStr">
        <is>
          <t>2009-02-22</t>
        </is>
      </c>
      <c r="V478" t="inlineStr">
        <is>
          <t>2009-02-22</t>
        </is>
      </c>
      <c r="W478" t="inlineStr">
        <is>
          <t>2005-03-31</t>
        </is>
      </c>
      <c r="X478" t="inlineStr">
        <is>
          <t>2005-03-31</t>
        </is>
      </c>
      <c r="Y478" t="n">
        <v>181</v>
      </c>
      <c r="Z478" t="n">
        <v>157</v>
      </c>
      <c r="AA478" t="n">
        <v>157</v>
      </c>
      <c r="AB478" t="n">
        <v>2</v>
      </c>
      <c r="AC478" t="n">
        <v>2</v>
      </c>
      <c r="AD478" t="n">
        <v>9</v>
      </c>
      <c r="AE478" t="n">
        <v>9</v>
      </c>
      <c r="AF478" t="n">
        <v>3</v>
      </c>
      <c r="AG478" t="n">
        <v>3</v>
      </c>
      <c r="AH478" t="n">
        <v>3</v>
      </c>
      <c r="AI478" t="n">
        <v>3</v>
      </c>
      <c r="AJ478" t="n">
        <v>4</v>
      </c>
      <c r="AK478" t="n">
        <v>4</v>
      </c>
      <c r="AL478" t="n">
        <v>1</v>
      </c>
      <c r="AM478" t="n">
        <v>1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HYPERLINK("https://creighton-primo.hosted.exlibrisgroup.com/primo-explore/search?tab=default_tab&amp;search_scope=EVERYTHING&amp;vid=01CRU&amp;lang=en_US&amp;offset=0&amp;query=any,contains,991004476849702656","Catalog Record")</f>
        <v/>
      </c>
      <c r="AT478">
        <f>HYPERLINK("http://www.worldcat.org/oclc/56103806","WorldCat Record")</f>
        <v/>
      </c>
      <c r="AU478" t="inlineStr">
        <is>
          <t>354884922:eng</t>
        </is>
      </c>
      <c r="AV478" t="inlineStr">
        <is>
          <t>56103806</t>
        </is>
      </c>
      <c r="AW478" t="inlineStr">
        <is>
          <t>991004476849702656</t>
        </is>
      </c>
      <c r="AX478" t="inlineStr">
        <is>
          <t>991004476849702656</t>
        </is>
      </c>
      <c r="AY478" t="inlineStr">
        <is>
          <t>2263982380002656</t>
        </is>
      </c>
      <c r="AZ478" t="inlineStr">
        <is>
          <t>BOOK</t>
        </is>
      </c>
      <c r="BB478" t="inlineStr">
        <is>
          <t>9780763728892</t>
        </is>
      </c>
      <c r="BC478" t="inlineStr">
        <is>
          <t>32285005046437</t>
        </is>
      </c>
      <c r="BD478" t="inlineStr">
        <is>
          <t>893788735</t>
        </is>
      </c>
    </row>
    <row r="479">
      <c r="A479" t="inlineStr">
        <is>
          <t>No</t>
        </is>
      </c>
      <c r="B479" t="inlineStr">
        <is>
          <t>QH363 .C4 1994</t>
        </is>
      </c>
      <c r="C479" t="inlineStr">
        <is>
          <t>0                      QH 0363000C  4           1994</t>
        </is>
      </c>
      <c r="D479" t="inlineStr">
        <is>
          <t>Vestiges of the natural history of creation and other evolutionary writings / Robert Chambers ; edited with a new introduction by James A. Secord.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Chambers, Robert, 1802-1871.</t>
        </is>
      </c>
      <c r="L479" t="inlineStr">
        <is>
          <t>Chicago : University of Chicago Press, 1994.</t>
        </is>
      </c>
      <c r="M479" t="inlineStr">
        <is>
          <t>1994</t>
        </is>
      </c>
      <c r="O479" t="inlineStr">
        <is>
          <t>eng</t>
        </is>
      </c>
      <c r="P479" t="inlineStr">
        <is>
          <t>ilu</t>
        </is>
      </c>
      <c r="R479" t="inlineStr">
        <is>
          <t xml:space="preserve">QH </t>
        </is>
      </c>
      <c r="S479" t="n">
        <v>3</v>
      </c>
      <c r="T479" t="n">
        <v>3</v>
      </c>
      <c r="U479" t="inlineStr">
        <is>
          <t>1996-10-03</t>
        </is>
      </c>
      <c r="V479" t="inlineStr">
        <is>
          <t>1996-10-03</t>
        </is>
      </c>
      <c r="W479" t="inlineStr">
        <is>
          <t>1995-01-10</t>
        </is>
      </c>
      <c r="X479" t="inlineStr">
        <is>
          <t>1995-01-10</t>
        </is>
      </c>
      <c r="Y479" t="n">
        <v>292</v>
      </c>
      <c r="Z479" t="n">
        <v>226</v>
      </c>
      <c r="AA479" t="n">
        <v>226</v>
      </c>
      <c r="AB479" t="n">
        <v>2</v>
      </c>
      <c r="AC479" t="n">
        <v>2</v>
      </c>
      <c r="AD479" t="n">
        <v>9</v>
      </c>
      <c r="AE479" t="n">
        <v>9</v>
      </c>
      <c r="AF479" t="n">
        <v>4</v>
      </c>
      <c r="AG479" t="n">
        <v>4</v>
      </c>
      <c r="AH479" t="n">
        <v>2</v>
      </c>
      <c r="AI479" t="n">
        <v>2</v>
      </c>
      <c r="AJ479" t="n">
        <v>3</v>
      </c>
      <c r="AK479" t="n">
        <v>3</v>
      </c>
      <c r="AL479" t="n">
        <v>1</v>
      </c>
      <c r="AM479" t="n">
        <v>1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HYPERLINK("https://creighton-primo.hosted.exlibrisgroup.com/primo-explore/search?tab=default_tab&amp;search_scope=EVERYTHING&amp;vid=01CRU&amp;lang=en_US&amp;offset=0&amp;query=any,contains,991002275079702656","Catalog Record")</f>
        <v/>
      </c>
      <c r="AT479">
        <f>HYPERLINK("http://www.worldcat.org/oclc/29519880","WorldCat Record")</f>
        <v/>
      </c>
      <c r="AU479" t="inlineStr">
        <is>
          <t>3901547194:eng</t>
        </is>
      </c>
      <c r="AV479" t="inlineStr">
        <is>
          <t>29519880</t>
        </is>
      </c>
      <c r="AW479" t="inlineStr">
        <is>
          <t>991002275079702656</t>
        </is>
      </c>
      <c r="AX479" t="inlineStr">
        <is>
          <t>991002275079702656</t>
        </is>
      </c>
      <c r="AY479" t="inlineStr">
        <is>
          <t>2255746220002656</t>
        </is>
      </c>
      <c r="AZ479" t="inlineStr">
        <is>
          <t>BOOK</t>
        </is>
      </c>
      <c r="BB479" t="inlineStr">
        <is>
          <t>9780226100722</t>
        </is>
      </c>
      <c r="BC479" t="inlineStr">
        <is>
          <t>32285001992055</t>
        </is>
      </c>
      <c r="BD479" t="inlineStr">
        <is>
          <t>893804414</t>
        </is>
      </c>
    </row>
    <row r="480">
      <c r="A480" t="inlineStr">
        <is>
          <t>No</t>
        </is>
      </c>
      <c r="B480" t="inlineStr">
        <is>
          <t>QH363 .S4 2000</t>
        </is>
      </c>
      <c r="C480" t="inlineStr">
        <is>
          <t>0                      QH 0363000S  4           2000</t>
        </is>
      </c>
      <c r="D480" t="inlineStr">
        <is>
          <t>Victorian sensation : the extraordinary publication, reception, and secret authorship of Vestiges of the natural history of creation / James A. Secord.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Secord, James A.</t>
        </is>
      </c>
      <c r="L480" t="inlineStr">
        <is>
          <t>Chicago : University of Chicago Press, 2000.</t>
        </is>
      </c>
      <c r="M480" t="inlineStr">
        <is>
          <t>2000</t>
        </is>
      </c>
      <c r="O480" t="inlineStr">
        <is>
          <t>eng</t>
        </is>
      </c>
      <c r="P480" t="inlineStr">
        <is>
          <t>ilu</t>
        </is>
      </c>
      <c r="R480" t="inlineStr">
        <is>
          <t xml:space="preserve">QH </t>
        </is>
      </c>
      <c r="S480" t="n">
        <v>3</v>
      </c>
      <c r="T480" t="n">
        <v>3</v>
      </c>
      <c r="U480" t="inlineStr">
        <is>
          <t>2001-09-27</t>
        </is>
      </c>
      <c r="V480" t="inlineStr">
        <is>
          <t>2001-09-27</t>
        </is>
      </c>
      <c r="W480" t="inlineStr">
        <is>
          <t>2001-02-28</t>
        </is>
      </c>
      <c r="X480" t="inlineStr">
        <is>
          <t>2001-02-28</t>
        </is>
      </c>
      <c r="Y480" t="n">
        <v>693</v>
      </c>
      <c r="Z480" t="n">
        <v>564</v>
      </c>
      <c r="AA480" t="n">
        <v>598</v>
      </c>
      <c r="AB480" t="n">
        <v>4</v>
      </c>
      <c r="AC480" t="n">
        <v>4</v>
      </c>
      <c r="AD480" t="n">
        <v>31</v>
      </c>
      <c r="AE480" t="n">
        <v>33</v>
      </c>
      <c r="AF480" t="n">
        <v>10</v>
      </c>
      <c r="AG480" t="n">
        <v>12</v>
      </c>
      <c r="AH480" t="n">
        <v>8</v>
      </c>
      <c r="AI480" t="n">
        <v>9</v>
      </c>
      <c r="AJ480" t="n">
        <v>15</v>
      </c>
      <c r="AK480" t="n">
        <v>16</v>
      </c>
      <c r="AL480" t="n">
        <v>3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HYPERLINK("https://creighton-primo.hosted.exlibrisgroup.com/primo-explore/search?tab=default_tab&amp;search_scope=EVERYTHING&amp;vid=01CRU&amp;lang=en_US&amp;offset=0&amp;query=any,contains,991003484619702656","Catalog Record")</f>
        <v/>
      </c>
      <c r="AT480">
        <f>HYPERLINK("http://www.worldcat.org/oclc/43864195","WorldCat Record")</f>
        <v/>
      </c>
      <c r="AU480" t="inlineStr">
        <is>
          <t>10781512:eng</t>
        </is>
      </c>
      <c r="AV480" t="inlineStr">
        <is>
          <t>43864195</t>
        </is>
      </c>
      <c r="AW480" t="inlineStr">
        <is>
          <t>991003484619702656</t>
        </is>
      </c>
      <c r="AX480" t="inlineStr">
        <is>
          <t>991003484619702656</t>
        </is>
      </c>
      <c r="AY480" t="inlineStr">
        <is>
          <t>2259174570002656</t>
        </is>
      </c>
      <c r="AZ480" t="inlineStr">
        <is>
          <t>BOOK</t>
        </is>
      </c>
      <c r="BB480" t="inlineStr">
        <is>
          <t>9780226744100</t>
        </is>
      </c>
      <c r="BC480" t="inlineStr">
        <is>
          <t>32285004298328</t>
        </is>
      </c>
      <c r="BD480" t="inlineStr">
        <is>
          <t>893228092</t>
        </is>
      </c>
    </row>
    <row r="481">
      <c r="A481" t="inlineStr">
        <is>
          <t>No</t>
        </is>
      </c>
      <c r="B481" t="inlineStr">
        <is>
          <t>QH365 .A1 1896</t>
        </is>
      </c>
      <c r="C481" t="inlineStr">
        <is>
          <t>0                      QH 0365000A  1           1896</t>
        </is>
      </c>
      <c r="D481" t="inlineStr">
        <is>
          <t>Charles Darwin's works.</t>
        </is>
      </c>
      <c r="E481" t="inlineStr">
        <is>
          <t>V.15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Darwin, Charles, 1809-1882.</t>
        </is>
      </c>
      <c r="L481" t="inlineStr">
        <is>
          <t>New York ; London : D. Appleton, 1896.</t>
        </is>
      </c>
      <c r="M481" t="inlineStr">
        <is>
          <t>1896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QH </t>
        </is>
      </c>
      <c r="S481" t="n">
        <v>2</v>
      </c>
      <c r="T481" t="n">
        <v>66</v>
      </c>
      <c r="U481" t="inlineStr">
        <is>
          <t>1997-02-11</t>
        </is>
      </c>
      <c r="V481" t="inlineStr">
        <is>
          <t>2007-11-17</t>
        </is>
      </c>
      <c r="W481" t="inlineStr">
        <is>
          <t>1993-03-19</t>
        </is>
      </c>
      <c r="X481" t="inlineStr">
        <is>
          <t>1993-03-19</t>
        </is>
      </c>
      <c r="Y481" t="n">
        <v>26</v>
      </c>
      <c r="Z481" t="n">
        <v>26</v>
      </c>
      <c r="AA481" t="n">
        <v>46</v>
      </c>
      <c r="AB481" t="n">
        <v>2</v>
      </c>
      <c r="AC481" t="n">
        <v>2</v>
      </c>
      <c r="AD481" t="n">
        <v>1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1">
        <f>HYPERLINK("http://www.worldcat.org/oclc/2273940","WorldCat Record")</f>
        <v/>
      </c>
      <c r="AU481" t="inlineStr">
        <is>
          <t>3255364:eng</t>
        </is>
      </c>
      <c r="AV481" t="inlineStr">
        <is>
          <t>2273940</t>
        </is>
      </c>
      <c r="AW481" t="inlineStr">
        <is>
          <t>991004061939702656</t>
        </is>
      </c>
      <c r="AX481" t="inlineStr">
        <is>
          <t>991004061939702656</t>
        </is>
      </c>
      <c r="AY481" t="inlineStr">
        <is>
          <t>2270074390002656</t>
        </is>
      </c>
      <c r="AZ481" t="inlineStr">
        <is>
          <t>BOOK</t>
        </is>
      </c>
      <c r="BC481" t="inlineStr">
        <is>
          <t>32285001575587</t>
        </is>
      </c>
      <c r="BD481" t="inlineStr">
        <is>
          <t>893904687</t>
        </is>
      </c>
    </row>
    <row r="482">
      <c r="A482" t="inlineStr">
        <is>
          <t>No</t>
        </is>
      </c>
      <c r="B482" t="inlineStr">
        <is>
          <t>QH365 .A1 1896</t>
        </is>
      </c>
      <c r="C482" t="inlineStr">
        <is>
          <t>0                      QH 0365000A  1           1896</t>
        </is>
      </c>
      <c r="D482" t="inlineStr">
        <is>
          <t>Charles Darwin's works.</t>
        </is>
      </c>
      <c r="E482" t="inlineStr">
        <is>
          <t>V.17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Darwin, Charles, 1809-1882.</t>
        </is>
      </c>
      <c r="L482" t="inlineStr">
        <is>
          <t>New York ; London : D. Appleton, 1896.</t>
        </is>
      </c>
      <c r="M482" t="inlineStr">
        <is>
          <t>1896</t>
        </is>
      </c>
      <c r="O482" t="inlineStr">
        <is>
          <t>eng</t>
        </is>
      </c>
      <c r="P482" t="inlineStr">
        <is>
          <t>nyu</t>
        </is>
      </c>
      <c r="R482" t="inlineStr">
        <is>
          <t xml:space="preserve">QH </t>
        </is>
      </c>
      <c r="S482" t="n">
        <v>2</v>
      </c>
      <c r="T482" t="n">
        <v>66</v>
      </c>
      <c r="U482" t="inlineStr">
        <is>
          <t>2001-11-12</t>
        </is>
      </c>
      <c r="V482" t="inlineStr">
        <is>
          <t>2007-11-17</t>
        </is>
      </c>
      <c r="W482" t="inlineStr">
        <is>
          <t>1993-03-19</t>
        </is>
      </c>
      <c r="X482" t="inlineStr">
        <is>
          <t>1993-03-19</t>
        </is>
      </c>
      <c r="Y482" t="n">
        <v>26</v>
      </c>
      <c r="Z482" t="n">
        <v>26</v>
      </c>
      <c r="AA482" t="n">
        <v>46</v>
      </c>
      <c r="AB482" t="n">
        <v>2</v>
      </c>
      <c r="AC482" t="n">
        <v>2</v>
      </c>
      <c r="AD482" t="n">
        <v>1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1</v>
      </c>
      <c r="AM482" t="n">
        <v>1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2">
        <f>HYPERLINK("http://www.worldcat.org/oclc/2273940","WorldCat Record")</f>
        <v/>
      </c>
      <c r="AU482" t="inlineStr">
        <is>
          <t>3255364:eng</t>
        </is>
      </c>
      <c r="AV482" t="inlineStr">
        <is>
          <t>2273940</t>
        </is>
      </c>
      <c r="AW482" t="inlineStr">
        <is>
          <t>991004061939702656</t>
        </is>
      </c>
      <c r="AX482" t="inlineStr">
        <is>
          <t>991004061939702656</t>
        </is>
      </c>
      <c r="AY482" t="inlineStr">
        <is>
          <t>2270074390002656</t>
        </is>
      </c>
      <c r="AZ482" t="inlineStr">
        <is>
          <t>BOOK</t>
        </is>
      </c>
      <c r="BC482" t="inlineStr">
        <is>
          <t>32285001575603</t>
        </is>
      </c>
      <c r="BD482" t="inlineStr">
        <is>
          <t>893900748</t>
        </is>
      </c>
    </row>
    <row r="483">
      <c r="A483" t="inlineStr">
        <is>
          <t>No</t>
        </is>
      </c>
      <c r="B483" t="inlineStr">
        <is>
          <t>QH365 .A1 1896</t>
        </is>
      </c>
      <c r="C483" t="inlineStr">
        <is>
          <t>0                      QH 0365000A  1           1896</t>
        </is>
      </c>
      <c r="D483" t="inlineStr">
        <is>
          <t>Charles Darwin's works.</t>
        </is>
      </c>
      <c r="E483" t="inlineStr">
        <is>
          <t>V.4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Darwin, Charles, 1809-1882.</t>
        </is>
      </c>
      <c r="L483" t="inlineStr">
        <is>
          <t>New York ; London : D. Appleton, 1896.</t>
        </is>
      </c>
      <c r="M483" t="inlineStr">
        <is>
          <t>1896</t>
        </is>
      </c>
      <c r="O483" t="inlineStr">
        <is>
          <t>eng</t>
        </is>
      </c>
      <c r="P483" t="inlineStr">
        <is>
          <t>nyu</t>
        </is>
      </c>
      <c r="R483" t="inlineStr">
        <is>
          <t xml:space="preserve">QH </t>
        </is>
      </c>
      <c r="S483" t="n">
        <v>13</v>
      </c>
      <c r="T483" t="n">
        <v>66</v>
      </c>
      <c r="U483" t="inlineStr">
        <is>
          <t>1997-10-02</t>
        </is>
      </c>
      <c r="V483" t="inlineStr">
        <is>
          <t>2007-11-17</t>
        </is>
      </c>
      <c r="W483" t="inlineStr">
        <is>
          <t>1993-03-19</t>
        </is>
      </c>
      <c r="X483" t="inlineStr">
        <is>
          <t>1993-03-19</t>
        </is>
      </c>
      <c r="Y483" t="n">
        <v>26</v>
      </c>
      <c r="Z483" t="n">
        <v>26</v>
      </c>
      <c r="AA483" t="n">
        <v>46</v>
      </c>
      <c r="AB483" t="n">
        <v>2</v>
      </c>
      <c r="AC483" t="n">
        <v>2</v>
      </c>
      <c r="AD483" t="n">
        <v>1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1</v>
      </c>
      <c r="AM483" t="n">
        <v>1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3">
        <f>HYPERLINK("http://www.worldcat.org/oclc/2273940","WorldCat Record")</f>
        <v/>
      </c>
      <c r="AU483" t="inlineStr">
        <is>
          <t>3255364:eng</t>
        </is>
      </c>
      <c r="AV483" t="inlineStr">
        <is>
          <t>2273940</t>
        </is>
      </c>
      <c r="AW483" t="inlineStr">
        <is>
          <t>991004061939702656</t>
        </is>
      </c>
      <c r="AX483" t="inlineStr">
        <is>
          <t>991004061939702656</t>
        </is>
      </c>
      <c r="AY483" t="inlineStr">
        <is>
          <t>2270074390002656</t>
        </is>
      </c>
      <c r="AZ483" t="inlineStr">
        <is>
          <t>BOOK</t>
        </is>
      </c>
      <c r="BC483" t="inlineStr">
        <is>
          <t>32285001575504</t>
        </is>
      </c>
      <c r="BD483" t="inlineStr">
        <is>
          <t>893869229</t>
        </is>
      </c>
    </row>
    <row r="484">
      <c r="A484" t="inlineStr">
        <is>
          <t>No</t>
        </is>
      </c>
      <c r="B484" t="inlineStr">
        <is>
          <t>QH365 .A1 1896</t>
        </is>
      </c>
      <c r="C484" t="inlineStr">
        <is>
          <t>0                      QH 0365000A  1           1896</t>
        </is>
      </c>
      <c r="D484" t="inlineStr">
        <is>
          <t>Charles Darwin's works.</t>
        </is>
      </c>
      <c r="E484" t="inlineStr">
        <is>
          <t>V.3</t>
        </is>
      </c>
      <c r="F484" t="inlineStr">
        <is>
          <t>Yes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Darwin, Charles, 1809-1882.</t>
        </is>
      </c>
      <c r="L484" t="inlineStr">
        <is>
          <t>New York ; London : D. Appleton, 1896.</t>
        </is>
      </c>
      <c r="M484" t="inlineStr">
        <is>
          <t>1896</t>
        </is>
      </c>
      <c r="O484" t="inlineStr">
        <is>
          <t>eng</t>
        </is>
      </c>
      <c r="P484" t="inlineStr">
        <is>
          <t>nyu</t>
        </is>
      </c>
      <c r="R484" t="inlineStr">
        <is>
          <t xml:space="preserve">QH </t>
        </is>
      </c>
      <c r="S484" t="n">
        <v>3</v>
      </c>
      <c r="T484" t="n">
        <v>66</v>
      </c>
      <c r="U484" t="inlineStr">
        <is>
          <t>1993-12-05</t>
        </is>
      </c>
      <c r="V484" t="inlineStr">
        <is>
          <t>2007-11-17</t>
        </is>
      </c>
      <c r="W484" t="inlineStr">
        <is>
          <t>1993-03-19</t>
        </is>
      </c>
      <c r="X484" t="inlineStr">
        <is>
          <t>1993-03-19</t>
        </is>
      </c>
      <c r="Y484" t="n">
        <v>26</v>
      </c>
      <c r="Z484" t="n">
        <v>26</v>
      </c>
      <c r="AA484" t="n">
        <v>46</v>
      </c>
      <c r="AB484" t="n">
        <v>2</v>
      </c>
      <c r="AC484" t="n">
        <v>2</v>
      </c>
      <c r="AD484" t="n">
        <v>1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4">
        <f>HYPERLINK("http://www.worldcat.org/oclc/2273940","WorldCat Record")</f>
        <v/>
      </c>
      <c r="AU484" t="inlineStr">
        <is>
          <t>3255364:eng</t>
        </is>
      </c>
      <c r="AV484" t="inlineStr">
        <is>
          <t>2273940</t>
        </is>
      </c>
      <c r="AW484" t="inlineStr">
        <is>
          <t>991004061939702656</t>
        </is>
      </c>
      <c r="AX484" t="inlineStr">
        <is>
          <t>991004061939702656</t>
        </is>
      </c>
      <c r="AY484" t="inlineStr">
        <is>
          <t>2270074390002656</t>
        </is>
      </c>
      <c r="AZ484" t="inlineStr">
        <is>
          <t>BOOK</t>
        </is>
      </c>
      <c r="BC484" t="inlineStr">
        <is>
          <t>32285001575496</t>
        </is>
      </c>
      <c r="BD484" t="inlineStr">
        <is>
          <t>893894521</t>
        </is>
      </c>
    </row>
    <row r="485">
      <c r="A485" t="inlineStr">
        <is>
          <t>No</t>
        </is>
      </c>
      <c r="B485" t="inlineStr">
        <is>
          <t>QH365 .A1 1896</t>
        </is>
      </c>
      <c r="C485" t="inlineStr">
        <is>
          <t>0                      QH 0365000A  1           1896</t>
        </is>
      </c>
      <c r="D485" t="inlineStr">
        <is>
          <t>Charles Darwin's works.</t>
        </is>
      </c>
      <c r="E485" t="inlineStr">
        <is>
          <t>V.14</t>
        </is>
      </c>
      <c r="F485" t="inlineStr">
        <is>
          <t>Yes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Darwin, Charles, 1809-1882.</t>
        </is>
      </c>
      <c r="L485" t="inlineStr">
        <is>
          <t>New York ; London : D. Appleton, 1896.</t>
        </is>
      </c>
      <c r="M485" t="inlineStr">
        <is>
          <t>1896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QH </t>
        </is>
      </c>
      <c r="S485" t="n">
        <v>0</v>
      </c>
      <c r="T485" t="n">
        <v>66</v>
      </c>
      <c r="V485" t="inlineStr">
        <is>
          <t>2007-11-17</t>
        </is>
      </c>
      <c r="W485" t="inlineStr">
        <is>
          <t>1993-03-19</t>
        </is>
      </c>
      <c r="X485" t="inlineStr">
        <is>
          <t>1993-03-19</t>
        </is>
      </c>
      <c r="Y485" t="n">
        <v>26</v>
      </c>
      <c r="Z485" t="n">
        <v>26</v>
      </c>
      <c r="AA485" t="n">
        <v>46</v>
      </c>
      <c r="AB485" t="n">
        <v>2</v>
      </c>
      <c r="AC485" t="n">
        <v>2</v>
      </c>
      <c r="AD485" t="n">
        <v>1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5">
        <f>HYPERLINK("http://www.worldcat.org/oclc/2273940","WorldCat Record")</f>
        <v/>
      </c>
      <c r="AU485" t="inlineStr">
        <is>
          <t>3255364:eng</t>
        </is>
      </c>
      <c r="AV485" t="inlineStr">
        <is>
          <t>2273940</t>
        </is>
      </c>
      <c r="AW485" t="inlineStr">
        <is>
          <t>991004061939702656</t>
        </is>
      </c>
      <c r="AX485" t="inlineStr">
        <is>
          <t>991004061939702656</t>
        </is>
      </c>
      <c r="AY485" t="inlineStr">
        <is>
          <t>2270074390002656</t>
        </is>
      </c>
      <c r="AZ485" t="inlineStr">
        <is>
          <t>BOOK</t>
        </is>
      </c>
      <c r="BC485" t="inlineStr">
        <is>
          <t>32285001575579</t>
        </is>
      </c>
      <c r="BD485" t="inlineStr">
        <is>
          <t>893869230</t>
        </is>
      </c>
    </row>
    <row r="486">
      <c r="A486" t="inlineStr">
        <is>
          <t>No</t>
        </is>
      </c>
      <c r="B486" t="inlineStr">
        <is>
          <t>QH365 .A1 1896</t>
        </is>
      </c>
      <c r="C486" t="inlineStr">
        <is>
          <t>0                      QH 0365000A  1           1896</t>
        </is>
      </c>
      <c r="D486" t="inlineStr">
        <is>
          <t>Charles Darwin's works.</t>
        </is>
      </c>
      <c r="E486" t="inlineStr">
        <is>
          <t>V.9</t>
        </is>
      </c>
      <c r="F486" t="inlineStr">
        <is>
          <t>Yes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Darwin, Charles, 1809-1882.</t>
        </is>
      </c>
      <c r="L486" t="inlineStr">
        <is>
          <t>New York ; London : D. Appleton, 1896.</t>
        </is>
      </c>
      <c r="M486" t="inlineStr">
        <is>
          <t>1896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QH </t>
        </is>
      </c>
      <c r="S486" t="n">
        <v>8</v>
      </c>
      <c r="T486" t="n">
        <v>66</v>
      </c>
      <c r="U486" t="inlineStr">
        <is>
          <t>2007-11-17</t>
        </is>
      </c>
      <c r="V486" t="inlineStr">
        <is>
          <t>2007-11-17</t>
        </is>
      </c>
      <c r="W486" t="inlineStr">
        <is>
          <t>1993-03-19</t>
        </is>
      </c>
      <c r="X486" t="inlineStr">
        <is>
          <t>1993-03-19</t>
        </is>
      </c>
      <c r="Y486" t="n">
        <v>26</v>
      </c>
      <c r="Z486" t="n">
        <v>26</v>
      </c>
      <c r="AA486" t="n">
        <v>46</v>
      </c>
      <c r="AB486" t="n">
        <v>2</v>
      </c>
      <c r="AC486" t="n">
        <v>2</v>
      </c>
      <c r="AD486" t="n">
        <v>1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6">
        <f>HYPERLINK("http://www.worldcat.org/oclc/2273940","WorldCat Record")</f>
        <v/>
      </c>
      <c r="AU486" t="inlineStr">
        <is>
          <t>3255364:eng</t>
        </is>
      </c>
      <c r="AV486" t="inlineStr">
        <is>
          <t>2273940</t>
        </is>
      </c>
      <c r="AW486" t="inlineStr">
        <is>
          <t>991004061939702656</t>
        </is>
      </c>
      <c r="AX486" t="inlineStr">
        <is>
          <t>991004061939702656</t>
        </is>
      </c>
      <c r="AY486" t="inlineStr">
        <is>
          <t>2270074390002656</t>
        </is>
      </c>
      <c r="AZ486" t="inlineStr">
        <is>
          <t>BOOK</t>
        </is>
      </c>
      <c r="BC486" t="inlineStr">
        <is>
          <t>32285001575546</t>
        </is>
      </c>
      <c r="BD486" t="inlineStr">
        <is>
          <t>893900747</t>
        </is>
      </c>
    </row>
    <row r="487">
      <c r="A487" t="inlineStr">
        <is>
          <t>No</t>
        </is>
      </c>
      <c r="B487" t="inlineStr">
        <is>
          <t>QH365 .A1 1896</t>
        </is>
      </c>
      <c r="C487" t="inlineStr">
        <is>
          <t>0                      QH 0365000A  1           1896</t>
        </is>
      </c>
      <c r="D487" t="inlineStr">
        <is>
          <t>Charles Darwin's works.</t>
        </is>
      </c>
      <c r="E487" t="inlineStr">
        <is>
          <t>V.5</t>
        </is>
      </c>
      <c r="F487" t="inlineStr">
        <is>
          <t>Yes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Darwin, Charles, 1809-1882.</t>
        </is>
      </c>
      <c r="L487" t="inlineStr">
        <is>
          <t>New York ; London : D. Appleton, 1896.</t>
        </is>
      </c>
      <c r="M487" t="inlineStr">
        <is>
          <t>1896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QH </t>
        </is>
      </c>
      <c r="S487" t="n">
        <v>15</v>
      </c>
      <c r="T487" t="n">
        <v>66</v>
      </c>
      <c r="U487" t="inlineStr">
        <is>
          <t>2003-01-30</t>
        </is>
      </c>
      <c r="V487" t="inlineStr">
        <is>
          <t>2007-11-17</t>
        </is>
      </c>
      <c r="W487" t="inlineStr">
        <is>
          <t>1993-03-19</t>
        </is>
      </c>
      <c r="X487" t="inlineStr">
        <is>
          <t>1993-03-19</t>
        </is>
      </c>
      <c r="Y487" t="n">
        <v>26</v>
      </c>
      <c r="Z487" t="n">
        <v>26</v>
      </c>
      <c r="AA487" t="n">
        <v>46</v>
      </c>
      <c r="AB487" t="n">
        <v>2</v>
      </c>
      <c r="AC487" t="n">
        <v>2</v>
      </c>
      <c r="AD487" t="n">
        <v>1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7">
        <f>HYPERLINK("http://www.worldcat.org/oclc/2273940","WorldCat Record")</f>
        <v/>
      </c>
      <c r="AU487" t="inlineStr">
        <is>
          <t>3255364:eng</t>
        </is>
      </c>
      <c r="AV487" t="inlineStr">
        <is>
          <t>2273940</t>
        </is>
      </c>
      <c r="AW487" t="inlineStr">
        <is>
          <t>991004061939702656</t>
        </is>
      </c>
      <c r="AX487" t="inlineStr">
        <is>
          <t>991004061939702656</t>
        </is>
      </c>
      <c r="AY487" t="inlineStr">
        <is>
          <t>2270074390002656</t>
        </is>
      </c>
      <c r="AZ487" t="inlineStr">
        <is>
          <t>BOOK</t>
        </is>
      </c>
      <c r="BC487" t="inlineStr">
        <is>
          <t>32285001575512</t>
        </is>
      </c>
      <c r="BD487" t="inlineStr">
        <is>
          <t>893904686</t>
        </is>
      </c>
    </row>
    <row r="488">
      <c r="A488" t="inlineStr">
        <is>
          <t>No</t>
        </is>
      </c>
      <c r="B488" t="inlineStr">
        <is>
          <t>QH365 .A1 1896</t>
        </is>
      </c>
      <c r="C488" t="inlineStr">
        <is>
          <t>0                      QH 0365000A  1           1896</t>
        </is>
      </c>
      <c r="D488" t="inlineStr">
        <is>
          <t>Charles Darwin's works.</t>
        </is>
      </c>
      <c r="E488" t="inlineStr">
        <is>
          <t>V.10</t>
        </is>
      </c>
      <c r="F488" t="inlineStr">
        <is>
          <t>Yes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Darwin, Charles, 1809-1882.</t>
        </is>
      </c>
      <c r="L488" t="inlineStr">
        <is>
          <t>New York ; London : D. Appleton, 1896.</t>
        </is>
      </c>
      <c r="M488" t="inlineStr">
        <is>
          <t>1896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QH </t>
        </is>
      </c>
      <c r="S488" t="n">
        <v>2</v>
      </c>
      <c r="T488" t="n">
        <v>66</v>
      </c>
      <c r="U488" t="inlineStr">
        <is>
          <t>1993-12-11</t>
        </is>
      </c>
      <c r="V488" t="inlineStr">
        <is>
          <t>2007-11-17</t>
        </is>
      </c>
      <c r="W488" t="inlineStr">
        <is>
          <t>1993-03-19</t>
        </is>
      </c>
      <c r="X488" t="inlineStr">
        <is>
          <t>1993-03-19</t>
        </is>
      </c>
      <c r="Y488" t="n">
        <v>26</v>
      </c>
      <c r="Z488" t="n">
        <v>26</v>
      </c>
      <c r="AA488" t="n">
        <v>46</v>
      </c>
      <c r="AB488" t="n">
        <v>2</v>
      </c>
      <c r="AC488" t="n">
        <v>2</v>
      </c>
      <c r="AD488" t="n">
        <v>1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8">
        <f>HYPERLINK("http://www.worldcat.org/oclc/2273940","WorldCat Record")</f>
        <v/>
      </c>
      <c r="AU488" t="inlineStr">
        <is>
          <t>3255364:eng</t>
        </is>
      </c>
      <c r="AV488" t="inlineStr">
        <is>
          <t>2273940</t>
        </is>
      </c>
      <c r="AW488" t="inlineStr">
        <is>
          <t>991004061939702656</t>
        </is>
      </c>
      <c r="AX488" t="inlineStr">
        <is>
          <t>991004061939702656</t>
        </is>
      </c>
      <c r="AY488" t="inlineStr">
        <is>
          <t>2270074390002656</t>
        </is>
      </c>
      <c r="AZ488" t="inlineStr">
        <is>
          <t>BOOK</t>
        </is>
      </c>
      <c r="BC488" t="inlineStr">
        <is>
          <t>32285001575553</t>
        </is>
      </c>
      <c r="BD488" t="inlineStr">
        <is>
          <t>893900749</t>
        </is>
      </c>
    </row>
    <row r="489">
      <c r="A489" t="inlineStr">
        <is>
          <t>No</t>
        </is>
      </c>
      <c r="B489" t="inlineStr">
        <is>
          <t>QH365 .A1 1896</t>
        </is>
      </c>
      <c r="C489" t="inlineStr">
        <is>
          <t>0                      QH 0365000A  1           1896</t>
        </is>
      </c>
      <c r="D489" t="inlineStr">
        <is>
          <t>Charles Darwin's works.</t>
        </is>
      </c>
      <c r="E489" t="inlineStr">
        <is>
          <t>V.18</t>
        </is>
      </c>
      <c r="F489" t="inlineStr">
        <is>
          <t>Yes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Darwin, Charles, 1809-1882.</t>
        </is>
      </c>
      <c r="L489" t="inlineStr">
        <is>
          <t>New York ; London : D. Appleton, 1896.</t>
        </is>
      </c>
      <c r="M489" t="inlineStr">
        <is>
          <t>1896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QH </t>
        </is>
      </c>
      <c r="S489" t="n">
        <v>1</v>
      </c>
      <c r="T489" t="n">
        <v>66</v>
      </c>
      <c r="U489" t="inlineStr">
        <is>
          <t>1993-11-29</t>
        </is>
      </c>
      <c r="V489" t="inlineStr">
        <is>
          <t>2007-11-17</t>
        </is>
      </c>
      <c r="W489" t="inlineStr">
        <is>
          <t>1993-03-19</t>
        </is>
      </c>
      <c r="X489" t="inlineStr">
        <is>
          <t>1993-03-19</t>
        </is>
      </c>
      <c r="Y489" t="n">
        <v>26</v>
      </c>
      <c r="Z489" t="n">
        <v>26</v>
      </c>
      <c r="AA489" t="n">
        <v>46</v>
      </c>
      <c r="AB489" t="n">
        <v>2</v>
      </c>
      <c r="AC489" t="n">
        <v>2</v>
      </c>
      <c r="AD489" t="n">
        <v>1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1</v>
      </c>
      <c r="AM489" t="n">
        <v>1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9">
        <f>HYPERLINK("http://www.worldcat.org/oclc/2273940","WorldCat Record")</f>
        <v/>
      </c>
      <c r="AU489" t="inlineStr">
        <is>
          <t>3255364:eng</t>
        </is>
      </c>
      <c r="AV489" t="inlineStr">
        <is>
          <t>2273940</t>
        </is>
      </c>
      <c r="AW489" t="inlineStr">
        <is>
          <t>991004061939702656</t>
        </is>
      </c>
      <c r="AX489" t="inlineStr">
        <is>
          <t>991004061939702656</t>
        </is>
      </c>
      <c r="AY489" t="inlineStr">
        <is>
          <t>2270074390002656</t>
        </is>
      </c>
      <c r="AZ489" t="inlineStr">
        <is>
          <t>BOOK</t>
        </is>
      </c>
      <c r="BC489" t="inlineStr">
        <is>
          <t>32285001575611</t>
        </is>
      </c>
      <c r="BD489" t="inlineStr">
        <is>
          <t>893882017</t>
        </is>
      </c>
    </row>
    <row r="490">
      <c r="A490" t="inlineStr">
        <is>
          <t>No</t>
        </is>
      </c>
      <c r="B490" t="inlineStr">
        <is>
          <t>QH365 .A1 1896</t>
        </is>
      </c>
      <c r="C490" t="inlineStr">
        <is>
          <t>0                      QH 0365000A  1           1896</t>
        </is>
      </c>
      <c r="D490" t="inlineStr">
        <is>
          <t>Charles Darwin's works.</t>
        </is>
      </c>
      <c r="E490" t="inlineStr">
        <is>
          <t>V.1</t>
        </is>
      </c>
      <c r="F490" t="inlineStr">
        <is>
          <t>Yes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Darwin, Charles, 1809-1882.</t>
        </is>
      </c>
      <c r="L490" t="inlineStr">
        <is>
          <t>New York ; London : D. Appleton, 1896.</t>
        </is>
      </c>
      <c r="M490" t="inlineStr">
        <is>
          <t>1896</t>
        </is>
      </c>
      <c r="O490" t="inlineStr">
        <is>
          <t>eng</t>
        </is>
      </c>
      <c r="P490" t="inlineStr">
        <is>
          <t>nyu</t>
        </is>
      </c>
      <c r="R490" t="inlineStr">
        <is>
          <t xml:space="preserve">QH </t>
        </is>
      </c>
      <c r="S490" t="n">
        <v>6</v>
      </c>
      <c r="T490" t="n">
        <v>66</v>
      </c>
      <c r="U490" t="inlineStr">
        <is>
          <t>1998-02-12</t>
        </is>
      </c>
      <c r="V490" t="inlineStr">
        <is>
          <t>2007-11-17</t>
        </is>
      </c>
      <c r="W490" t="inlineStr">
        <is>
          <t>1993-03-19</t>
        </is>
      </c>
      <c r="X490" t="inlineStr">
        <is>
          <t>1993-03-19</t>
        </is>
      </c>
      <c r="Y490" t="n">
        <v>26</v>
      </c>
      <c r="Z490" t="n">
        <v>26</v>
      </c>
      <c r="AA490" t="n">
        <v>46</v>
      </c>
      <c r="AB490" t="n">
        <v>2</v>
      </c>
      <c r="AC490" t="n">
        <v>2</v>
      </c>
      <c r="AD490" t="n">
        <v>1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1</v>
      </c>
      <c r="AM490" t="n">
        <v>1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0">
        <f>HYPERLINK("http://www.worldcat.org/oclc/2273940","WorldCat Record")</f>
        <v/>
      </c>
      <c r="AU490" t="inlineStr">
        <is>
          <t>3255364:eng</t>
        </is>
      </c>
      <c r="AV490" t="inlineStr">
        <is>
          <t>2273940</t>
        </is>
      </c>
      <c r="AW490" t="inlineStr">
        <is>
          <t>991004061939702656</t>
        </is>
      </c>
      <c r="AX490" t="inlineStr">
        <is>
          <t>991004061939702656</t>
        </is>
      </c>
      <c r="AY490" t="inlineStr">
        <is>
          <t>2270074390002656</t>
        </is>
      </c>
      <c r="AZ490" t="inlineStr">
        <is>
          <t>BOOK</t>
        </is>
      </c>
      <c r="BC490" t="inlineStr">
        <is>
          <t>32285001575470</t>
        </is>
      </c>
      <c r="BD490" t="inlineStr">
        <is>
          <t>893869231</t>
        </is>
      </c>
    </row>
    <row r="491">
      <c r="A491" t="inlineStr">
        <is>
          <t>No</t>
        </is>
      </c>
      <c r="B491" t="inlineStr">
        <is>
          <t>QH365 .A1 1896</t>
        </is>
      </c>
      <c r="C491" t="inlineStr">
        <is>
          <t>0                      QH 0365000A  1           1896</t>
        </is>
      </c>
      <c r="D491" t="inlineStr">
        <is>
          <t>Charles Darwin's works.</t>
        </is>
      </c>
      <c r="E491" t="inlineStr">
        <is>
          <t>V.8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Darwin, Charles, 1809-1882.</t>
        </is>
      </c>
      <c r="L491" t="inlineStr">
        <is>
          <t>New York ; London : D. Appleton, 1896.</t>
        </is>
      </c>
      <c r="M491" t="inlineStr">
        <is>
          <t>1896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QH </t>
        </is>
      </c>
      <c r="S491" t="n">
        <v>3</v>
      </c>
      <c r="T491" t="n">
        <v>66</v>
      </c>
      <c r="U491" t="inlineStr">
        <is>
          <t>1996-01-26</t>
        </is>
      </c>
      <c r="V491" t="inlineStr">
        <is>
          <t>2007-11-17</t>
        </is>
      </c>
      <c r="W491" t="inlineStr">
        <is>
          <t>1993-03-19</t>
        </is>
      </c>
      <c r="X491" t="inlineStr">
        <is>
          <t>1993-03-19</t>
        </is>
      </c>
      <c r="Y491" t="n">
        <v>26</v>
      </c>
      <c r="Z491" t="n">
        <v>26</v>
      </c>
      <c r="AA491" t="n">
        <v>46</v>
      </c>
      <c r="AB491" t="n">
        <v>2</v>
      </c>
      <c r="AC491" t="n">
        <v>2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1</v>
      </c>
      <c r="AM491" t="n">
        <v>1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1">
        <f>HYPERLINK("http://www.worldcat.org/oclc/2273940","WorldCat Record")</f>
        <v/>
      </c>
      <c r="AU491" t="inlineStr">
        <is>
          <t>3255364:eng</t>
        </is>
      </c>
      <c r="AV491" t="inlineStr">
        <is>
          <t>2273940</t>
        </is>
      </c>
      <c r="AW491" t="inlineStr">
        <is>
          <t>991004061939702656</t>
        </is>
      </c>
      <c r="AX491" t="inlineStr">
        <is>
          <t>991004061939702656</t>
        </is>
      </c>
      <c r="AY491" t="inlineStr">
        <is>
          <t>2270074390002656</t>
        </is>
      </c>
      <c r="AZ491" t="inlineStr">
        <is>
          <t>BOOK</t>
        </is>
      </c>
      <c r="BC491" t="inlineStr">
        <is>
          <t>32285001575538</t>
        </is>
      </c>
      <c r="BD491" t="inlineStr">
        <is>
          <t>893875635</t>
        </is>
      </c>
    </row>
    <row r="492">
      <c r="A492" t="inlineStr">
        <is>
          <t>No</t>
        </is>
      </c>
      <c r="B492" t="inlineStr">
        <is>
          <t>QH365 .A1 1896</t>
        </is>
      </c>
      <c r="C492" t="inlineStr">
        <is>
          <t>0                      QH 0365000A  1           1896</t>
        </is>
      </c>
      <c r="D492" t="inlineStr">
        <is>
          <t>Charles Darwin's works.</t>
        </is>
      </c>
      <c r="E492" t="inlineStr">
        <is>
          <t>V.7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Darwin, Charles, 1809-1882.</t>
        </is>
      </c>
      <c r="L492" t="inlineStr">
        <is>
          <t>New York ; London : D. Appleton, 1896.</t>
        </is>
      </c>
      <c r="M492" t="inlineStr">
        <is>
          <t>1896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QH </t>
        </is>
      </c>
      <c r="S492" t="n">
        <v>2</v>
      </c>
      <c r="T492" t="n">
        <v>66</v>
      </c>
      <c r="U492" t="inlineStr">
        <is>
          <t>1996-01-26</t>
        </is>
      </c>
      <c r="V492" t="inlineStr">
        <is>
          <t>2007-11-17</t>
        </is>
      </c>
      <c r="W492" t="inlineStr">
        <is>
          <t>1993-03-19</t>
        </is>
      </c>
      <c r="X492" t="inlineStr">
        <is>
          <t>1993-03-19</t>
        </is>
      </c>
      <c r="Y492" t="n">
        <v>26</v>
      </c>
      <c r="Z492" t="n">
        <v>26</v>
      </c>
      <c r="AA492" t="n">
        <v>46</v>
      </c>
      <c r="AB492" t="n">
        <v>2</v>
      </c>
      <c r="AC492" t="n">
        <v>2</v>
      </c>
      <c r="AD492" t="n">
        <v>1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2">
        <f>HYPERLINK("http://www.worldcat.org/oclc/2273940","WorldCat Record")</f>
        <v/>
      </c>
      <c r="AU492" t="inlineStr">
        <is>
          <t>3255364:eng</t>
        </is>
      </c>
      <c r="AV492" t="inlineStr">
        <is>
          <t>2273940</t>
        </is>
      </c>
      <c r="AW492" t="inlineStr">
        <is>
          <t>991004061939702656</t>
        </is>
      </c>
      <c r="AX492" t="inlineStr">
        <is>
          <t>991004061939702656</t>
        </is>
      </c>
      <c r="AY492" t="inlineStr">
        <is>
          <t>2270074390002656</t>
        </is>
      </c>
      <c r="AZ492" t="inlineStr">
        <is>
          <t>BOOK</t>
        </is>
      </c>
      <c r="BC492" t="inlineStr">
        <is>
          <t>32285001575520</t>
        </is>
      </c>
      <c r="BD492" t="inlineStr">
        <is>
          <t>893894522</t>
        </is>
      </c>
    </row>
    <row r="493">
      <c r="A493" t="inlineStr">
        <is>
          <t>No</t>
        </is>
      </c>
      <c r="B493" t="inlineStr">
        <is>
          <t>QH365 .A1 1896</t>
        </is>
      </c>
      <c r="C493" t="inlineStr">
        <is>
          <t>0                      QH 0365000A  1           1896</t>
        </is>
      </c>
      <c r="D493" t="inlineStr">
        <is>
          <t>Charles Darwin's works.</t>
        </is>
      </c>
      <c r="E493" t="inlineStr">
        <is>
          <t>V.16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Darwin, Charles, 1809-1882.</t>
        </is>
      </c>
      <c r="L493" t="inlineStr">
        <is>
          <t>New York ; London : D. Appleton, 1896.</t>
        </is>
      </c>
      <c r="M493" t="inlineStr">
        <is>
          <t>1896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QH </t>
        </is>
      </c>
      <c r="S493" t="n">
        <v>0</v>
      </c>
      <c r="T493" t="n">
        <v>66</v>
      </c>
      <c r="V493" t="inlineStr">
        <is>
          <t>2007-11-17</t>
        </is>
      </c>
      <c r="W493" t="inlineStr">
        <is>
          <t>1993-03-19</t>
        </is>
      </c>
      <c r="X493" t="inlineStr">
        <is>
          <t>1993-03-19</t>
        </is>
      </c>
      <c r="Y493" t="n">
        <v>26</v>
      </c>
      <c r="Z493" t="n">
        <v>26</v>
      </c>
      <c r="AA493" t="n">
        <v>46</v>
      </c>
      <c r="AB493" t="n">
        <v>2</v>
      </c>
      <c r="AC493" t="n">
        <v>2</v>
      </c>
      <c r="AD493" t="n">
        <v>1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3">
        <f>HYPERLINK("http://www.worldcat.org/oclc/2273940","WorldCat Record")</f>
        <v/>
      </c>
      <c r="AU493" t="inlineStr">
        <is>
          <t>3255364:eng</t>
        </is>
      </c>
      <c r="AV493" t="inlineStr">
        <is>
          <t>2273940</t>
        </is>
      </c>
      <c r="AW493" t="inlineStr">
        <is>
          <t>991004061939702656</t>
        </is>
      </c>
      <c r="AX493" t="inlineStr">
        <is>
          <t>991004061939702656</t>
        </is>
      </c>
      <c r="AY493" t="inlineStr">
        <is>
          <t>2270074390002656</t>
        </is>
      </c>
      <c r="AZ493" t="inlineStr">
        <is>
          <t>BOOK</t>
        </is>
      </c>
      <c r="BC493" t="inlineStr">
        <is>
          <t>32285001575595</t>
        </is>
      </c>
      <c r="BD493" t="inlineStr">
        <is>
          <t>893882016</t>
        </is>
      </c>
    </row>
    <row r="494">
      <c r="A494" t="inlineStr">
        <is>
          <t>No</t>
        </is>
      </c>
      <c r="B494" t="inlineStr">
        <is>
          <t>QH365 .A1 1896</t>
        </is>
      </c>
      <c r="C494" t="inlineStr">
        <is>
          <t>0                      QH 0365000A  1           1896</t>
        </is>
      </c>
      <c r="D494" t="inlineStr">
        <is>
          <t>Charles Darwin's works.</t>
        </is>
      </c>
      <c r="E494" t="inlineStr">
        <is>
          <t>V.2</t>
        </is>
      </c>
      <c r="F494" t="inlineStr">
        <is>
          <t>Yes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Darwin, Charles, 1809-1882.</t>
        </is>
      </c>
      <c r="L494" t="inlineStr">
        <is>
          <t>New York ; London : D. Appleton, 1896.</t>
        </is>
      </c>
      <c r="M494" t="inlineStr">
        <is>
          <t>1896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QH </t>
        </is>
      </c>
      <c r="S494" t="n">
        <v>5</v>
      </c>
      <c r="T494" t="n">
        <v>66</v>
      </c>
      <c r="U494" t="inlineStr">
        <is>
          <t>1996-11-30</t>
        </is>
      </c>
      <c r="V494" t="inlineStr">
        <is>
          <t>2007-11-17</t>
        </is>
      </c>
      <c r="W494" t="inlineStr">
        <is>
          <t>1993-03-19</t>
        </is>
      </c>
      <c r="X494" t="inlineStr">
        <is>
          <t>1993-03-19</t>
        </is>
      </c>
      <c r="Y494" t="n">
        <v>26</v>
      </c>
      <c r="Z494" t="n">
        <v>26</v>
      </c>
      <c r="AA494" t="n">
        <v>46</v>
      </c>
      <c r="AB494" t="n">
        <v>2</v>
      </c>
      <c r="AC494" t="n">
        <v>2</v>
      </c>
      <c r="AD494" t="n">
        <v>1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4">
        <f>HYPERLINK("http://www.worldcat.org/oclc/2273940","WorldCat Record")</f>
        <v/>
      </c>
      <c r="AU494" t="inlineStr">
        <is>
          <t>3255364:eng</t>
        </is>
      </c>
      <c r="AV494" t="inlineStr">
        <is>
          <t>2273940</t>
        </is>
      </c>
      <c r="AW494" t="inlineStr">
        <is>
          <t>991004061939702656</t>
        </is>
      </c>
      <c r="AX494" t="inlineStr">
        <is>
          <t>991004061939702656</t>
        </is>
      </c>
      <c r="AY494" t="inlineStr">
        <is>
          <t>2270074390002656</t>
        </is>
      </c>
      <c r="AZ494" t="inlineStr">
        <is>
          <t>BOOK</t>
        </is>
      </c>
      <c r="BC494" t="inlineStr">
        <is>
          <t>32285001575488</t>
        </is>
      </c>
      <c r="BD494" t="inlineStr">
        <is>
          <t>893882015</t>
        </is>
      </c>
    </row>
    <row r="495">
      <c r="A495" t="inlineStr">
        <is>
          <t>No</t>
        </is>
      </c>
      <c r="B495" t="inlineStr">
        <is>
          <t>QH365 .A1 1896</t>
        </is>
      </c>
      <c r="C495" t="inlineStr">
        <is>
          <t>0                      QH 0365000A  1           1896</t>
        </is>
      </c>
      <c r="D495" t="inlineStr">
        <is>
          <t>Charles Darwin's works.</t>
        </is>
      </c>
      <c r="E495" t="inlineStr">
        <is>
          <t>V.12</t>
        </is>
      </c>
      <c r="F495" t="inlineStr">
        <is>
          <t>Yes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Darwin, Charles, 1809-1882.</t>
        </is>
      </c>
      <c r="L495" t="inlineStr">
        <is>
          <t>New York ; London : D. Appleton, 1896.</t>
        </is>
      </c>
      <c r="M495" t="inlineStr">
        <is>
          <t>1896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QH </t>
        </is>
      </c>
      <c r="S495" t="n">
        <v>4</v>
      </c>
      <c r="T495" t="n">
        <v>66</v>
      </c>
      <c r="U495" t="inlineStr">
        <is>
          <t>1998-02-21</t>
        </is>
      </c>
      <c r="V495" t="inlineStr">
        <is>
          <t>2007-11-17</t>
        </is>
      </c>
      <c r="W495" t="inlineStr">
        <is>
          <t>1993-03-19</t>
        </is>
      </c>
      <c r="X495" t="inlineStr">
        <is>
          <t>1993-03-19</t>
        </is>
      </c>
      <c r="Y495" t="n">
        <v>26</v>
      </c>
      <c r="Z495" t="n">
        <v>26</v>
      </c>
      <c r="AA495" t="n">
        <v>46</v>
      </c>
      <c r="AB495" t="n">
        <v>2</v>
      </c>
      <c r="AC495" t="n">
        <v>2</v>
      </c>
      <c r="AD495" t="n">
        <v>1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5">
        <f>HYPERLINK("http://www.worldcat.org/oclc/2273940","WorldCat Record")</f>
        <v/>
      </c>
      <c r="AU495" t="inlineStr">
        <is>
          <t>3255364:eng</t>
        </is>
      </c>
      <c r="AV495" t="inlineStr">
        <is>
          <t>2273940</t>
        </is>
      </c>
      <c r="AW495" t="inlineStr">
        <is>
          <t>991004061939702656</t>
        </is>
      </c>
      <c r="AX495" t="inlineStr">
        <is>
          <t>991004061939702656</t>
        </is>
      </c>
      <c r="AY495" t="inlineStr">
        <is>
          <t>2270074390002656</t>
        </is>
      </c>
      <c r="AZ495" t="inlineStr">
        <is>
          <t>BOOK</t>
        </is>
      </c>
      <c r="BC495" t="inlineStr">
        <is>
          <t>32285001575561</t>
        </is>
      </c>
      <c r="BD495" t="inlineStr">
        <is>
          <t>893882018</t>
        </is>
      </c>
    </row>
    <row r="496">
      <c r="A496" t="inlineStr">
        <is>
          <t>No</t>
        </is>
      </c>
      <c r="B496" t="inlineStr">
        <is>
          <t>QH365 .A1 1971</t>
        </is>
      </c>
      <c r="C496" t="inlineStr">
        <is>
          <t>0                      QH 0365000A  1           1971</t>
        </is>
      </c>
      <c r="D496" t="inlineStr">
        <is>
          <t>Evolution by natural selection / [by] Charles Darwin and Alfred Russel Wallace. With a foreword by Sir Gavin de Beer. Cambridge, Published for the XV International Congress of Zoology and the Linnean Society of London at the University Press, 1958.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Darwin, Charles, 1809-1882.</t>
        </is>
      </c>
      <c r="L496" t="inlineStr">
        <is>
          <t>New York : Johnson Reprint Corp., 1971.</t>
        </is>
      </c>
      <c r="M496" t="inlineStr">
        <is>
          <t>1971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QH </t>
        </is>
      </c>
      <c r="S496" t="n">
        <v>22</v>
      </c>
      <c r="T496" t="n">
        <v>22</v>
      </c>
      <c r="U496" t="inlineStr">
        <is>
          <t>2001-11-08</t>
        </is>
      </c>
      <c r="V496" t="inlineStr">
        <is>
          <t>2001-11-08</t>
        </is>
      </c>
      <c r="W496" t="inlineStr">
        <is>
          <t>1991-09-18</t>
        </is>
      </c>
      <c r="X496" t="inlineStr">
        <is>
          <t>1991-09-18</t>
        </is>
      </c>
      <c r="Y496" t="n">
        <v>143</v>
      </c>
      <c r="Z496" t="n">
        <v>116</v>
      </c>
      <c r="AA496" t="n">
        <v>391</v>
      </c>
      <c r="AB496" t="n">
        <v>3</v>
      </c>
      <c r="AC496" t="n">
        <v>3</v>
      </c>
      <c r="AD496" t="n">
        <v>2</v>
      </c>
      <c r="AE496" t="n">
        <v>12</v>
      </c>
      <c r="AF496" t="n">
        <v>0</v>
      </c>
      <c r="AG496" t="n">
        <v>3</v>
      </c>
      <c r="AH496" t="n">
        <v>0</v>
      </c>
      <c r="AI496" t="n">
        <v>3</v>
      </c>
      <c r="AJ496" t="n">
        <v>1</v>
      </c>
      <c r="AK496" t="n">
        <v>9</v>
      </c>
      <c r="AL496" t="n">
        <v>1</v>
      </c>
      <c r="AM496" t="n">
        <v>1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HYPERLINK("http://catalog.hathitrust.org/Record/004394831","HathiTrust Record")</f>
        <v/>
      </c>
      <c r="AS496">
        <f>HYPERLINK("https://creighton-primo.hosted.exlibrisgroup.com/primo-explore/search?tab=default_tab&amp;search_scope=EVERYTHING&amp;vid=01CRU&amp;lang=en_US&amp;offset=0&amp;query=any,contains,991000829779702656","Catalog Record")</f>
        <v/>
      </c>
      <c r="AT496">
        <f>HYPERLINK("http://www.worldcat.org/oclc/147348","WorldCat Record")</f>
        <v/>
      </c>
      <c r="AU496" t="inlineStr">
        <is>
          <t>3855266733:eng</t>
        </is>
      </c>
      <c r="AV496" t="inlineStr">
        <is>
          <t>147348</t>
        </is>
      </c>
      <c r="AW496" t="inlineStr">
        <is>
          <t>991000829779702656</t>
        </is>
      </c>
      <c r="AX496" t="inlineStr">
        <is>
          <t>991000829779702656</t>
        </is>
      </c>
      <c r="AY496" t="inlineStr">
        <is>
          <t>2258878740002656</t>
        </is>
      </c>
      <c r="AZ496" t="inlineStr">
        <is>
          <t>BOOK</t>
        </is>
      </c>
      <c r="BC496" t="inlineStr">
        <is>
          <t>32285000737840</t>
        </is>
      </c>
      <c r="BD496" t="inlineStr">
        <is>
          <t>893808833</t>
        </is>
      </c>
    </row>
    <row r="497">
      <c r="A497" t="inlineStr">
        <is>
          <t>No</t>
        </is>
      </c>
      <c r="B497" t="inlineStr">
        <is>
          <t>QH365 .A1 1977</t>
        </is>
      </c>
      <c r="C497" t="inlineStr">
        <is>
          <t>0                      QH 0365000A  1           1977</t>
        </is>
      </c>
      <c r="D497" t="inlineStr">
        <is>
          <t>The collected papers of Charles Darwin / edited by Paul H. Barrett ; with a foreword by Theodosius Dobzhansky.</t>
        </is>
      </c>
      <c r="E497" t="inlineStr">
        <is>
          <t>V. 1</t>
        </is>
      </c>
      <c r="F497" t="inlineStr">
        <is>
          <t>Yes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Darwin, Charles, 1809-1882.</t>
        </is>
      </c>
      <c r="L497" t="inlineStr">
        <is>
          <t>Chicago : University of Chicago Press, 1977.</t>
        </is>
      </c>
      <c r="M497" t="inlineStr">
        <is>
          <t>1977</t>
        </is>
      </c>
      <c r="O497" t="inlineStr">
        <is>
          <t>eng</t>
        </is>
      </c>
      <c r="P497" t="inlineStr">
        <is>
          <t>ilu</t>
        </is>
      </c>
      <c r="R497" t="inlineStr">
        <is>
          <t xml:space="preserve">QH </t>
        </is>
      </c>
      <c r="S497" t="n">
        <v>5</v>
      </c>
      <c r="T497" t="n">
        <v>11</v>
      </c>
      <c r="U497" t="inlineStr">
        <is>
          <t>1995-09-27</t>
        </is>
      </c>
      <c r="V497" t="inlineStr">
        <is>
          <t>1995-09-27</t>
        </is>
      </c>
      <c r="W497" t="inlineStr">
        <is>
          <t>1993-12-22</t>
        </is>
      </c>
      <c r="X497" t="inlineStr">
        <is>
          <t>1993-12-22</t>
        </is>
      </c>
      <c r="Y497" t="n">
        <v>971</v>
      </c>
      <c r="Z497" t="n">
        <v>824</v>
      </c>
      <c r="AA497" t="n">
        <v>831</v>
      </c>
      <c r="AB497" t="n">
        <v>8</v>
      </c>
      <c r="AC497" t="n">
        <v>8</v>
      </c>
      <c r="AD497" t="n">
        <v>33</v>
      </c>
      <c r="AE497" t="n">
        <v>33</v>
      </c>
      <c r="AF497" t="n">
        <v>10</v>
      </c>
      <c r="AG497" t="n">
        <v>10</v>
      </c>
      <c r="AH497" t="n">
        <v>5</v>
      </c>
      <c r="AI497" t="n">
        <v>5</v>
      </c>
      <c r="AJ497" t="n">
        <v>17</v>
      </c>
      <c r="AK497" t="n">
        <v>17</v>
      </c>
      <c r="AL497" t="n">
        <v>7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7">
        <f>HYPERLINK("http://www.worldcat.org/oclc/2238118","WorldCat Record")</f>
        <v/>
      </c>
      <c r="AU497" t="inlineStr">
        <is>
          <t>2830676092:eng</t>
        </is>
      </c>
      <c r="AV497" t="inlineStr">
        <is>
          <t>2238118</t>
        </is>
      </c>
      <c r="AW497" t="inlineStr">
        <is>
          <t>991004059849702656</t>
        </is>
      </c>
      <c r="AX497" t="inlineStr">
        <is>
          <t>991004059849702656</t>
        </is>
      </c>
      <c r="AY497" t="inlineStr">
        <is>
          <t>2257481550002656</t>
        </is>
      </c>
      <c r="AZ497" t="inlineStr">
        <is>
          <t>BOOK</t>
        </is>
      </c>
      <c r="BB497" t="inlineStr">
        <is>
          <t>9780226136578</t>
        </is>
      </c>
      <c r="BC497" t="inlineStr">
        <is>
          <t>32285001826949</t>
        </is>
      </c>
      <c r="BD497" t="inlineStr">
        <is>
          <t>893722232</t>
        </is>
      </c>
    </row>
    <row r="498">
      <c r="A498" t="inlineStr">
        <is>
          <t>No</t>
        </is>
      </c>
      <c r="B498" t="inlineStr">
        <is>
          <t>QH365 .A1 1977</t>
        </is>
      </c>
      <c r="C498" t="inlineStr">
        <is>
          <t>0                      QH 0365000A  1           1977</t>
        </is>
      </c>
      <c r="D498" t="inlineStr">
        <is>
          <t>The collected papers of Charles Darwin / edited by Paul H. Barrett ; with a foreword by Theodosius Dobzhansky.</t>
        </is>
      </c>
      <c r="E498" t="inlineStr">
        <is>
          <t>V. 2</t>
        </is>
      </c>
      <c r="F498" t="inlineStr">
        <is>
          <t>Yes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Darwin, Charles, 1809-1882.</t>
        </is>
      </c>
      <c r="L498" t="inlineStr">
        <is>
          <t>Chicago : University of Chicago Press, 1977.</t>
        </is>
      </c>
      <c r="M498" t="inlineStr">
        <is>
          <t>1977</t>
        </is>
      </c>
      <c r="O498" t="inlineStr">
        <is>
          <t>eng</t>
        </is>
      </c>
      <c r="P498" t="inlineStr">
        <is>
          <t>ilu</t>
        </is>
      </c>
      <c r="R498" t="inlineStr">
        <is>
          <t xml:space="preserve">QH </t>
        </is>
      </c>
      <c r="S498" t="n">
        <v>6</v>
      </c>
      <c r="T498" t="n">
        <v>11</v>
      </c>
      <c r="U498" t="inlineStr">
        <is>
          <t>1995-09-27</t>
        </is>
      </c>
      <c r="V498" t="inlineStr">
        <is>
          <t>1995-09-27</t>
        </is>
      </c>
      <c r="W498" t="inlineStr">
        <is>
          <t>1993-12-22</t>
        </is>
      </c>
      <c r="X498" t="inlineStr">
        <is>
          <t>1993-12-22</t>
        </is>
      </c>
      <c r="Y498" t="n">
        <v>971</v>
      </c>
      <c r="Z498" t="n">
        <v>824</v>
      </c>
      <c r="AA498" t="n">
        <v>831</v>
      </c>
      <c r="AB498" t="n">
        <v>8</v>
      </c>
      <c r="AC498" t="n">
        <v>8</v>
      </c>
      <c r="AD498" t="n">
        <v>33</v>
      </c>
      <c r="AE498" t="n">
        <v>33</v>
      </c>
      <c r="AF498" t="n">
        <v>10</v>
      </c>
      <c r="AG498" t="n">
        <v>10</v>
      </c>
      <c r="AH498" t="n">
        <v>5</v>
      </c>
      <c r="AI498" t="n">
        <v>5</v>
      </c>
      <c r="AJ498" t="n">
        <v>17</v>
      </c>
      <c r="AK498" t="n">
        <v>17</v>
      </c>
      <c r="AL498" t="n">
        <v>7</v>
      </c>
      <c r="AM498" t="n">
        <v>7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8">
        <f>HYPERLINK("http://www.worldcat.org/oclc/2238118","WorldCat Record")</f>
        <v/>
      </c>
      <c r="AU498" t="inlineStr">
        <is>
          <t>2830676092:eng</t>
        </is>
      </c>
      <c r="AV498" t="inlineStr">
        <is>
          <t>2238118</t>
        </is>
      </c>
      <c r="AW498" t="inlineStr">
        <is>
          <t>991004059849702656</t>
        </is>
      </c>
      <c r="AX498" t="inlineStr">
        <is>
          <t>991004059849702656</t>
        </is>
      </c>
      <c r="AY498" t="inlineStr">
        <is>
          <t>2257481550002656</t>
        </is>
      </c>
      <c r="AZ498" t="inlineStr">
        <is>
          <t>BOOK</t>
        </is>
      </c>
      <c r="BB498" t="inlineStr">
        <is>
          <t>9780226136578</t>
        </is>
      </c>
      <c r="BC498" t="inlineStr">
        <is>
          <t>32285001826956</t>
        </is>
      </c>
      <c r="BD498" t="inlineStr">
        <is>
          <t>893693459</t>
        </is>
      </c>
    </row>
    <row r="499">
      <c r="A499" t="inlineStr">
        <is>
          <t>No</t>
        </is>
      </c>
      <c r="B499" t="inlineStr">
        <is>
          <t>QH365 .A1 1980</t>
        </is>
      </c>
      <c r="C499" t="inlineStr">
        <is>
          <t>0                      QH 0365000A  1           1980</t>
        </is>
      </c>
      <c r="D499" t="inlineStr">
        <is>
          <t>The collected papers of Charles Darwin / edited by Paul H. Barrett ; with a foreword by Theodosius Dobzhansky.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Darwin, Charles, 1809-1882.</t>
        </is>
      </c>
      <c r="L499" t="inlineStr">
        <is>
          <t>Chicago : University of Chicago Press, 1980, c1977.</t>
        </is>
      </c>
      <c r="M499" t="inlineStr">
        <is>
          <t>1980</t>
        </is>
      </c>
      <c r="N499" t="inlineStr">
        <is>
          <t>Phoenix ed.</t>
        </is>
      </c>
      <c r="O499" t="inlineStr">
        <is>
          <t>eng</t>
        </is>
      </c>
      <c r="P499" t="inlineStr">
        <is>
          <t>ilu</t>
        </is>
      </c>
      <c r="R499" t="inlineStr">
        <is>
          <t xml:space="preserve">QH </t>
        </is>
      </c>
      <c r="S499" t="n">
        <v>8</v>
      </c>
      <c r="T499" t="n">
        <v>8</v>
      </c>
      <c r="U499" t="inlineStr">
        <is>
          <t>1996-02-15</t>
        </is>
      </c>
      <c r="V499" t="inlineStr">
        <is>
          <t>1996-02-15</t>
        </is>
      </c>
      <c r="W499" t="inlineStr">
        <is>
          <t>1993-03-29</t>
        </is>
      </c>
      <c r="X499" t="inlineStr">
        <is>
          <t>1993-03-29</t>
        </is>
      </c>
      <c r="Y499" t="n">
        <v>187</v>
      </c>
      <c r="Z499" t="n">
        <v>151</v>
      </c>
      <c r="AA499" t="n">
        <v>152</v>
      </c>
      <c r="AB499" t="n">
        <v>2</v>
      </c>
      <c r="AC499" t="n">
        <v>2</v>
      </c>
      <c r="AD499" t="n">
        <v>5</v>
      </c>
      <c r="AE499" t="n">
        <v>5</v>
      </c>
      <c r="AF499" t="n">
        <v>4</v>
      </c>
      <c r="AG499" t="n">
        <v>4</v>
      </c>
      <c r="AH499" t="n">
        <v>0</v>
      </c>
      <c r="AI499" t="n">
        <v>0</v>
      </c>
      <c r="AJ499" t="n">
        <v>2</v>
      </c>
      <c r="AK499" t="n">
        <v>2</v>
      </c>
      <c r="AL499" t="n">
        <v>1</v>
      </c>
      <c r="AM499" t="n">
        <v>1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HYPERLINK("https://creighton-primo.hosted.exlibrisgroup.com/primo-explore/search?tab=default_tab&amp;search_scope=EVERYTHING&amp;vid=01CRU&amp;lang=en_US&amp;offset=0&amp;query=any,contains,991004858239702656","Catalog Record")</f>
        <v/>
      </c>
      <c r="AT499">
        <f>HYPERLINK("http://www.worldcat.org/oclc/5677129","WorldCat Record")</f>
        <v/>
      </c>
      <c r="AU499" t="inlineStr">
        <is>
          <t>4776410369:eng</t>
        </is>
      </c>
      <c r="AV499" t="inlineStr">
        <is>
          <t>5677129</t>
        </is>
      </c>
      <c r="AW499" t="inlineStr">
        <is>
          <t>991004858239702656</t>
        </is>
      </c>
      <c r="AX499" t="inlineStr">
        <is>
          <t>991004858239702656</t>
        </is>
      </c>
      <c r="AY499" t="inlineStr">
        <is>
          <t>2261504780002656</t>
        </is>
      </c>
      <c r="AZ499" t="inlineStr">
        <is>
          <t>BOOK</t>
        </is>
      </c>
      <c r="BB499" t="inlineStr">
        <is>
          <t>9780226136585</t>
        </is>
      </c>
      <c r="BC499" t="inlineStr">
        <is>
          <t>32285001553535</t>
        </is>
      </c>
      <c r="BD499" t="inlineStr">
        <is>
          <t>893353574</t>
        </is>
      </c>
    </row>
    <row r="500">
      <c r="A500" t="inlineStr">
        <is>
          <t>No</t>
        </is>
      </c>
      <c r="B500" t="inlineStr">
        <is>
          <t>QH365 .A1 1988</t>
        </is>
      </c>
      <c r="C500" t="inlineStr">
        <is>
          <t>0                      QH 0365000A  1           1988</t>
        </is>
      </c>
      <c r="D500" t="inlineStr">
        <is>
          <t>Charles Darwin's Beagle diary / edited by Richard Darwin Keynes.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Darwin, Charles, 1809-1882.</t>
        </is>
      </c>
      <c r="L500" t="inlineStr">
        <is>
          <t>Cambridge [Cambridgeshire] ; New York : Cambridge University Press, 1988.</t>
        </is>
      </c>
      <c r="M500" t="inlineStr">
        <is>
          <t>1988</t>
        </is>
      </c>
      <c r="O500" t="inlineStr">
        <is>
          <t>eng</t>
        </is>
      </c>
      <c r="P500" t="inlineStr">
        <is>
          <t>enk</t>
        </is>
      </c>
      <c r="R500" t="inlineStr">
        <is>
          <t xml:space="preserve">QH </t>
        </is>
      </c>
      <c r="S500" t="n">
        <v>7</v>
      </c>
      <c r="T500" t="n">
        <v>7</v>
      </c>
      <c r="U500" t="inlineStr">
        <is>
          <t>1995-09-24</t>
        </is>
      </c>
      <c r="V500" t="inlineStr">
        <is>
          <t>1995-09-24</t>
        </is>
      </c>
      <c r="W500" t="inlineStr">
        <is>
          <t>1993-03-29</t>
        </is>
      </c>
      <c r="X500" t="inlineStr">
        <is>
          <t>1993-03-29</t>
        </is>
      </c>
      <c r="Y500" t="n">
        <v>587</v>
      </c>
      <c r="Z500" t="n">
        <v>439</v>
      </c>
      <c r="AA500" t="n">
        <v>750</v>
      </c>
      <c r="AB500" t="n">
        <v>4</v>
      </c>
      <c r="AC500" t="n">
        <v>4</v>
      </c>
      <c r="AD500" t="n">
        <v>17</v>
      </c>
      <c r="AE500" t="n">
        <v>34</v>
      </c>
      <c r="AF500" t="n">
        <v>5</v>
      </c>
      <c r="AG500" t="n">
        <v>16</v>
      </c>
      <c r="AH500" t="n">
        <v>6</v>
      </c>
      <c r="AI500" t="n">
        <v>9</v>
      </c>
      <c r="AJ500" t="n">
        <v>9</v>
      </c>
      <c r="AK500" t="n">
        <v>15</v>
      </c>
      <c r="AL500" t="n">
        <v>3</v>
      </c>
      <c r="AM500" t="n">
        <v>3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HYPERLINK("https://creighton-primo.hosted.exlibrisgroup.com/primo-explore/search?tab=default_tab&amp;search_scope=EVERYTHING&amp;vid=01CRU&amp;lang=en_US&amp;offset=0&amp;query=any,contains,991001186519702656","Catalog Record")</f>
        <v/>
      </c>
      <c r="AT500">
        <f>HYPERLINK("http://www.worldcat.org/oclc/17210008","WorldCat Record")</f>
        <v/>
      </c>
      <c r="AU500" t="inlineStr">
        <is>
          <t>1218739527:eng</t>
        </is>
      </c>
      <c r="AV500" t="inlineStr">
        <is>
          <t>17210008</t>
        </is>
      </c>
      <c r="AW500" t="inlineStr">
        <is>
          <t>991001186519702656</t>
        </is>
      </c>
      <c r="AX500" t="inlineStr">
        <is>
          <t>991001186519702656</t>
        </is>
      </c>
      <c r="AY500" t="inlineStr">
        <is>
          <t>2272325360002656</t>
        </is>
      </c>
      <c r="AZ500" t="inlineStr">
        <is>
          <t>BOOK</t>
        </is>
      </c>
      <c r="BB500" t="inlineStr">
        <is>
          <t>9780521235037</t>
        </is>
      </c>
      <c r="BC500" t="inlineStr">
        <is>
          <t>32285001553543</t>
        </is>
      </c>
      <c r="BD500" t="inlineStr">
        <is>
          <t>893231775</t>
        </is>
      </c>
    </row>
    <row r="501">
      <c r="A501" t="inlineStr">
        <is>
          <t>No</t>
        </is>
      </c>
      <c r="B501" t="inlineStr">
        <is>
          <t>QH365 .O15 1969</t>
        </is>
      </c>
      <c r="C501" t="inlineStr">
        <is>
          <t>0                      QH 0365000O  15          1969</t>
        </is>
      </c>
      <c r="D501" t="inlineStr">
        <is>
          <t>The Foundations of the Origin of species : two essays written in 1842 and 1844 / by Charles Darwin. Edited by his son Francis Darwin. Cambridge, University Press, 1909.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Darwin, Charles, 1809-1882.</t>
        </is>
      </c>
      <c r="L501" t="inlineStr">
        <is>
          <t>New York : Kraus Reprint, 1969.</t>
        </is>
      </c>
      <c r="M501" t="inlineStr">
        <is>
          <t>1969</t>
        </is>
      </c>
      <c r="O501" t="inlineStr">
        <is>
          <t>eng</t>
        </is>
      </c>
      <c r="P501" t="inlineStr">
        <is>
          <t xml:space="preserve">xx </t>
        </is>
      </c>
      <c r="R501" t="inlineStr">
        <is>
          <t xml:space="preserve">QH </t>
        </is>
      </c>
      <c r="S501" t="n">
        <v>5</v>
      </c>
      <c r="T501" t="n">
        <v>5</v>
      </c>
      <c r="U501" t="inlineStr">
        <is>
          <t>1994-09-22</t>
        </is>
      </c>
      <c r="V501" t="inlineStr">
        <is>
          <t>1994-09-22</t>
        </is>
      </c>
      <c r="W501" t="inlineStr">
        <is>
          <t>1993-12-13</t>
        </is>
      </c>
      <c r="X501" t="inlineStr">
        <is>
          <t>1993-12-13</t>
        </is>
      </c>
      <c r="Y501" t="n">
        <v>101</v>
      </c>
      <c r="Z501" t="n">
        <v>88</v>
      </c>
      <c r="AA501" t="n">
        <v>384</v>
      </c>
      <c r="AB501" t="n">
        <v>2</v>
      </c>
      <c r="AC501" t="n">
        <v>4</v>
      </c>
      <c r="AD501" t="n">
        <v>5</v>
      </c>
      <c r="AE501" t="n">
        <v>24</v>
      </c>
      <c r="AF501" t="n">
        <v>2</v>
      </c>
      <c r="AG501" t="n">
        <v>8</v>
      </c>
      <c r="AH501" t="n">
        <v>1</v>
      </c>
      <c r="AI501" t="n">
        <v>5</v>
      </c>
      <c r="AJ501" t="n">
        <v>2</v>
      </c>
      <c r="AK501" t="n">
        <v>11</v>
      </c>
      <c r="AL501" t="n">
        <v>1</v>
      </c>
      <c r="AM501" t="n">
        <v>3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HYPERLINK("http://catalog.hathitrust.org/Record/102048579","HathiTrust Record")</f>
        <v/>
      </c>
      <c r="AS501">
        <f>HYPERLINK("https://creighton-primo.hosted.exlibrisgroup.com/primo-explore/search?tab=default_tab&amp;search_scope=EVERYTHING&amp;vid=01CRU&amp;lang=en_US&amp;offset=0&amp;query=any,contains,991003507079702656","Catalog Record")</f>
        <v/>
      </c>
      <c r="AT501">
        <f>HYPERLINK("http://www.worldcat.org/oclc/1059527","WorldCat Record")</f>
        <v/>
      </c>
      <c r="AU501" t="inlineStr">
        <is>
          <t>1995220:eng</t>
        </is>
      </c>
      <c r="AV501" t="inlineStr">
        <is>
          <t>1059527</t>
        </is>
      </c>
      <c r="AW501" t="inlineStr">
        <is>
          <t>991003507079702656</t>
        </is>
      </c>
      <c r="AX501" t="inlineStr">
        <is>
          <t>991003507079702656</t>
        </is>
      </c>
      <c r="AY501" t="inlineStr">
        <is>
          <t>2262746600002656</t>
        </is>
      </c>
      <c r="AZ501" t="inlineStr">
        <is>
          <t>BOOK</t>
        </is>
      </c>
      <c r="BC501" t="inlineStr">
        <is>
          <t>32285001807634</t>
        </is>
      </c>
      <c r="BD501" t="inlineStr">
        <is>
          <t>893348749</t>
        </is>
      </c>
    </row>
    <row r="502">
      <c r="A502" t="inlineStr">
        <is>
          <t>No</t>
        </is>
      </c>
      <c r="B502" t="inlineStr">
        <is>
          <t>QH365 .O15 1975</t>
        </is>
      </c>
      <c r="C502" t="inlineStr">
        <is>
          <t>0                      QH 0365000O  15          1975</t>
        </is>
      </c>
      <c r="D502" t="inlineStr">
        <is>
          <t>Charles Darwin's natural selection : being the second part of his big species book written from 1856 to 1858 / edited from manuscript by R. C. Stauffer.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Darwin, Charles, 1809-1882.</t>
        </is>
      </c>
      <c r="L502" t="inlineStr">
        <is>
          <t>London ; New York : Cambridge University Press, 1975.</t>
        </is>
      </c>
      <c r="M502" t="inlineStr">
        <is>
          <t>1975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QH </t>
        </is>
      </c>
      <c r="S502" t="n">
        <v>11</v>
      </c>
      <c r="T502" t="n">
        <v>11</v>
      </c>
      <c r="U502" t="inlineStr">
        <is>
          <t>1998-04-21</t>
        </is>
      </c>
      <c r="V502" t="inlineStr">
        <is>
          <t>1998-04-21</t>
        </is>
      </c>
      <c r="W502" t="inlineStr">
        <is>
          <t>1993-12-13</t>
        </is>
      </c>
      <c r="X502" t="inlineStr">
        <is>
          <t>1993-12-13</t>
        </is>
      </c>
      <c r="Y502" t="n">
        <v>657</v>
      </c>
      <c r="Z502" t="n">
        <v>523</v>
      </c>
      <c r="AA502" t="n">
        <v>560</v>
      </c>
      <c r="AB502" t="n">
        <v>5</v>
      </c>
      <c r="AC502" t="n">
        <v>5</v>
      </c>
      <c r="AD502" t="n">
        <v>26</v>
      </c>
      <c r="AE502" t="n">
        <v>26</v>
      </c>
      <c r="AF502" t="n">
        <v>9</v>
      </c>
      <c r="AG502" t="n">
        <v>9</v>
      </c>
      <c r="AH502" t="n">
        <v>5</v>
      </c>
      <c r="AI502" t="n">
        <v>5</v>
      </c>
      <c r="AJ502" t="n">
        <v>12</v>
      </c>
      <c r="AK502" t="n">
        <v>12</v>
      </c>
      <c r="AL502" t="n">
        <v>4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HYPERLINK("https://creighton-primo.hosted.exlibrisgroup.com/primo-explore/search?tab=default_tab&amp;search_scope=EVERYTHING&amp;vid=01CRU&amp;lang=en_US&amp;offset=0&amp;query=any,contains,991003643309702656","Catalog Record")</f>
        <v/>
      </c>
      <c r="AT502">
        <f>HYPERLINK("http://www.worldcat.org/oclc/1241747","WorldCat Record")</f>
        <v/>
      </c>
      <c r="AU502" t="inlineStr">
        <is>
          <t>4099372296:eng</t>
        </is>
      </c>
      <c r="AV502" t="inlineStr">
        <is>
          <t>1241747</t>
        </is>
      </c>
      <c r="AW502" t="inlineStr">
        <is>
          <t>991003643309702656</t>
        </is>
      </c>
      <c r="AX502" t="inlineStr">
        <is>
          <t>991003643309702656</t>
        </is>
      </c>
      <c r="AY502" t="inlineStr">
        <is>
          <t>2260950430002656</t>
        </is>
      </c>
      <c r="AZ502" t="inlineStr">
        <is>
          <t>BOOK</t>
        </is>
      </c>
      <c r="BB502" t="inlineStr">
        <is>
          <t>9780521201636</t>
        </is>
      </c>
      <c r="BC502" t="inlineStr">
        <is>
          <t>32285001807626</t>
        </is>
      </c>
      <c r="BD502" t="inlineStr">
        <is>
          <t>893228270</t>
        </is>
      </c>
    </row>
    <row r="503">
      <c r="A503" t="inlineStr">
        <is>
          <t>No</t>
        </is>
      </c>
      <c r="B503" t="inlineStr">
        <is>
          <t>QH365 .O7 1902</t>
        </is>
      </c>
      <c r="C503" t="inlineStr">
        <is>
          <t>0                      QH 0365000O  7           1902</t>
        </is>
      </c>
      <c r="D503" t="inlineStr">
        <is>
          <t>Origin of species by means of natural selection ; or, The preservation of favored races in the struggle for life.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Darwin, Charles, 1809-1882.</t>
        </is>
      </c>
      <c r="L503" t="inlineStr">
        <is>
          <t>New York : Collier, 1902.</t>
        </is>
      </c>
      <c r="M503" t="inlineStr">
        <is>
          <t>1902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QH </t>
        </is>
      </c>
      <c r="S503" t="n">
        <v>17</v>
      </c>
      <c r="T503" t="n">
        <v>17</v>
      </c>
      <c r="U503" t="inlineStr">
        <is>
          <t>2001-02-20</t>
        </is>
      </c>
      <c r="V503" t="inlineStr">
        <is>
          <t>2001-02-20</t>
        </is>
      </c>
      <c r="W503" t="inlineStr">
        <is>
          <t>1994-02-16</t>
        </is>
      </c>
      <c r="X503" t="inlineStr">
        <is>
          <t>1994-02-16</t>
        </is>
      </c>
      <c r="Y503" t="n">
        <v>48</v>
      </c>
      <c r="Z503" t="n">
        <v>42</v>
      </c>
      <c r="AA503" t="n">
        <v>2542</v>
      </c>
      <c r="AB503" t="n">
        <v>1</v>
      </c>
      <c r="AC503" t="n">
        <v>24</v>
      </c>
      <c r="AD503" t="n">
        <v>0</v>
      </c>
      <c r="AE503" t="n">
        <v>62</v>
      </c>
      <c r="AF503" t="n">
        <v>0</v>
      </c>
      <c r="AG503" t="n">
        <v>24</v>
      </c>
      <c r="AH503" t="n">
        <v>0</v>
      </c>
      <c r="AI503" t="n">
        <v>9</v>
      </c>
      <c r="AJ503" t="n">
        <v>0</v>
      </c>
      <c r="AK503" t="n">
        <v>23</v>
      </c>
      <c r="AL503" t="n">
        <v>0</v>
      </c>
      <c r="AM503" t="n">
        <v>14</v>
      </c>
      <c r="AN503" t="n">
        <v>0</v>
      </c>
      <c r="AO503" t="n">
        <v>3</v>
      </c>
      <c r="AP503" t="inlineStr">
        <is>
          <t>Yes</t>
        </is>
      </c>
      <c r="AQ503" t="inlineStr">
        <is>
          <t>No</t>
        </is>
      </c>
      <c r="AR503">
        <f>HYPERLINK("http://catalog.hathitrust.org/Record/012203385","HathiTrust Record")</f>
        <v/>
      </c>
      <c r="AS503">
        <f>HYPERLINK("https://creighton-primo.hosted.exlibrisgroup.com/primo-explore/search?tab=default_tab&amp;search_scope=EVERYTHING&amp;vid=01CRU&amp;lang=en_US&amp;offset=0&amp;query=any,contains,991000090479702656","Catalog Record")</f>
        <v/>
      </c>
      <c r="AT503">
        <f>HYPERLINK("http://www.worldcat.org/oclc/30539948","WorldCat Record")</f>
        <v/>
      </c>
      <c r="AU503" t="inlineStr">
        <is>
          <t>2564809031:eng</t>
        </is>
      </c>
      <c r="AV503" t="inlineStr">
        <is>
          <t>30539948</t>
        </is>
      </c>
      <c r="AW503" t="inlineStr">
        <is>
          <t>991000090479702656</t>
        </is>
      </c>
      <c r="AX503" t="inlineStr">
        <is>
          <t>991000090479702656</t>
        </is>
      </c>
      <c r="AY503" t="inlineStr">
        <is>
          <t>2267954670002656</t>
        </is>
      </c>
      <c r="AZ503" t="inlineStr">
        <is>
          <t>BOOK</t>
        </is>
      </c>
      <c r="BC503" t="inlineStr">
        <is>
          <t>32285001838381</t>
        </is>
      </c>
      <c r="BD503" t="inlineStr">
        <is>
          <t>893620165</t>
        </is>
      </c>
    </row>
    <row r="504">
      <c r="A504" t="inlineStr">
        <is>
          <t>No</t>
        </is>
      </c>
      <c r="B504" t="inlineStr">
        <is>
          <t>QH365.Z9 A7</t>
        </is>
      </c>
      <c r="C504" t="inlineStr">
        <is>
          <t>0                      QH 0365000Z  9                  A  7</t>
        </is>
      </c>
      <c r="D504" t="inlineStr">
        <is>
          <t>Darwin / edited by Philip Appleman.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Appleman, Philip, 1926- compiler.</t>
        </is>
      </c>
      <c r="L504" t="inlineStr">
        <is>
          <t>New York : Norton, [1970]</t>
        </is>
      </c>
      <c r="M504" t="inlineStr">
        <is>
          <t>1970</t>
        </is>
      </c>
      <c r="N504" t="inlineStr">
        <is>
          <t>[1st ed.]</t>
        </is>
      </c>
      <c r="O504" t="inlineStr">
        <is>
          <t>eng</t>
        </is>
      </c>
      <c r="P504" t="inlineStr">
        <is>
          <t>nyu</t>
        </is>
      </c>
      <c r="Q504" t="inlineStr">
        <is>
          <t>A Norton critical edition</t>
        </is>
      </c>
      <c r="R504" t="inlineStr">
        <is>
          <t xml:space="preserve">QH </t>
        </is>
      </c>
      <c r="S504" t="n">
        <v>8</v>
      </c>
      <c r="T504" t="n">
        <v>8</v>
      </c>
      <c r="U504" t="inlineStr">
        <is>
          <t>2002-11-15</t>
        </is>
      </c>
      <c r="V504" t="inlineStr">
        <is>
          <t>2002-11-15</t>
        </is>
      </c>
      <c r="W504" t="inlineStr">
        <is>
          <t>1993-11-11</t>
        </is>
      </c>
      <c r="X504" t="inlineStr">
        <is>
          <t>1993-11-11</t>
        </is>
      </c>
      <c r="Y504" t="n">
        <v>969</v>
      </c>
      <c r="Z504" t="n">
        <v>834</v>
      </c>
      <c r="AA504" t="n">
        <v>1372</v>
      </c>
      <c r="AB504" t="n">
        <v>8</v>
      </c>
      <c r="AC504" t="n">
        <v>12</v>
      </c>
      <c r="AD504" t="n">
        <v>27</v>
      </c>
      <c r="AE504" t="n">
        <v>49</v>
      </c>
      <c r="AF504" t="n">
        <v>12</v>
      </c>
      <c r="AG504" t="n">
        <v>20</v>
      </c>
      <c r="AH504" t="n">
        <v>5</v>
      </c>
      <c r="AI504" t="n">
        <v>7</v>
      </c>
      <c r="AJ504" t="n">
        <v>12</v>
      </c>
      <c r="AK504" t="n">
        <v>23</v>
      </c>
      <c r="AL504" t="n">
        <v>5</v>
      </c>
      <c r="AM504" t="n">
        <v>9</v>
      </c>
      <c r="AN504" t="n">
        <v>0</v>
      </c>
      <c r="AO504" t="n">
        <v>1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HYPERLINK("http://catalog.hathitrust.org/Record/001491626","HathiTrust Record")</f>
        <v/>
      </c>
      <c r="AS504">
        <f>HYPERLINK("https://creighton-primo.hosted.exlibrisgroup.com/primo-explore/search?tab=default_tab&amp;search_scope=EVERYTHING&amp;vid=01CRU&amp;lang=en_US&amp;offset=0&amp;query=any,contains,991000502579702656","Catalog Record")</f>
        <v/>
      </c>
      <c r="AT504">
        <f>HYPERLINK("http://www.worldcat.org/oclc/81998","WorldCat Record")</f>
        <v/>
      </c>
      <c r="AU504" t="inlineStr">
        <is>
          <t>9657207689:eng</t>
        </is>
      </c>
      <c r="AV504" t="inlineStr">
        <is>
          <t>81998</t>
        </is>
      </c>
      <c r="AW504" t="inlineStr">
        <is>
          <t>991000502579702656</t>
        </is>
      </c>
      <c r="AX504" t="inlineStr">
        <is>
          <t>991000502579702656</t>
        </is>
      </c>
      <c r="AY504" t="inlineStr">
        <is>
          <t>2272136580002656</t>
        </is>
      </c>
      <c r="AZ504" t="inlineStr">
        <is>
          <t>BOOK</t>
        </is>
      </c>
      <c r="BB504" t="inlineStr">
        <is>
          <t>9780393054125</t>
        </is>
      </c>
      <c r="BC504" t="inlineStr">
        <is>
          <t>32285001812121</t>
        </is>
      </c>
      <c r="BD504" t="inlineStr">
        <is>
          <t>893243322</t>
        </is>
      </c>
    </row>
    <row r="505">
      <c r="A505" t="inlineStr">
        <is>
          <t>No</t>
        </is>
      </c>
      <c r="B505" t="inlineStr">
        <is>
          <t>QH365.Z9 B37 1987</t>
        </is>
      </c>
      <c r="C505" t="inlineStr">
        <is>
          <t>0                      QH 0365000Z  9                  B  37          1987</t>
        </is>
      </c>
      <c r="D505" t="inlineStr">
        <is>
          <t>Charles Darwin's notebooks, 1836-1844 : geology, transmutation of species, metaphysical enquiries / transcribed and edited by Paul H. Barrett ... [et al.]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Darwin, Charles, 1809-1882.</t>
        </is>
      </c>
      <c r="L505" t="inlineStr">
        <is>
          <t>London : British Museum (Natural History) ; Ithaca, N.Y. : Cornell University Press, 1987.</t>
        </is>
      </c>
      <c r="M505" t="inlineStr">
        <is>
          <t>1987</t>
        </is>
      </c>
      <c r="O505" t="inlineStr">
        <is>
          <t>eng</t>
        </is>
      </c>
      <c r="P505" t="inlineStr">
        <is>
          <t>enk</t>
        </is>
      </c>
      <c r="R505" t="inlineStr">
        <is>
          <t xml:space="preserve">QH </t>
        </is>
      </c>
      <c r="S505" t="n">
        <v>14</v>
      </c>
      <c r="T505" t="n">
        <v>14</v>
      </c>
      <c r="U505" t="inlineStr">
        <is>
          <t>1997-02-11</t>
        </is>
      </c>
      <c r="V505" t="inlineStr">
        <is>
          <t>1997-02-11</t>
        </is>
      </c>
      <c r="W505" t="inlineStr">
        <is>
          <t>1992-09-09</t>
        </is>
      </c>
      <c r="X505" t="inlineStr">
        <is>
          <t>1992-09-09</t>
        </is>
      </c>
      <c r="Y505" t="n">
        <v>598</v>
      </c>
      <c r="Z505" t="n">
        <v>522</v>
      </c>
      <c r="AA505" t="n">
        <v>547</v>
      </c>
      <c r="AB505" t="n">
        <v>4</v>
      </c>
      <c r="AC505" t="n">
        <v>4</v>
      </c>
      <c r="AD505" t="n">
        <v>22</v>
      </c>
      <c r="AE505" t="n">
        <v>25</v>
      </c>
      <c r="AF505" t="n">
        <v>8</v>
      </c>
      <c r="AG505" t="n">
        <v>9</v>
      </c>
      <c r="AH505" t="n">
        <v>3</v>
      </c>
      <c r="AI505" t="n">
        <v>5</v>
      </c>
      <c r="AJ505" t="n">
        <v>12</v>
      </c>
      <c r="AK505" t="n">
        <v>13</v>
      </c>
      <c r="AL505" t="n">
        <v>3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HYPERLINK("https://creighton-primo.hosted.exlibrisgroup.com/primo-explore/search?tab=default_tab&amp;search_scope=EVERYTHING&amp;vid=01CRU&amp;lang=en_US&amp;offset=0&amp;query=any,contains,991001091219702656","Catalog Record")</f>
        <v/>
      </c>
      <c r="AT505">
        <f>HYPERLINK("http://www.worldcat.org/oclc/16224403","WorldCat Record")</f>
        <v/>
      </c>
      <c r="AU505" t="inlineStr">
        <is>
          <t>959546:eng</t>
        </is>
      </c>
      <c r="AV505" t="inlineStr">
        <is>
          <t>16224403</t>
        </is>
      </c>
      <c r="AW505" t="inlineStr">
        <is>
          <t>991001091219702656</t>
        </is>
      </c>
      <c r="AX505" t="inlineStr">
        <is>
          <t>991001091219702656</t>
        </is>
      </c>
      <c r="AY505" t="inlineStr">
        <is>
          <t>2268228180002656</t>
        </is>
      </c>
      <c r="AZ505" t="inlineStr">
        <is>
          <t>BOOK</t>
        </is>
      </c>
      <c r="BC505" t="inlineStr">
        <is>
          <t>32285001296895</t>
        </is>
      </c>
      <c r="BD505" t="inlineStr">
        <is>
          <t>893803337</t>
        </is>
      </c>
    </row>
    <row r="506">
      <c r="A506" t="inlineStr">
        <is>
          <t>No</t>
        </is>
      </c>
      <c r="B506" t="inlineStr">
        <is>
          <t>QH365.Z9 K48 2002</t>
        </is>
      </c>
      <c r="C506" t="inlineStr">
        <is>
          <t>0                      QH 0365000Z  9                  K  48          2002</t>
        </is>
      </c>
      <c r="D506" t="inlineStr">
        <is>
          <t>Fossils, finches and fuegians : Charles Darwin's adventures and discoveries on the Beagle, 1832-1836 / Richard Keynes.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Keynes, R. D.</t>
        </is>
      </c>
      <c r="L506" t="inlineStr">
        <is>
          <t>London : HarperCollins, 2002.</t>
        </is>
      </c>
      <c r="M506" t="inlineStr">
        <is>
          <t>2002</t>
        </is>
      </c>
      <c r="O506" t="inlineStr">
        <is>
          <t>eng</t>
        </is>
      </c>
      <c r="P506" t="inlineStr">
        <is>
          <t>enk</t>
        </is>
      </c>
      <c r="R506" t="inlineStr">
        <is>
          <t xml:space="preserve">QH </t>
        </is>
      </c>
      <c r="S506" t="n">
        <v>6</v>
      </c>
      <c r="T506" t="n">
        <v>6</v>
      </c>
      <c r="U506" t="inlineStr">
        <is>
          <t>2009-09-04</t>
        </is>
      </c>
      <c r="V506" t="inlineStr">
        <is>
          <t>2009-09-04</t>
        </is>
      </c>
      <c r="W506" t="inlineStr">
        <is>
          <t>2002-12-03</t>
        </is>
      </c>
      <c r="X506" t="inlineStr">
        <is>
          <t>2002-12-03</t>
        </is>
      </c>
      <c r="Y506" t="n">
        <v>137</v>
      </c>
      <c r="Z506" t="n">
        <v>41</v>
      </c>
      <c r="AA506" t="n">
        <v>905</v>
      </c>
      <c r="AB506" t="n">
        <v>1</v>
      </c>
      <c r="AC506" t="n">
        <v>6</v>
      </c>
      <c r="AD506" t="n">
        <v>3</v>
      </c>
      <c r="AE506" t="n">
        <v>30</v>
      </c>
      <c r="AF506" t="n">
        <v>1</v>
      </c>
      <c r="AG506" t="n">
        <v>12</v>
      </c>
      <c r="AH506" t="n">
        <v>1</v>
      </c>
      <c r="AI506" t="n">
        <v>5</v>
      </c>
      <c r="AJ506" t="n">
        <v>2</v>
      </c>
      <c r="AK506" t="n">
        <v>15</v>
      </c>
      <c r="AL506" t="n">
        <v>0</v>
      </c>
      <c r="AM506" t="n">
        <v>5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HYPERLINK("http://catalog.hathitrust.org/Record/004263341","HathiTrust Record")</f>
        <v/>
      </c>
      <c r="AS506">
        <f>HYPERLINK("https://creighton-primo.hosted.exlibrisgroup.com/primo-explore/search?tab=default_tab&amp;search_scope=EVERYTHING&amp;vid=01CRU&amp;lang=en_US&amp;offset=0&amp;query=any,contains,991003923419702656","Catalog Record")</f>
        <v/>
      </c>
      <c r="AT506">
        <f>HYPERLINK("http://www.worldcat.org/oclc/48931637","WorldCat Record")</f>
        <v/>
      </c>
      <c r="AU506" t="inlineStr">
        <is>
          <t>7706725:eng</t>
        </is>
      </c>
      <c r="AV506" t="inlineStr">
        <is>
          <t>48931637</t>
        </is>
      </c>
      <c r="AW506" t="inlineStr">
        <is>
          <t>991003923419702656</t>
        </is>
      </c>
      <c r="AX506" t="inlineStr">
        <is>
          <t>991003923419702656</t>
        </is>
      </c>
      <c r="AY506" t="inlineStr">
        <is>
          <t>2266281130002656</t>
        </is>
      </c>
      <c r="AZ506" t="inlineStr">
        <is>
          <t>BOOK</t>
        </is>
      </c>
      <c r="BB506" t="inlineStr">
        <is>
          <t>9780007101894</t>
        </is>
      </c>
      <c r="BC506" t="inlineStr">
        <is>
          <t>32285004666854</t>
        </is>
      </c>
      <c r="BD506" t="inlineStr">
        <is>
          <t>893624137</t>
        </is>
      </c>
    </row>
    <row r="507">
      <c r="A507" t="inlineStr">
        <is>
          <t>No</t>
        </is>
      </c>
      <c r="B507" t="inlineStr">
        <is>
          <t>QH365.Z9 P67 1993</t>
        </is>
      </c>
      <c r="C507" t="inlineStr">
        <is>
          <t>0                      QH 0365000Z  9                  P  67          1993</t>
        </is>
      </c>
      <c r="D507" t="inlineStr">
        <is>
          <t>The portable Darwin / edited, with an introduction, notes, and epilogue by Duncan M. Porter and Peter W. Graham.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Darwin, Charles, 1809-1882.</t>
        </is>
      </c>
      <c r="L507" t="inlineStr">
        <is>
          <t>New York : Penguin Books, 1993.</t>
        </is>
      </c>
      <c r="M507" t="inlineStr">
        <is>
          <t>1993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QH </t>
        </is>
      </c>
      <c r="S507" t="n">
        <v>6</v>
      </c>
      <c r="T507" t="n">
        <v>6</v>
      </c>
      <c r="U507" t="inlineStr">
        <is>
          <t>1995-09-26</t>
        </is>
      </c>
      <c r="V507" t="inlineStr">
        <is>
          <t>1995-09-26</t>
        </is>
      </c>
      <c r="W507" t="inlineStr">
        <is>
          <t>1994-11-14</t>
        </is>
      </c>
      <c r="X507" t="inlineStr">
        <is>
          <t>1994-11-14</t>
        </is>
      </c>
      <c r="Y507" t="n">
        <v>319</v>
      </c>
      <c r="Z507" t="n">
        <v>266</v>
      </c>
      <c r="AA507" t="n">
        <v>270</v>
      </c>
      <c r="AB507" t="n">
        <v>2</v>
      </c>
      <c r="AC507" t="n">
        <v>2</v>
      </c>
      <c r="AD507" t="n">
        <v>6</v>
      </c>
      <c r="AE507" t="n">
        <v>6</v>
      </c>
      <c r="AF507" t="n">
        <v>2</v>
      </c>
      <c r="AG507" t="n">
        <v>2</v>
      </c>
      <c r="AH507" t="n">
        <v>0</v>
      </c>
      <c r="AI507" t="n">
        <v>0</v>
      </c>
      <c r="AJ507" t="n">
        <v>4</v>
      </c>
      <c r="AK507" t="n">
        <v>4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HYPERLINK("https://creighton-primo.hosted.exlibrisgroup.com/primo-explore/search?tab=default_tab&amp;search_scope=EVERYTHING&amp;vid=01CRU&amp;lang=en_US&amp;offset=0&amp;query=any,contains,991002166809702656","Catalog Record")</f>
        <v/>
      </c>
      <c r="AT507">
        <f>HYPERLINK("http://www.worldcat.org/oclc/27896693","WorldCat Record")</f>
        <v/>
      </c>
      <c r="AU507" t="inlineStr">
        <is>
          <t>223815140:eng</t>
        </is>
      </c>
      <c r="AV507" t="inlineStr">
        <is>
          <t>27896693</t>
        </is>
      </c>
      <c r="AW507" t="inlineStr">
        <is>
          <t>991002166809702656</t>
        </is>
      </c>
      <c r="AX507" t="inlineStr">
        <is>
          <t>991002166809702656</t>
        </is>
      </c>
      <c r="AY507" t="inlineStr">
        <is>
          <t>2260370660002656</t>
        </is>
      </c>
      <c r="AZ507" t="inlineStr">
        <is>
          <t>BOOK</t>
        </is>
      </c>
      <c r="BB507" t="inlineStr">
        <is>
          <t>9780140151091</t>
        </is>
      </c>
      <c r="BC507" t="inlineStr">
        <is>
          <t>32285001957488</t>
        </is>
      </c>
      <c r="BD507" t="inlineStr">
        <is>
          <t>893773286</t>
        </is>
      </c>
    </row>
    <row r="508">
      <c r="A508" t="inlineStr">
        <is>
          <t>No</t>
        </is>
      </c>
      <c r="B508" t="inlineStr">
        <is>
          <t>QH366 .D58</t>
        </is>
      </c>
      <c r="C508" t="inlineStr">
        <is>
          <t>0                      QH 0366000D  58</t>
        </is>
      </c>
      <c r="D508" t="inlineStr">
        <is>
          <t>Evolution, genetics, and man.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Dobzhansky, Theodosius, 1900-1975.</t>
        </is>
      </c>
      <c r="L508" t="inlineStr">
        <is>
          <t>New York, Wiley [1955]</t>
        </is>
      </c>
      <c r="M508" t="inlineStr">
        <is>
          <t>1955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QH </t>
        </is>
      </c>
      <c r="S508" t="n">
        <v>3</v>
      </c>
      <c r="T508" t="n">
        <v>3</v>
      </c>
      <c r="U508" t="inlineStr">
        <is>
          <t>1998-05-11</t>
        </is>
      </c>
      <c r="V508" t="inlineStr">
        <is>
          <t>1998-05-11</t>
        </is>
      </c>
      <c r="W508" t="inlineStr">
        <is>
          <t>1997-07-01</t>
        </is>
      </c>
      <c r="X508" t="inlineStr">
        <is>
          <t>1997-07-01</t>
        </is>
      </c>
      <c r="Y508" t="n">
        <v>1010</v>
      </c>
      <c r="Z508" t="n">
        <v>859</v>
      </c>
      <c r="AA508" t="n">
        <v>969</v>
      </c>
      <c r="AB508" t="n">
        <v>4</v>
      </c>
      <c r="AC508" t="n">
        <v>4</v>
      </c>
      <c r="AD508" t="n">
        <v>33</v>
      </c>
      <c r="AE508" t="n">
        <v>37</v>
      </c>
      <c r="AF508" t="n">
        <v>15</v>
      </c>
      <c r="AG508" t="n">
        <v>18</v>
      </c>
      <c r="AH508" t="n">
        <v>7</v>
      </c>
      <c r="AI508" t="n">
        <v>7</v>
      </c>
      <c r="AJ508" t="n">
        <v>18</v>
      </c>
      <c r="AK508" t="n">
        <v>20</v>
      </c>
      <c r="AL508" t="n">
        <v>3</v>
      </c>
      <c r="AM508" t="n">
        <v>3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HYPERLINK("http://catalog.hathitrust.org/Record/001491653","HathiTrust Record")</f>
        <v/>
      </c>
      <c r="AS508">
        <f>HYPERLINK("https://creighton-primo.hosted.exlibrisgroup.com/primo-explore/search?tab=default_tab&amp;search_scope=EVERYTHING&amp;vid=01CRU&amp;lang=en_US&amp;offset=0&amp;query=any,contains,991003207989702656","Catalog Record")</f>
        <v/>
      </c>
      <c r="AT508">
        <f>HYPERLINK("http://www.worldcat.org/oclc/733359","WorldCat Record")</f>
        <v/>
      </c>
      <c r="AU508" t="inlineStr">
        <is>
          <t>1358001:eng</t>
        </is>
      </c>
      <c r="AV508" t="inlineStr">
        <is>
          <t>733359</t>
        </is>
      </c>
      <c r="AW508" t="inlineStr">
        <is>
          <t>991003207989702656</t>
        </is>
      </c>
      <c r="AX508" t="inlineStr">
        <is>
          <t>991003207989702656</t>
        </is>
      </c>
      <c r="AY508" t="inlineStr">
        <is>
          <t>2258905310002656</t>
        </is>
      </c>
      <c r="AZ508" t="inlineStr">
        <is>
          <t>BOOK</t>
        </is>
      </c>
      <c r="BC508" t="inlineStr">
        <is>
          <t>32285002869583</t>
        </is>
      </c>
      <c r="BD508" t="inlineStr">
        <is>
          <t>893774505</t>
        </is>
      </c>
    </row>
    <row r="509">
      <c r="A509" t="inlineStr">
        <is>
          <t>No</t>
        </is>
      </c>
      <c r="B509" t="inlineStr">
        <is>
          <t>QH366 .E32</t>
        </is>
      </c>
      <c r="C509" t="inlineStr">
        <is>
          <t>0                      QH 0366000E  32</t>
        </is>
      </c>
      <c r="D509" t="inlineStr">
        <is>
          <t>Evolution, by Theodore H. Eaton, Jr.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Eaton, Theodore H. (Theodore Hildreth), 1907-1981.</t>
        </is>
      </c>
      <c r="L509" t="inlineStr">
        <is>
          <t>New York, Norton, c1970</t>
        </is>
      </c>
      <c r="M509" t="inlineStr">
        <is>
          <t>1969</t>
        </is>
      </c>
      <c r="N509" t="inlineStr">
        <is>
          <t>[1st ed.]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QH </t>
        </is>
      </c>
      <c r="S509" t="n">
        <v>9</v>
      </c>
      <c r="T509" t="n">
        <v>9</v>
      </c>
      <c r="U509" t="inlineStr">
        <is>
          <t>1995-02-20</t>
        </is>
      </c>
      <c r="V509" t="inlineStr">
        <is>
          <t>1995-02-20</t>
        </is>
      </c>
      <c r="W509" t="inlineStr">
        <is>
          <t>1994-02-24</t>
        </is>
      </c>
      <c r="X509" t="inlineStr">
        <is>
          <t>1994-02-24</t>
        </is>
      </c>
      <c r="Y509" t="n">
        <v>553</v>
      </c>
      <c r="Z509" t="n">
        <v>504</v>
      </c>
      <c r="AA509" t="n">
        <v>581</v>
      </c>
      <c r="AB509" t="n">
        <v>4</v>
      </c>
      <c r="AC509" t="n">
        <v>4</v>
      </c>
      <c r="AD509" t="n">
        <v>21</v>
      </c>
      <c r="AE509" t="n">
        <v>21</v>
      </c>
      <c r="AF509" t="n">
        <v>9</v>
      </c>
      <c r="AG509" t="n">
        <v>9</v>
      </c>
      <c r="AH509" t="n">
        <v>3</v>
      </c>
      <c r="AI509" t="n">
        <v>3</v>
      </c>
      <c r="AJ509" t="n">
        <v>12</v>
      </c>
      <c r="AK509" t="n">
        <v>12</v>
      </c>
      <c r="AL509" t="n">
        <v>3</v>
      </c>
      <c r="AM509" t="n">
        <v>3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HYPERLINK("http://catalog.hathitrust.org/Record/001491657","HathiTrust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HYPERLINK("https://creighton-primo.hosted.exlibrisgroup.com/primo-explore/search?tab=default_tab&amp;search_scope=EVERYTHING&amp;vid=01CRU&amp;lang=en_US&amp;offset=0&amp;query=any,contains,991000115579702656","Catalog Record")</f>
        <v/>
      </c>
      <c r="AT509">
        <f>HYPERLINK("http://www.worldcat.org/oclc/49270","WorldCat Record")</f>
        <v/>
      </c>
      <c r="AU509" t="inlineStr">
        <is>
          <t>65220582:eng</t>
        </is>
      </c>
      <c r="AV509" t="inlineStr">
        <is>
          <t>49270</t>
        </is>
      </c>
      <c r="AW509" t="inlineStr">
        <is>
          <t>991000115579702656</t>
        </is>
      </c>
      <c r="AX509" t="inlineStr">
        <is>
          <t>991000115579702656</t>
        </is>
      </c>
      <c r="AY509" t="inlineStr">
        <is>
          <t>2263534200002656</t>
        </is>
      </c>
      <c r="AZ509" t="inlineStr">
        <is>
          <t>BOOK</t>
        </is>
      </c>
      <c r="BC509" t="inlineStr">
        <is>
          <t>32285001850154</t>
        </is>
      </c>
      <c r="BD509" t="inlineStr">
        <is>
          <t>893595295</t>
        </is>
      </c>
    </row>
    <row r="510">
      <c r="A510" t="inlineStr">
        <is>
          <t>No</t>
        </is>
      </c>
      <c r="B510" t="inlineStr">
        <is>
          <t>QH366 .F5 1999</t>
        </is>
      </c>
      <c r="C510" t="inlineStr">
        <is>
          <t>0                      QH 0366000F  5           1999</t>
        </is>
      </c>
      <c r="D510" t="inlineStr">
        <is>
          <t>The genetical theory of natural selection : a complete variorum edition / by R.A. Fisher ; edited with a foreword and notes by J.H. Bennett.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Fisher, Ronald Aylmer, Sir, 1890-1962.</t>
        </is>
      </c>
      <c r="L510" t="inlineStr">
        <is>
          <t>Oxford : Oxford University Press, c1999.</t>
        </is>
      </c>
      <c r="M510" t="inlineStr">
        <is>
          <t>1999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QH </t>
        </is>
      </c>
      <c r="S510" t="n">
        <v>2</v>
      </c>
      <c r="T510" t="n">
        <v>2</v>
      </c>
      <c r="U510" t="inlineStr">
        <is>
          <t>2010-09-20</t>
        </is>
      </c>
      <c r="V510" t="inlineStr">
        <is>
          <t>2010-09-20</t>
        </is>
      </c>
      <c r="W510" t="inlineStr">
        <is>
          <t>2000-04-05</t>
        </is>
      </c>
      <c r="X510" t="inlineStr">
        <is>
          <t>2000-04-05</t>
        </is>
      </c>
      <c r="Y510" t="n">
        <v>260</v>
      </c>
      <c r="Z510" t="n">
        <v>219</v>
      </c>
      <c r="AA510" t="n">
        <v>219</v>
      </c>
      <c r="AB510" t="n">
        <v>2</v>
      </c>
      <c r="AC510" t="n">
        <v>2</v>
      </c>
      <c r="AD510" t="n">
        <v>8</v>
      </c>
      <c r="AE510" t="n">
        <v>8</v>
      </c>
      <c r="AF510" t="n">
        <v>1</v>
      </c>
      <c r="AG510" t="n">
        <v>1</v>
      </c>
      <c r="AH510" t="n">
        <v>2</v>
      </c>
      <c r="AI510" t="n">
        <v>2</v>
      </c>
      <c r="AJ510" t="n">
        <v>5</v>
      </c>
      <c r="AK510" t="n">
        <v>5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HYPERLINK("https://creighton-primo.hosted.exlibrisgroup.com/primo-explore/search?tab=default_tab&amp;search_scope=EVERYTHING&amp;vid=01CRU&amp;lang=en_US&amp;offset=0&amp;query=any,contains,991003039589702656","Catalog Record")</f>
        <v/>
      </c>
      <c r="AT510">
        <f>HYPERLINK("http://www.worldcat.org/oclc/45308589","WorldCat Record")</f>
        <v/>
      </c>
      <c r="AU510" t="inlineStr">
        <is>
          <t>8908906027:eng</t>
        </is>
      </c>
      <c r="AV510" t="inlineStr">
        <is>
          <t>45308589</t>
        </is>
      </c>
      <c r="AW510" t="inlineStr">
        <is>
          <t>991003039589702656</t>
        </is>
      </c>
      <c r="AX510" t="inlineStr">
        <is>
          <t>991003039589702656</t>
        </is>
      </c>
      <c r="AY510" t="inlineStr">
        <is>
          <t>2270425930002656</t>
        </is>
      </c>
      <c r="AZ510" t="inlineStr">
        <is>
          <t>BOOK</t>
        </is>
      </c>
      <c r="BB510" t="inlineStr">
        <is>
          <t>9780198504405</t>
        </is>
      </c>
      <c r="BC510" t="inlineStr">
        <is>
          <t>32285003675674</t>
        </is>
      </c>
      <c r="BD510" t="inlineStr">
        <is>
          <t>893616932</t>
        </is>
      </c>
    </row>
    <row r="511">
      <c r="A511" t="inlineStr">
        <is>
          <t>No</t>
        </is>
      </c>
      <c r="B511" t="inlineStr">
        <is>
          <t>QH366 .G69</t>
        </is>
      </c>
      <c r="C511" t="inlineStr">
        <is>
          <t>0                      QH 0366000G  69</t>
        </is>
      </c>
      <c r="D511" t="inlineStr">
        <is>
          <t>The origin of adaptations.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Grant, Verne.</t>
        </is>
      </c>
      <c r="L511" t="inlineStr">
        <is>
          <t>New York : Columbia University Press, 1963.</t>
        </is>
      </c>
      <c r="M511" t="inlineStr">
        <is>
          <t>1963</t>
        </is>
      </c>
      <c r="O511" t="inlineStr">
        <is>
          <t>eng</t>
        </is>
      </c>
      <c r="P511" t="inlineStr">
        <is>
          <t>nyu</t>
        </is>
      </c>
      <c r="R511" t="inlineStr">
        <is>
          <t xml:space="preserve">QH </t>
        </is>
      </c>
      <c r="S511" t="n">
        <v>2</v>
      </c>
      <c r="T511" t="n">
        <v>2</v>
      </c>
      <c r="U511" t="inlineStr">
        <is>
          <t>1995-09-17</t>
        </is>
      </c>
      <c r="V511" t="inlineStr">
        <is>
          <t>1995-09-17</t>
        </is>
      </c>
      <c r="W511" t="inlineStr">
        <is>
          <t>1994-10-28</t>
        </is>
      </c>
      <c r="X511" t="inlineStr">
        <is>
          <t>1994-10-28</t>
        </is>
      </c>
      <c r="Y511" t="n">
        <v>1006</v>
      </c>
      <c r="Z511" t="n">
        <v>857</v>
      </c>
      <c r="AA511" t="n">
        <v>867</v>
      </c>
      <c r="AB511" t="n">
        <v>10</v>
      </c>
      <c r="AC511" t="n">
        <v>10</v>
      </c>
      <c r="AD511" t="n">
        <v>33</v>
      </c>
      <c r="AE511" t="n">
        <v>33</v>
      </c>
      <c r="AF511" t="n">
        <v>10</v>
      </c>
      <c r="AG511" t="n">
        <v>10</v>
      </c>
      <c r="AH511" t="n">
        <v>6</v>
      </c>
      <c r="AI511" t="n">
        <v>6</v>
      </c>
      <c r="AJ511" t="n">
        <v>13</v>
      </c>
      <c r="AK511" t="n">
        <v>13</v>
      </c>
      <c r="AL511" t="n">
        <v>9</v>
      </c>
      <c r="AM511" t="n">
        <v>9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HYPERLINK("https://creighton-primo.hosted.exlibrisgroup.com/primo-explore/search?tab=default_tab&amp;search_scope=EVERYTHING&amp;vid=01CRU&amp;lang=en_US&amp;offset=0&amp;query=any,contains,991001411709702656","Catalog Record")</f>
        <v/>
      </c>
      <c r="AT511">
        <f>HYPERLINK("http://www.worldcat.org/oclc/230803","WorldCat Record")</f>
        <v/>
      </c>
      <c r="AU511" t="inlineStr">
        <is>
          <t>114931583:eng</t>
        </is>
      </c>
      <c r="AV511" t="inlineStr">
        <is>
          <t>230803</t>
        </is>
      </c>
      <c r="AW511" t="inlineStr">
        <is>
          <t>991001411709702656</t>
        </is>
      </c>
      <c r="AX511" t="inlineStr">
        <is>
          <t>991001411709702656</t>
        </is>
      </c>
      <c r="AY511" t="inlineStr">
        <is>
          <t>2269341150002656</t>
        </is>
      </c>
      <c r="AZ511" t="inlineStr">
        <is>
          <t>BOOK</t>
        </is>
      </c>
      <c r="BC511" t="inlineStr">
        <is>
          <t>32285001963510</t>
        </is>
      </c>
      <c r="BD511" t="inlineStr">
        <is>
          <t>893872521</t>
        </is>
      </c>
    </row>
    <row r="512">
      <c r="A512" t="inlineStr">
        <is>
          <t>No</t>
        </is>
      </c>
      <c r="B512" t="inlineStr">
        <is>
          <t>QH366 .G97</t>
        </is>
      </c>
      <c r="C512" t="inlineStr">
        <is>
          <t>0                      QH 0366000G  97</t>
        </is>
      </c>
      <c r="D512" t="inlineStr">
        <is>
          <t>The origin of species / translated from the French by C. J. Cameron.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Guyénot, Émile, 1885-</t>
        </is>
      </c>
      <c r="L512" t="inlineStr">
        <is>
          <t>New York : Walker, [1964]</t>
        </is>
      </c>
      <c r="M512" t="inlineStr">
        <is>
          <t>1964</t>
        </is>
      </c>
      <c r="O512" t="inlineStr">
        <is>
          <t>eng</t>
        </is>
      </c>
      <c r="P512" t="inlineStr">
        <is>
          <t xml:space="preserve">xx </t>
        </is>
      </c>
      <c r="Q512" t="inlineStr">
        <is>
          <t>Walker sun books ; SB-40</t>
        </is>
      </c>
      <c r="R512" t="inlineStr">
        <is>
          <t xml:space="preserve">QH </t>
        </is>
      </c>
      <c r="S512" t="n">
        <v>5</v>
      </c>
      <c r="T512" t="n">
        <v>5</v>
      </c>
      <c r="U512" t="inlineStr">
        <is>
          <t>1994-11-22</t>
        </is>
      </c>
      <c r="V512" t="inlineStr">
        <is>
          <t>1994-11-22</t>
        </is>
      </c>
      <c r="W512" t="inlineStr">
        <is>
          <t>1994-01-14</t>
        </is>
      </c>
      <c r="X512" t="inlineStr">
        <is>
          <t>1994-01-14</t>
        </is>
      </c>
      <c r="Y512" t="n">
        <v>110</v>
      </c>
      <c r="Z512" t="n">
        <v>100</v>
      </c>
      <c r="AA512" t="n">
        <v>102</v>
      </c>
      <c r="AB512" t="n">
        <v>1</v>
      </c>
      <c r="AC512" t="n">
        <v>1</v>
      </c>
      <c r="AD512" t="n">
        <v>3</v>
      </c>
      <c r="AE512" t="n">
        <v>3</v>
      </c>
      <c r="AF512" t="n">
        <v>2</v>
      </c>
      <c r="AG512" t="n">
        <v>2</v>
      </c>
      <c r="AH512" t="n">
        <v>0</v>
      </c>
      <c r="AI512" t="n">
        <v>0</v>
      </c>
      <c r="AJ512" t="n">
        <v>2</v>
      </c>
      <c r="AK512" t="n">
        <v>2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HYPERLINK("http://catalog.hathitrust.org/Record/007157153","HathiTrust Record")</f>
        <v/>
      </c>
      <c r="AS512">
        <f>HYPERLINK("https://creighton-primo.hosted.exlibrisgroup.com/primo-explore/search?tab=default_tab&amp;search_scope=EVERYTHING&amp;vid=01CRU&amp;lang=en_US&amp;offset=0&amp;query=any,contains,991003462279702656","Catalog Record")</f>
        <v/>
      </c>
      <c r="AT512">
        <f>HYPERLINK("http://www.worldcat.org/oclc/1004245","WorldCat Record")</f>
        <v/>
      </c>
      <c r="AU512" t="inlineStr">
        <is>
          <t>1920090:eng</t>
        </is>
      </c>
      <c r="AV512" t="inlineStr">
        <is>
          <t>1004245</t>
        </is>
      </c>
      <c r="AW512" t="inlineStr">
        <is>
          <t>991003462279702656</t>
        </is>
      </c>
      <c r="AX512" t="inlineStr">
        <is>
          <t>991003462279702656</t>
        </is>
      </c>
      <c r="AY512" t="inlineStr">
        <is>
          <t>2255260610002656</t>
        </is>
      </c>
      <c r="AZ512" t="inlineStr">
        <is>
          <t>BOOK</t>
        </is>
      </c>
      <c r="BC512" t="inlineStr">
        <is>
          <t>32285001829828</t>
        </is>
      </c>
      <c r="BD512" t="inlineStr">
        <is>
          <t>893899995</t>
        </is>
      </c>
    </row>
    <row r="513">
      <c r="A513" t="inlineStr">
        <is>
          <t>No</t>
        </is>
      </c>
      <c r="B513" t="inlineStr">
        <is>
          <t>QH366 .H34</t>
        </is>
      </c>
      <c r="C513" t="inlineStr">
        <is>
          <t>0                      QH 0366000H  34</t>
        </is>
      </c>
      <c r="D513" t="inlineStr">
        <is>
          <t>The causes of evolution.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Haldane, J. B. S. (John Burdon Sanderson), 1892-1964.</t>
        </is>
      </c>
      <c r="L513" t="inlineStr">
        <is>
          <t>Ithaca, N.Y. : Cornell University Press, [1966, c1932]</t>
        </is>
      </c>
      <c r="M513" t="inlineStr">
        <is>
          <t>1966</t>
        </is>
      </c>
      <c r="O513" t="inlineStr">
        <is>
          <t>eng</t>
        </is>
      </c>
      <c r="P513" t="inlineStr">
        <is>
          <t>nyu</t>
        </is>
      </c>
      <c r="Q513" t="inlineStr">
        <is>
          <t>Cornell paperbacks ; CP-36</t>
        </is>
      </c>
      <c r="R513" t="inlineStr">
        <is>
          <t xml:space="preserve">QH </t>
        </is>
      </c>
      <c r="S513" t="n">
        <v>3</v>
      </c>
      <c r="T513" t="n">
        <v>3</v>
      </c>
      <c r="U513" t="inlineStr">
        <is>
          <t>2001-04-17</t>
        </is>
      </c>
      <c r="V513" t="inlineStr">
        <is>
          <t>2001-04-17</t>
        </is>
      </c>
      <c r="W513" t="inlineStr">
        <is>
          <t>1995-03-23</t>
        </is>
      </c>
      <c r="X513" t="inlineStr">
        <is>
          <t>1995-03-23</t>
        </is>
      </c>
      <c r="Y513" t="n">
        <v>487</v>
      </c>
      <c r="Z513" t="n">
        <v>426</v>
      </c>
      <c r="AA513" t="n">
        <v>742</v>
      </c>
      <c r="AB513" t="n">
        <v>5</v>
      </c>
      <c r="AC513" t="n">
        <v>7</v>
      </c>
      <c r="AD513" t="n">
        <v>21</v>
      </c>
      <c r="AE513" t="n">
        <v>33</v>
      </c>
      <c r="AF513" t="n">
        <v>8</v>
      </c>
      <c r="AG513" t="n">
        <v>12</v>
      </c>
      <c r="AH513" t="n">
        <v>3</v>
      </c>
      <c r="AI513" t="n">
        <v>6</v>
      </c>
      <c r="AJ513" t="n">
        <v>10</v>
      </c>
      <c r="AK513" t="n">
        <v>17</v>
      </c>
      <c r="AL513" t="n">
        <v>3</v>
      </c>
      <c r="AM513" t="n">
        <v>5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HYPERLINK("http://catalog.hathitrust.org/Record/002000654","HathiTrust Record")</f>
        <v/>
      </c>
      <c r="AS513">
        <f>HYPERLINK("https://creighton-primo.hosted.exlibrisgroup.com/primo-explore/search?tab=default_tab&amp;search_scope=EVERYTHING&amp;vid=01CRU&amp;lang=en_US&amp;offset=0&amp;query=any,contains,991001922929702656","Catalog Record")</f>
        <v/>
      </c>
      <c r="AT513">
        <f>HYPERLINK("http://www.worldcat.org/oclc/7741943","WorldCat Record")</f>
        <v/>
      </c>
      <c r="AU513" t="inlineStr">
        <is>
          <t>1398887:eng</t>
        </is>
      </c>
      <c r="AV513" t="inlineStr">
        <is>
          <t>7741943</t>
        </is>
      </c>
      <c r="AW513" t="inlineStr">
        <is>
          <t>991001922929702656</t>
        </is>
      </c>
      <c r="AX513" t="inlineStr">
        <is>
          <t>991001922929702656</t>
        </is>
      </c>
      <c r="AY513" t="inlineStr">
        <is>
          <t>2266996330002656</t>
        </is>
      </c>
      <c r="AZ513" t="inlineStr">
        <is>
          <t>BOOK</t>
        </is>
      </c>
      <c r="BC513" t="inlineStr">
        <is>
          <t>32285002013182</t>
        </is>
      </c>
      <c r="BD513" t="inlineStr">
        <is>
          <t>893697152</t>
        </is>
      </c>
    </row>
    <row r="514">
      <c r="A514" t="inlineStr">
        <is>
          <t>No</t>
        </is>
      </c>
      <c r="B514" t="inlineStr">
        <is>
          <t>QH366 .H453</t>
        </is>
      </c>
      <c r="C514" t="inlineStr">
        <is>
          <t>0                      QH 0366000H  453</t>
        </is>
      </c>
      <c r="D514" t="inlineStr">
        <is>
          <t>Process and pattern in evolution [by] Terrell H. Hamilton.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Hamilton, Terrell H.</t>
        </is>
      </c>
      <c r="L514" t="inlineStr">
        <is>
          <t>New York, Macmillan [1967]</t>
        </is>
      </c>
      <c r="M514" t="inlineStr">
        <is>
          <t>1967</t>
        </is>
      </c>
      <c r="O514" t="inlineStr">
        <is>
          <t>eng</t>
        </is>
      </c>
      <c r="P514" t="inlineStr">
        <is>
          <t>nyu</t>
        </is>
      </c>
      <c r="Q514" t="inlineStr">
        <is>
          <t>Current concepts in biology</t>
        </is>
      </c>
      <c r="R514" t="inlineStr">
        <is>
          <t xml:space="preserve">QH </t>
        </is>
      </c>
      <c r="S514" t="n">
        <v>1</v>
      </c>
      <c r="T514" t="n">
        <v>1</v>
      </c>
      <c r="U514" t="inlineStr">
        <is>
          <t>2001-11-12</t>
        </is>
      </c>
      <c r="V514" t="inlineStr">
        <is>
          <t>2001-11-12</t>
        </is>
      </c>
      <c r="W514" t="inlineStr">
        <is>
          <t>1997-07-01</t>
        </is>
      </c>
      <c r="X514" t="inlineStr">
        <is>
          <t>1997-07-01</t>
        </is>
      </c>
      <c r="Y514" t="n">
        <v>573</v>
      </c>
      <c r="Z514" t="n">
        <v>458</v>
      </c>
      <c r="AA514" t="n">
        <v>460</v>
      </c>
      <c r="AB514" t="n">
        <v>3</v>
      </c>
      <c r="AC514" t="n">
        <v>3</v>
      </c>
      <c r="AD514" t="n">
        <v>11</v>
      </c>
      <c r="AE514" t="n">
        <v>11</v>
      </c>
      <c r="AF514" t="n">
        <v>2</v>
      </c>
      <c r="AG514" t="n">
        <v>2</v>
      </c>
      <c r="AH514" t="n">
        <v>2</v>
      </c>
      <c r="AI514" t="n">
        <v>2</v>
      </c>
      <c r="AJ514" t="n">
        <v>6</v>
      </c>
      <c r="AK514" t="n">
        <v>6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HYPERLINK("http://catalog.hathitrust.org/Record/001491677","HathiTrust Record")</f>
        <v/>
      </c>
      <c r="AS514">
        <f>HYPERLINK("https://creighton-primo.hosted.exlibrisgroup.com/primo-explore/search?tab=default_tab&amp;search_scope=EVERYTHING&amp;vid=01CRU&amp;lang=en_US&amp;offset=0&amp;query=any,contains,991002002229702656","Catalog Record")</f>
        <v/>
      </c>
      <c r="AT514">
        <f>HYPERLINK("http://www.worldcat.org/oclc/256812","WorldCat Record")</f>
        <v/>
      </c>
      <c r="AU514" t="inlineStr">
        <is>
          <t>286099:eng</t>
        </is>
      </c>
      <c r="AV514" t="inlineStr">
        <is>
          <t>256812</t>
        </is>
      </c>
      <c r="AW514" t="inlineStr">
        <is>
          <t>991002002229702656</t>
        </is>
      </c>
      <c r="AX514" t="inlineStr">
        <is>
          <t>991002002229702656</t>
        </is>
      </c>
      <c r="AY514" t="inlineStr">
        <is>
          <t>2272221060002656</t>
        </is>
      </c>
      <c r="AZ514" t="inlineStr">
        <is>
          <t>BOOK</t>
        </is>
      </c>
      <c r="BC514" t="inlineStr">
        <is>
          <t>32285002869641</t>
        </is>
      </c>
      <c r="BD514" t="inlineStr">
        <is>
          <t>893709753</t>
        </is>
      </c>
    </row>
    <row r="515">
      <c r="A515" t="inlineStr">
        <is>
          <t>No</t>
        </is>
      </c>
      <c r="B515" t="inlineStr">
        <is>
          <t>QH366 .M59 1962</t>
        </is>
      </c>
      <c r="C515" t="inlineStr">
        <is>
          <t>0                      QH 0366000M  59          1962</t>
        </is>
      </c>
      <c r="D515" t="inlineStr">
        <is>
          <t>Introduction to evolution.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Moody, Paul Amos, 1903-1986.</t>
        </is>
      </c>
      <c r="L515" t="inlineStr">
        <is>
          <t>New York : Harper, [1962]</t>
        </is>
      </c>
      <c r="M515" t="inlineStr">
        <is>
          <t>1962</t>
        </is>
      </c>
      <c r="N515" t="inlineStr">
        <is>
          <t>2d ed.</t>
        </is>
      </c>
      <c r="O515" t="inlineStr">
        <is>
          <t>eng</t>
        </is>
      </c>
      <c r="P515" t="inlineStr">
        <is>
          <t xml:space="preserve">xx </t>
        </is>
      </c>
      <c r="R515" t="inlineStr">
        <is>
          <t xml:space="preserve">QH </t>
        </is>
      </c>
      <c r="S515" t="n">
        <v>4</v>
      </c>
      <c r="T515" t="n">
        <v>4</v>
      </c>
      <c r="U515" t="inlineStr">
        <is>
          <t>1996-10-01</t>
        </is>
      </c>
      <c r="V515" t="inlineStr">
        <is>
          <t>1996-10-01</t>
        </is>
      </c>
      <c r="W515" t="inlineStr">
        <is>
          <t>1994-07-12</t>
        </is>
      </c>
      <c r="X515" t="inlineStr">
        <is>
          <t>1994-07-12</t>
        </is>
      </c>
      <c r="Y515" t="n">
        <v>376</v>
      </c>
      <c r="Z515" t="n">
        <v>296</v>
      </c>
      <c r="AA515" t="n">
        <v>625</v>
      </c>
      <c r="AB515" t="n">
        <v>5</v>
      </c>
      <c r="AC515" t="n">
        <v>7</v>
      </c>
      <c r="AD515" t="n">
        <v>12</v>
      </c>
      <c r="AE515" t="n">
        <v>24</v>
      </c>
      <c r="AF515" t="n">
        <v>4</v>
      </c>
      <c r="AG515" t="n">
        <v>9</v>
      </c>
      <c r="AH515" t="n">
        <v>0</v>
      </c>
      <c r="AI515" t="n">
        <v>2</v>
      </c>
      <c r="AJ515" t="n">
        <v>4</v>
      </c>
      <c r="AK515" t="n">
        <v>12</v>
      </c>
      <c r="AL515" t="n">
        <v>4</v>
      </c>
      <c r="AM515" t="n">
        <v>6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HYPERLINK("http://catalog.hathitrust.org/Record/001491702","HathiTrust Record")</f>
        <v/>
      </c>
      <c r="AS515">
        <f>HYPERLINK("https://creighton-primo.hosted.exlibrisgroup.com/primo-explore/search?tab=default_tab&amp;search_scope=EVERYTHING&amp;vid=01CRU&amp;lang=en_US&amp;offset=0&amp;query=any,contains,991002973949702656","Catalog Record")</f>
        <v/>
      </c>
      <c r="AT515">
        <f>HYPERLINK("http://www.worldcat.org/oclc/47626049","WorldCat Record")</f>
        <v/>
      </c>
      <c r="AU515" t="inlineStr">
        <is>
          <t>1297178:eng</t>
        </is>
      </c>
      <c r="AV515" t="inlineStr">
        <is>
          <t>47626049</t>
        </is>
      </c>
      <c r="AW515" t="inlineStr">
        <is>
          <t>991002973949702656</t>
        </is>
      </c>
      <c r="AX515" t="inlineStr">
        <is>
          <t>991002973949702656</t>
        </is>
      </c>
      <c r="AY515" t="inlineStr">
        <is>
          <t>2258114070002656</t>
        </is>
      </c>
      <c r="AZ515" t="inlineStr">
        <is>
          <t>BOOK</t>
        </is>
      </c>
      <c r="BC515" t="inlineStr">
        <is>
          <t>32285001936409</t>
        </is>
      </c>
      <c r="BD515" t="inlineStr">
        <is>
          <t>893422021</t>
        </is>
      </c>
    </row>
    <row r="516">
      <c r="A516" t="inlineStr">
        <is>
          <t>No</t>
        </is>
      </c>
      <c r="B516" t="inlineStr">
        <is>
          <t>QH366 .N4 1925</t>
        </is>
      </c>
      <c r="C516" t="inlineStr">
        <is>
          <t>0                      QH 0366000N  4           1925</t>
        </is>
      </c>
      <c r="D516" t="inlineStr">
        <is>
          <t>Evolution, genetics and eugenics, by Horatio Hackett Newman ...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Newman, Horatio Hackett, 1875-1957 editor.</t>
        </is>
      </c>
      <c r="L516" t="inlineStr">
        <is>
          <t>Chicago, Ill., The University of Chicago press [1925]</t>
        </is>
      </c>
      <c r="M516" t="inlineStr">
        <is>
          <t>1925</t>
        </is>
      </c>
      <c r="O516" t="inlineStr">
        <is>
          <t>eng</t>
        </is>
      </c>
      <c r="P516" t="inlineStr">
        <is>
          <t>ilu</t>
        </is>
      </c>
      <c r="R516" t="inlineStr">
        <is>
          <t xml:space="preserve">QH </t>
        </is>
      </c>
      <c r="S516" t="n">
        <v>2</v>
      </c>
      <c r="T516" t="n">
        <v>2</v>
      </c>
      <c r="U516" t="inlineStr">
        <is>
          <t>2002-01-28</t>
        </is>
      </c>
      <c r="V516" t="inlineStr">
        <is>
          <t>2002-01-28</t>
        </is>
      </c>
      <c r="W516" t="inlineStr">
        <is>
          <t>1997-07-01</t>
        </is>
      </c>
      <c r="X516" t="inlineStr">
        <is>
          <t>1997-07-01</t>
        </is>
      </c>
      <c r="Y516" t="n">
        <v>198</v>
      </c>
      <c r="Z516" t="n">
        <v>187</v>
      </c>
      <c r="AA516" t="n">
        <v>605</v>
      </c>
      <c r="AB516" t="n">
        <v>2</v>
      </c>
      <c r="AC516" t="n">
        <v>5</v>
      </c>
      <c r="AD516" t="n">
        <v>11</v>
      </c>
      <c r="AE516" t="n">
        <v>25</v>
      </c>
      <c r="AF516" t="n">
        <v>5</v>
      </c>
      <c r="AG516" t="n">
        <v>9</v>
      </c>
      <c r="AH516" t="n">
        <v>1</v>
      </c>
      <c r="AI516" t="n">
        <v>5</v>
      </c>
      <c r="AJ516" t="n">
        <v>6</v>
      </c>
      <c r="AK516" t="n">
        <v>13</v>
      </c>
      <c r="AL516" t="n">
        <v>1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HYPERLINK("https://creighton-primo.hosted.exlibrisgroup.com/primo-explore/search?tab=default_tab&amp;search_scope=EVERYTHING&amp;vid=01CRU&amp;lang=en_US&amp;offset=0&amp;query=any,contains,991001213289702656","Catalog Record")</f>
        <v/>
      </c>
      <c r="AT516">
        <f>HYPERLINK("http://www.worldcat.org/oclc/17411924","WorldCat Record")</f>
        <v/>
      </c>
      <c r="AU516" t="inlineStr">
        <is>
          <t>5394000:eng</t>
        </is>
      </c>
      <c r="AV516" t="inlineStr">
        <is>
          <t>17411924</t>
        </is>
      </c>
      <c r="AW516" t="inlineStr">
        <is>
          <t>991001213289702656</t>
        </is>
      </c>
      <c r="AX516" t="inlineStr">
        <is>
          <t>991001213289702656</t>
        </is>
      </c>
      <c r="AY516" t="inlineStr">
        <is>
          <t>2266255350002656</t>
        </is>
      </c>
      <c r="AZ516" t="inlineStr">
        <is>
          <t>BOOK</t>
        </is>
      </c>
      <c r="BC516" t="inlineStr">
        <is>
          <t>32285002869716</t>
        </is>
      </c>
      <c r="BD516" t="inlineStr">
        <is>
          <t>893702842</t>
        </is>
      </c>
    </row>
    <row r="517">
      <c r="A517" t="inlineStr">
        <is>
          <t>No</t>
        </is>
      </c>
      <c r="B517" t="inlineStr">
        <is>
          <t>QH366 .S4</t>
        </is>
      </c>
      <c r="C517" t="inlineStr">
        <is>
          <t>0                      QH 0366000S  4</t>
        </is>
      </c>
      <c r="D517" t="inlineStr">
        <is>
          <t>The theory of evolution : with special reference to the evidence upon which it is founded / by William Berryman Scott.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Scott, William Berryman, 1858-1947.</t>
        </is>
      </c>
      <c r="L517" t="inlineStr">
        <is>
          <t>New York : The Macmillan company, 1917.</t>
        </is>
      </c>
      <c r="M517" t="inlineStr">
        <is>
          <t>1917</t>
        </is>
      </c>
      <c r="O517" t="inlineStr">
        <is>
          <t>eng</t>
        </is>
      </c>
      <c r="P517" t="inlineStr">
        <is>
          <t>nyu</t>
        </is>
      </c>
      <c r="Q517" t="inlineStr">
        <is>
          <t>Richard Westbrook lectures of the Wagner free institute, Philadelphia</t>
        </is>
      </c>
      <c r="R517" t="inlineStr">
        <is>
          <t xml:space="preserve">QH </t>
        </is>
      </c>
      <c r="S517" t="n">
        <v>2</v>
      </c>
      <c r="T517" t="n">
        <v>2</v>
      </c>
      <c r="U517" t="inlineStr">
        <is>
          <t>1996-09-30</t>
        </is>
      </c>
      <c r="V517" t="inlineStr">
        <is>
          <t>1996-09-30</t>
        </is>
      </c>
      <c r="W517" t="inlineStr">
        <is>
          <t>1995-03-23</t>
        </is>
      </c>
      <c r="X517" t="inlineStr">
        <is>
          <t>1995-03-23</t>
        </is>
      </c>
      <c r="Y517" t="n">
        <v>229</v>
      </c>
      <c r="Z517" t="n">
        <v>215</v>
      </c>
      <c r="AA517" t="n">
        <v>349</v>
      </c>
      <c r="AB517" t="n">
        <v>3</v>
      </c>
      <c r="AC517" t="n">
        <v>4</v>
      </c>
      <c r="AD517" t="n">
        <v>7</v>
      </c>
      <c r="AE517" t="n">
        <v>13</v>
      </c>
      <c r="AF517" t="n">
        <v>3</v>
      </c>
      <c r="AG517" t="n">
        <v>5</v>
      </c>
      <c r="AH517" t="n">
        <v>0</v>
      </c>
      <c r="AI517" t="n">
        <v>1</v>
      </c>
      <c r="AJ517" t="n">
        <v>3</v>
      </c>
      <c r="AK517" t="n">
        <v>6</v>
      </c>
      <c r="AL517" t="n">
        <v>2</v>
      </c>
      <c r="AM517" t="n">
        <v>3</v>
      </c>
      <c r="AN517" t="n">
        <v>0</v>
      </c>
      <c r="AO517" t="n">
        <v>1</v>
      </c>
      <c r="AP517" t="inlineStr">
        <is>
          <t>Yes</t>
        </is>
      </c>
      <c r="AQ517" t="inlineStr">
        <is>
          <t>No</t>
        </is>
      </c>
      <c r="AR517">
        <f>HYPERLINK("http://catalog.hathitrust.org/Record/001491729","HathiTrust Record")</f>
        <v/>
      </c>
      <c r="AS517">
        <f>HYPERLINK("https://creighton-primo.hosted.exlibrisgroup.com/primo-explore/search?tab=default_tab&amp;search_scope=EVERYTHING&amp;vid=01CRU&amp;lang=en_US&amp;offset=0&amp;query=any,contains,991004515019702656","Catalog Record")</f>
        <v/>
      </c>
      <c r="AT517">
        <f>HYPERLINK("http://www.worldcat.org/oclc/3782915","WorldCat Record")</f>
        <v/>
      </c>
      <c r="AU517" t="inlineStr">
        <is>
          <t>2344003:eng</t>
        </is>
      </c>
      <c r="AV517" t="inlineStr">
        <is>
          <t>3782915</t>
        </is>
      </c>
      <c r="AW517" t="inlineStr">
        <is>
          <t>991004515019702656</t>
        </is>
      </c>
      <c r="AX517" t="inlineStr">
        <is>
          <t>991004515019702656</t>
        </is>
      </c>
      <c r="AY517" t="inlineStr">
        <is>
          <t>2259181890002656</t>
        </is>
      </c>
      <c r="AZ517" t="inlineStr">
        <is>
          <t>BOOK</t>
        </is>
      </c>
      <c r="BC517" t="inlineStr">
        <is>
          <t>32285002013554</t>
        </is>
      </c>
      <c r="BD517" t="inlineStr">
        <is>
          <t>893801039</t>
        </is>
      </c>
    </row>
    <row r="518">
      <c r="A518" t="inlineStr">
        <is>
          <t>No</t>
        </is>
      </c>
      <c r="B518" t="inlineStr">
        <is>
          <t>QH366 .S47 1960</t>
        </is>
      </c>
      <c r="C518" t="inlineStr">
        <is>
          <t>0                      QH 0366000S  47          1960</t>
        </is>
      </c>
      <c r="D518" t="inlineStr">
        <is>
          <t>Natural selection and heredity / [by] P. M. Sheppard.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Sheppard, P. M. (Philip MacDonald)</t>
        </is>
      </c>
      <c r="L518" t="inlineStr">
        <is>
          <t>new York : Harper &amp; Row, [1960]</t>
        </is>
      </c>
      <c r="M518" t="inlineStr">
        <is>
          <t>1960</t>
        </is>
      </c>
      <c r="O518" t="inlineStr">
        <is>
          <t>eng</t>
        </is>
      </c>
      <c r="P518" t="inlineStr">
        <is>
          <t xml:space="preserve">xx </t>
        </is>
      </c>
      <c r="Q518" t="inlineStr">
        <is>
          <t>Harper Torchbooks/The Science Library</t>
        </is>
      </c>
      <c r="R518" t="inlineStr">
        <is>
          <t xml:space="preserve">QH </t>
        </is>
      </c>
      <c r="S518" t="n">
        <v>6</v>
      </c>
      <c r="T518" t="n">
        <v>6</v>
      </c>
      <c r="U518" t="inlineStr">
        <is>
          <t>1996-09-30</t>
        </is>
      </c>
      <c r="V518" t="inlineStr">
        <is>
          <t>1996-09-30</t>
        </is>
      </c>
      <c r="W518" t="inlineStr">
        <is>
          <t>1995-03-23</t>
        </is>
      </c>
      <c r="X518" t="inlineStr">
        <is>
          <t>1995-03-23</t>
        </is>
      </c>
      <c r="Y518" t="n">
        <v>175</v>
      </c>
      <c r="Z518" t="n">
        <v>158</v>
      </c>
      <c r="AA518" t="n">
        <v>623</v>
      </c>
      <c r="AB518" t="n">
        <v>3</v>
      </c>
      <c r="AC518" t="n">
        <v>4</v>
      </c>
      <c r="AD518" t="n">
        <v>7</v>
      </c>
      <c r="AE518" t="n">
        <v>22</v>
      </c>
      <c r="AF518" t="n">
        <v>3</v>
      </c>
      <c r="AG518" t="n">
        <v>7</v>
      </c>
      <c r="AH518" t="n">
        <v>0</v>
      </c>
      <c r="AI518" t="n">
        <v>3</v>
      </c>
      <c r="AJ518" t="n">
        <v>3</v>
      </c>
      <c r="AK518" t="n">
        <v>14</v>
      </c>
      <c r="AL518" t="n">
        <v>2</v>
      </c>
      <c r="AM518" t="n">
        <v>3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R518">
        <f>HYPERLINK("http://catalog.hathitrust.org/Record/002001274","HathiTrust Record")</f>
        <v/>
      </c>
      <c r="AS518">
        <f>HYPERLINK("https://creighton-primo.hosted.exlibrisgroup.com/primo-explore/search?tab=default_tab&amp;search_scope=EVERYTHING&amp;vid=01CRU&amp;lang=en_US&amp;offset=0&amp;query=any,contains,991003382599702656","Catalog Record")</f>
        <v/>
      </c>
      <c r="AT518">
        <f>HYPERLINK("http://www.worldcat.org/oclc/919581","WorldCat Record")</f>
        <v/>
      </c>
      <c r="AU518" t="inlineStr">
        <is>
          <t>408227:eng</t>
        </is>
      </c>
      <c r="AV518" t="inlineStr">
        <is>
          <t>919581</t>
        </is>
      </c>
      <c r="AW518" t="inlineStr">
        <is>
          <t>991003382599702656</t>
        </is>
      </c>
      <c r="AX518" t="inlineStr">
        <is>
          <t>991003382599702656</t>
        </is>
      </c>
      <c r="AY518" t="inlineStr">
        <is>
          <t>2261010850002656</t>
        </is>
      </c>
      <c r="AZ518" t="inlineStr">
        <is>
          <t>BOOK</t>
        </is>
      </c>
      <c r="BC518" t="inlineStr">
        <is>
          <t>32285002013174</t>
        </is>
      </c>
      <c r="BD518" t="inlineStr">
        <is>
          <t>893893681</t>
        </is>
      </c>
    </row>
    <row r="519">
      <c r="A519" t="inlineStr">
        <is>
          <t>No</t>
        </is>
      </c>
      <c r="B519" t="inlineStr">
        <is>
          <t>QH366 .S58 1967</t>
        </is>
      </c>
      <c r="C519" t="inlineStr">
        <is>
          <t>0                      QH 0366000S  58          1967</t>
        </is>
      </c>
      <c r="D519" t="inlineStr">
        <is>
          <t>The meaning of evolution : a study of the history of life and of its significance for man / by George Gaylord Simpson.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Yes</t>
        </is>
      </c>
      <c r="J519" t="inlineStr">
        <is>
          <t>0</t>
        </is>
      </c>
      <c r="K519" t="inlineStr">
        <is>
          <t>Simpson, George Gaylord, 1902-1984.</t>
        </is>
      </c>
      <c r="L519" t="inlineStr">
        <is>
          <t>New Haven : Yale Univ. Press, 1967.</t>
        </is>
      </c>
      <c r="M519" t="inlineStr">
        <is>
          <t>1967</t>
        </is>
      </c>
      <c r="N519" t="inlineStr">
        <is>
          <t>Rev. ed.</t>
        </is>
      </c>
      <c r="O519" t="inlineStr">
        <is>
          <t>eng</t>
        </is>
      </c>
      <c r="P519" t="inlineStr">
        <is>
          <t>ctu</t>
        </is>
      </c>
      <c r="Q519" t="inlineStr">
        <is>
          <t>The Terry lectures</t>
        </is>
      </c>
      <c r="R519" t="inlineStr">
        <is>
          <t xml:space="preserve">QH </t>
        </is>
      </c>
      <c r="S519" t="n">
        <v>1</v>
      </c>
      <c r="T519" t="n">
        <v>1</v>
      </c>
      <c r="U519" t="inlineStr">
        <is>
          <t>2008-12-03</t>
        </is>
      </c>
      <c r="V519" t="inlineStr">
        <is>
          <t>2008-12-03</t>
        </is>
      </c>
      <c r="W519" t="inlineStr">
        <is>
          <t>2008-12-03</t>
        </is>
      </c>
      <c r="X519" t="inlineStr">
        <is>
          <t>2008-12-03</t>
        </is>
      </c>
      <c r="Y519" t="n">
        <v>374</v>
      </c>
      <c r="Z519" t="n">
        <v>312</v>
      </c>
      <c r="AA519" t="n">
        <v>1457</v>
      </c>
      <c r="AB519" t="n">
        <v>1</v>
      </c>
      <c r="AC519" t="n">
        <v>7</v>
      </c>
      <c r="AD519" t="n">
        <v>8</v>
      </c>
      <c r="AE519" t="n">
        <v>50</v>
      </c>
      <c r="AF519" t="n">
        <v>5</v>
      </c>
      <c r="AG519" t="n">
        <v>21</v>
      </c>
      <c r="AH519" t="n">
        <v>0</v>
      </c>
      <c r="AI519" t="n">
        <v>11</v>
      </c>
      <c r="AJ519" t="n">
        <v>5</v>
      </c>
      <c r="AK519" t="n">
        <v>26</v>
      </c>
      <c r="AL519" t="n">
        <v>0</v>
      </c>
      <c r="AM519" t="n">
        <v>6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HYPERLINK("https://creighton-primo.hosted.exlibrisgroup.com/primo-explore/search?tab=default_tab&amp;search_scope=EVERYTHING&amp;vid=01CRU&amp;lang=en_US&amp;offset=0&amp;query=any,contains,991005279639702656","Catalog Record")</f>
        <v/>
      </c>
      <c r="AT519">
        <f>HYPERLINK("http://www.worldcat.org/oclc/2436282","WorldCat Record")</f>
        <v/>
      </c>
      <c r="AU519" t="inlineStr">
        <is>
          <t>197428631:eng</t>
        </is>
      </c>
      <c r="AV519" t="inlineStr">
        <is>
          <t>2436282</t>
        </is>
      </c>
      <c r="AW519" t="inlineStr">
        <is>
          <t>991005279639702656</t>
        </is>
      </c>
      <c r="AX519" t="inlineStr">
        <is>
          <t>991005279639702656</t>
        </is>
      </c>
      <c r="AY519" t="inlineStr">
        <is>
          <t>2263067480002656</t>
        </is>
      </c>
      <c r="AZ519" t="inlineStr">
        <is>
          <t>BOOK</t>
        </is>
      </c>
      <c r="BC519" t="inlineStr">
        <is>
          <t>32285005469738</t>
        </is>
      </c>
      <c r="BD519" t="inlineStr">
        <is>
          <t>893431165</t>
        </is>
      </c>
    </row>
    <row r="520">
      <c r="A520" t="inlineStr">
        <is>
          <t>No</t>
        </is>
      </c>
      <c r="B520" t="inlineStr">
        <is>
          <t>QH366 .W44</t>
        </is>
      </c>
      <c r="C520" t="inlineStr">
        <is>
          <t>0                      QH 0366000W  44</t>
        </is>
      </c>
      <c r="D520" t="inlineStr">
        <is>
          <t>The course of evolution / [by] J. Marvin Weller. Illustrated by Harriet Weller.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Weller, J. Marvin (James Marvin), 1899-1976.</t>
        </is>
      </c>
      <c r="L520" t="inlineStr">
        <is>
          <t>New York : McGraw-Hill, [1969]</t>
        </is>
      </c>
      <c r="M520" t="inlineStr">
        <is>
          <t>1969</t>
        </is>
      </c>
      <c r="O520" t="inlineStr">
        <is>
          <t>eng</t>
        </is>
      </c>
      <c r="P520" t="inlineStr">
        <is>
          <t>nyu</t>
        </is>
      </c>
      <c r="Q520" t="inlineStr">
        <is>
          <t>McGraw-Hill series in population biology</t>
        </is>
      </c>
      <c r="R520" t="inlineStr">
        <is>
          <t xml:space="preserve">QH </t>
        </is>
      </c>
      <c r="S520" t="n">
        <v>1</v>
      </c>
      <c r="T520" t="n">
        <v>1</v>
      </c>
      <c r="U520" t="inlineStr">
        <is>
          <t>2001-02-19</t>
        </is>
      </c>
      <c r="V520" t="inlineStr">
        <is>
          <t>2001-02-19</t>
        </is>
      </c>
      <c r="W520" t="inlineStr">
        <is>
          <t>1994-02-24</t>
        </is>
      </c>
      <c r="X520" t="inlineStr">
        <is>
          <t>1994-02-24</t>
        </is>
      </c>
      <c r="Y520" t="n">
        <v>556</v>
      </c>
      <c r="Z520" t="n">
        <v>450</v>
      </c>
      <c r="AA520" t="n">
        <v>456</v>
      </c>
      <c r="AB520" t="n">
        <v>5</v>
      </c>
      <c r="AC520" t="n">
        <v>5</v>
      </c>
      <c r="AD520" t="n">
        <v>17</v>
      </c>
      <c r="AE520" t="n">
        <v>17</v>
      </c>
      <c r="AF520" t="n">
        <v>8</v>
      </c>
      <c r="AG520" t="n">
        <v>8</v>
      </c>
      <c r="AH520" t="n">
        <v>3</v>
      </c>
      <c r="AI520" t="n">
        <v>3</v>
      </c>
      <c r="AJ520" t="n">
        <v>8</v>
      </c>
      <c r="AK520" t="n">
        <v>8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HYPERLINK("http://catalog.hathitrust.org/Record/002000877","HathiTrust Record")</f>
        <v/>
      </c>
      <c r="AS520">
        <f>HYPERLINK("https://creighton-primo.hosted.exlibrisgroup.com/primo-explore/search?tab=default_tab&amp;search_scope=EVERYTHING&amp;vid=01CRU&amp;lang=en_US&amp;offset=0&amp;query=any,contains,991005436209702656","Catalog Record")</f>
        <v/>
      </c>
      <c r="AT520">
        <f>HYPERLINK("http://www.worldcat.org/oclc/4218","WorldCat Record")</f>
        <v/>
      </c>
      <c r="AU520" t="inlineStr">
        <is>
          <t>190838309:eng</t>
        </is>
      </c>
      <c r="AV520" t="inlineStr">
        <is>
          <t>4218</t>
        </is>
      </c>
      <c r="AW520" t="inlineStr">
        <is>
          <t>991005436209702656</t>
        </is>
      </c>
      <c r="AX520" t="inlineStr">
        <is>
          <t>991005436209702656</t>
        </is>
      </c>
      <c r="AY520" t="inlineStr">
        <is>
          <t>2266204760002656</t>
        </is>
      </c>
      <c r="AZ520" t="inlineStr">
        <is>
          <t>BOOK</t>
        </is>
      </c>
      <c r="BC520" t="inlineStr">
        <is>
          <t>32285001850147</t>
        </is>
      </c>
      <c r="BD520" t="inlineStr">
        <is>
          <t>893701613</t>
        </is>
      </c>
    </row>
    <row r="521">
      <c r="A521" t="inlineStr">
        <is>
          <t>No</t>
        </is>
      </c>
      <c r="B521" t="inlineStr">
        <is>
          <t>QH366.2 .A53 2009</t>
        </is>
      </c>
      <c r="C521" t="inlineStr">
        <is>
          <t>0                      QH 0366200A  53          2009</t>
        </is>
      </c>
      <c r="D521" t="inlineStr">
        <is>
          <t>Animal evolution : genomes, fossils, and trees / edited by Maximilian J. Telford and D.T.J. Littlewood.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Oxford ; New York : Oxford University Press, 2009.</t>
        </is>
      </c>
      <c r="M521" t="inlineStr">
        <is>
          <t>2009</t>
        </is>
      </c>
      <c r="O521" t="inlineStr">
        <is>
          <t>eng</t>
        </is>
      </c>
      <c r="P521" t="inlineStr">
        <is>
          <t>enk</t>
        </is>
      </c>
      <c r="Q521" t="inlineStr">
        <is>
          <t>Oxford biology</t>
        </is>
      </c>
      <c r="R521" t="inlineStr">
        <is>
          <t xml:space="preserve">QH </t>
        </is>
      </c>
      <c r="S521" t="n">
        <v>1</v>
      </c>
      <c r="T521" t="n">
        <v>1</v>
      </c>
      <c r="U521" t="inlineStr">
        <is>
          <t>2010-05-17</t>
        </is>
      </c>
      <c r="V521" t="inlineStr">
        <is>
          <t>2010-05-17</t>
        </is>
      </c>
      <c r="W521" t="inlineStr">
        <is>
          <t>2010-05-17</t>
        </is>
      </c>
      <c r="X521" t="inlineStr">
        <is>
          <t>2010-05-17</t>
        </is>
      </c>
      <c r="Y521" t="n">
        <v>208</v>
      </c>
      <c r="Z521" t="n">
        <v>153</v>
      </c>
      <c r="AA521" t="n">
        <v>232</v>
      </c>
      <c r="AB521" t="n">
        <v>2</v>
      </c>
      <c r="AC521" t="n">
        <v>2</v>
      </c>
      <c r="AD521" t="n">
        <v>8</v>
      </c>
      <c r="AE521" t="n">
        <v>12</v>
      </c>
      <c r="AF521" t="n">
        <v>5</v>
      </c>
      <c r="AG521" t="n">
        <v>5</v>
      </c>
      <c r="AH521" t="n">
        <v>1</v>
      </c>
      <c r="AI521" t="n">
        <v>5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HYPERLINK("http://catalog.hathitrust.org/Record/006958076","HathiTrust Record")</f>
        <v/>
      </c>
      <c r="AS521">
        <f>HYPERLINK("https://creighton-primo.hosted.exlibrisgroup.com/primo-explore/search?tab=default_tab&amp;search_scope=EVERYTHING&amp;vid=01CRU&amp;lang=en_US&amp;offset=0&amp;query=any,contains,991005394999702656","Catalog Record")</f>
        <v/>
      </c>
      <c r="AT521">
        <f>HYPERLINK("http://www.worldcat.org/oclc/313664910","WorldCat Record")</f>
        <v/>
      </c>
      <c r="AU521" t="inlineStr">
        <is>
          <t>793953128:eng</t>
        </is>
      </c>
      <c r="AV521" t="inlineStr">
        <is>
          <t>313664910</t>
        </is>
      </c>
      <c r="AW521" t="inlineStr">
        <is>
          <t>991005394999702656</t>
        </is>
      </c>
      <c r="AX521" t="inlineStr">
        <is>
          <t>991005394999702656</t>
        </is>
      </c>
      <c r="AY521" t="inlineStr">
        <is>
          <t>2264087770002656</t>
        </is>
      </c>
      <c r="AZ521" t="inlineStr">
        <is>
          <t>BOOK</t>
        </is>
      </c>
      <c r="BB521" t="inlineStr">
        <is>
          <t>9780199549429</t>
        </is>
      </c>
      <c r="BC521" t="inlineStr">
        <is>
          <t>32285005583868</t>
        </is>
      </c>
      <c r="BD521" t="inlineStr">
        <is>
          <t>893896378</t>
        </is>
      </c>
    </row>
    <row r="522">
      <c r="A522" t="inlineStr">
        <is>
          <t>No</t>
        </is>
      </c>
      <c r="B522" t="inlineStr">
        <is>
          <t>QH366.2 .A933 1989</t>
        </is>
      </c>
      <c r="C522" t="inlineStr">
        <is>
          <t>0                      QH 0366200A  933         1989</t>
        </is>
      </c>
      <c r="D522" t="inlineStr">
        <is>
          <t>Process and pattern in evolution / Charlotte J. Avers.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Avers, Charlotte J.</t>
        </is>
      </c>
      <c r="L522" t="inlineStr">
        <is>
          <t>New York : Oxford University Press, 1989.</t>
        </is>
      </c>
      <c r="M522" t="inlineStr">
        <is>
          <t>1989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QH </t>
        </is>
      </c>
      <c r="S522" t="n">
        <v>9</v>
      </c>
      <c r="T522" t="n">
        <v>9</v>
      </c>
      <c r="U522" t="inlineStr">
        <is>
          <t>2002-02-28</t>
        </is>
      </c>
      <c r="V522" t="inlineStr">
        <is>
          <t>2002-02-28</t>
        </is>
      </c>
      <c r="W522" t="inlineStr">
        <is>
          <t>1990-04-17</t>
        </is>
      </c>
      <c r="X522" t="inlineStr">
        <is>
          <t>1990-04-17</t>
        </is>
      </c>
      <c r="Y522" t="n">
        <v>550</v>
      </c>
      <c r="Z522" t="n">
        <v>418</v>
      </c>
      <c r="AA522" t="n">
        <v>423</v>
      </c>
      <c r="AB522" t="n">
        <v>6</v>
      </c>
      <c r="AC522" t="n">
        <v>6</v>
      </c>
      <c r="AD522" t="n">
        <v>25</v>
      </c>
      <c r="AE522" t="n">
        <v>25</v>
      </c>
      <c r="AF522" t="n">
        <v>8</v>
      </c>
      <c r="AG522" t="n">
        <v>8</v>
      </c>
      <c r="AH522" t="n">
        <v>4</v>
      </c>
      <c r="AI522" t="n">
        <v>4</v>
      </c>
      <c r="AJ522" t="n">
        <v>14</v>
      </c>
      <c r="AK522" t="n">
        <v>14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HYPERLINK("https://creighton-primo.hosted.exlibrisgroup.com/primo-explore/search?tab=default_tab&amp;search_scope=EVERYTHING&amp;vid=01CRU&amp;lang=en_US&amp;offset=0&amp;query=any,contains,991001251889702656","Catalog Record")</f>
        <v/>
      </c>
      <c r="AT522">
        <f>HYPERLINK("http://www.worldcat.org/oclc/17677554","WorldCat Record")</f>
        <v/>
      </c>
      <c r="AU522" t="inlineStr">
        <is>
          <t>15834364:eng</t>
        </is>
      </c>
      <c r="AV522" t="inlineStr">
        <is>
          <t>17677554</t>
        </is>
      </c>
      <c r="AW522" t="inlineStr">
        <is>
          <t>991001251889702656</t>
        </is>
      </c>
      <c r="AX522" t="inlineStr">
        <is>
          <t>991001251889702656</t>
        </is>
      </c>
      <c r="AY522" t="inlineStr">
        <is>
          <t>2260333270002656</t>
        </is>
      </c>
      <c r="AZ522" t="inlineStr">
        <is>
          <t>BOOK</t>
        </is>
      </c>
      <c r="BB522" t="inlineStr">
        <is>
          <t>9780195052756</t>
        </is>
      </c>
      <c r="BC522" t="inlineStr">
        <is>
          <t>32285000102508</t>
        </is>
      </c>
      <c r="BD522" t="inlineStr">
        <is>
          <t>893321780</t>
        </is>
      </c>
    </row>
    <row r="523">
      <c r="A523" t="inlineStr">
        <is>
          <t>No</t>
        </is>
      </c>
      <c r="B523" t="inlineStr">
        <is>
          <t>QH366.2 .C34 1983</t>
        </is>
      </c>
      <c r="C523" t="inlineStr">
        <is>
          <t>0                      QH 0366200C  34          1983</t>
        </is>
      </c>
      <c r="D523" t="inlineStr">
        <is>
          <t>Evolutionary principles / Peter Calow.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Calow, Peter.</t>
        </is>
      </c>
      <c r="L523" t="inlineStr">
        <is>
          <t>Glasgow : Blackie ; New York : Distributed in the USA by Chapman and Hall, 1983.</t>
        </is>
      </c>
      <c r="M523" t="inlineStr">
        <is>
          <t>1983</t>
        </is>
      </c>
      <c r="O523" t="inlineStr">
        <is>
          <t>eng</t>
        </is>
      </c>
      <c r="P523" t="inlineStr">
        <is>
          <t>stk</t>
        </is>
      </c>
      <c r="Q523" t="inlineStr">
        <is>
          <t>Tertiary level biology</t>
        </is>
      </c>
      <c r="R523" t="inlineStr">
        <is>
          <t xml:space="preserve">QH </t>
        </is>
      </c>
      <c r="S523" t="n">
        <v>4</v>
      </c>
      <c r="T523" t="n">
        <v>4</v>
      </c>
      <c r="U523" t="inlineStr">
        <is>
          <t>2006-11-14</t>
        </is>
      </c>
      <c r="V523" t="inlineStr">
        <is>
          <t>2006-11-14</t>
        </is>
      </c>
      <c r="W523" t="inlineStr">
        <is>
          <t>1993-03-29</t>
        </is>
      </c>
      <c r="X523" t="inlineStr">
        <is>
          <t>1993-03-29</t>
        </is>
      </c>
      <c r="Y523" t="n">
        <v>255</v>
      </c>
      <c r="Z523" t="n">
        <v>138</v>
      </c>
      <c r="AA523" t="n">
        <v>158</v>
      </c>
      <c r="AB523" t="n">
        <v>3</v>
      </c>
      <c r="AC523" t="n">
        <v>3</v>
      </c>
      <c r="AD523" t="n">
        <v>5</v>
      </c>
      <c r="AE523" t="n">
        <v>6</v>
      </c>
      <c r="AF523" t="n">
        <v>0</v>
      </c>
      <c r="AG523" t="n">
        <v>1</v>
      </c>
      <c r="AH523" t="n">
        <v>1</v>
      </c>
      <c r="AI523" t="n">
        <v>1</v>
      </c>
      <c r="AJ523" t="n">
        <v>3</v>
      </c>
      <c r="AK523" t="n">
        <v>4</v>
      </c>
      <c r="AL523" t="n">
        <v>2</v>
      </c>
      <c r="AM523" t="n">
        <v>2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HYPERLINK("http://catalog.hathitrust.org/Record/000246074","HathiTrust Record")</f>
        <v/>
      </c>
      <c r="AS523">
        <f>HYPERLINK("https://creighton-primo.hosted.exlibrisgroup.com/primo-explore/search?tab=default_tab&amp;search_scope=EVERYTHING&amp;vid=01CRU&amp;lang=en_US&amp;offset=0&amp;query=any,contains,991000082269702656","Catalog Record")</f>
        <v/>
      </c>
      <c r="AT523">
        <f>HYPERLINK("http://www.worldcat.org/oclc/8845587","WorldCat Record")</f>
        <v/>
      </c>
      <c r="AU523" t="inlineStr">
        <is>
          <t>43230023:eng</t>
        </is>
      </c>
      <c r="AV523" t="inlineStr">
        <is>
          <t>8845587</t>
        </is>
      </c>
      <c r="AW523" t="inlineStr">
        <is>
          <t>991000082269702656</t>
        </is>
      </c>
      <c r="AX523" t="inlineStr">
        <is>
          <t>991000082269702656</t>
        </is>
      </c>
      <c r="AY523" t="inlineStr">
        <is>
          <t>2255209290002656</t>
        </is>
      </c>
      <c r="AZ523" t="inlineStr">
        <is>
          <t>BOOK</t>
        </is>
      </c>
      <c r="BB523" t="inlineStr">
        <is>
          <t>9780412003318</t>
        </is>
      </c>
      <c r="BC523" t="inlineStr">
        <is>
          <t>32285001553618</t>
        </is>
      </c>
      <c r="BD523" t="inlineStr">
        <is>
          <t>893714273</t>
        </is>
      </c>
    </row>
    <row r="524">
      <c r="A524" t="inlineStr">
        <is>
          <t>No</t>
        </is>
      </c>
      <c r="B524" t="inlineStr">
        <is>
          <t>QH366.2 .C35 1972</t>
        </is>
      </c>
      <c r="C524" t="inlineStr">
        <is>
          <t>0                      QH 0366200C  35          1972</t>
        </is>
      </c>
      <c r="D524" t="inlineStr">
        <is>
          <t>Sexual selection and the descent of man, 1871-1971 / edited by Bernard Campbell.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Campbell, Bernard Grant.</t>
        </is>
      </c>
      <c r="L524" t="inlineStr">
        <is>
          <t>Chicago : Aldine Pub. Co., [1972]</t>
        </is>
      </c>
      <c r="M524" t="inlineStr">
        <is>
          <t>1972</t>
        </is>
      </c>
      <c r="O524" t="inlineStr">
        <is>
          <t>eng</t>
        </is>
      </c>
      <c r="P524" t="inlineStr">
        <is>
          <t>ilu</t>
        </is>
      </c>
      <c r="R524" t="inlineStr">
        <is>
          <t xml:space="preserve">QH </t>
        </is>
      </c>
      <c r="S524" t="n">
        <v>7</v>
      </c>
      <c r="T524" t="n">
        <v>12</v>
      </c>
      <c r="U524" t="inlineStr">
        <is>
          <t>1995-02-16</t>
        </is>
      </c>
      <c r="V524" t="inlineStr">
        <is>
          <t>1997-02-23</t>
        </is>
      </c>
      <c r="W524" t="inlineStr">
        <is>
          <t>1994-03-30</t>
        </is>
      </c>
      <c r="X524" t="inlineStr">
        <is>
          <t>1994-03-30</t>
        </is>
      </c>
      <c r="Y524" t="n">
        <v>777</v>
      </c>
      <c r="Z524" t="n">
        <v>696</v>
      </c>
      <c r="AA524" t="n">
        <v>743</v>
      </c>
      <c r="AB524" t="n">
        <v>4</v>
      </c>
      <c r="AC524" t="n">
        <v>4</v>
      </c>
      <c r="AD524" t="n">
        <v>26</v>
      </c>
      <c r="AE524" t="n">
        <v>26</v>
      </c>
      <c r="AF524" t="n">
        <v>9</v>
      </c>
      <c r="AG524" t="n">
        <v>9</v>
      </c>
      <c r="AH524" t="n">
        <v>6</v>
      </c>
      <c r="AI524" t="n">
        <v>6</v>
      </c>
      <c r="AJ524" t="n">
        <v>13</v>
      </c>
      <c r="AK524" t="n">
        <v>13</v>
      </c>
      <c r="AL524" t="n">
        <v>3</v>
      </c>
      <c r="AM524" t="n">
        <v>3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4">
        <f>HYPERLINK("http://www.worldcat.org/oclc/525995","WorldCat Record")</f>
        <v/>
      </c>
      <c r="AU524" t="inlineStr">
        <is>
          <t>355935205:eng</t>
        </is>
      </c>
      <c r="AV524" t="inlineStr">
        <is>
          <t>525995</t>
        </is>
      </c>
      <c r="AW524" t="inlineStr">
        <is>
          <t>991002919549702656</t>
        </is>
      </c>
      <c r="AX524" t="inlineStr">
        <is>
          <t>991002919549702656</t>
        </is>
      </c>
      <c r="AY524" t="inlineStr">
        <is>
          <t>2262265270002656</t>
        </is>
      </c>
      <c r="AZ524" t="inlineStr">
        <is>
          <t>BOOK</t>
        </is>
      </c>
      <c r="BB524" t="inlineStr">
        <is>
          <t>9780202020051</t>
        </is>
      </c>
      <c r="BC524" t="inlineStr">
        <is>
          <t>32285001873107</t>
        </is>
      </c>
      <c r="BD524" t="inlineStr">
        <is>
          <t>893893171</t>
        </is>
      </c>
    </row>
    <row r="525">
      <c r="A525" t="inlineStr">
        <is>
          <t>No</t>
        </is>
      </c>
      <c r="B525" t="inlineStr">
        <is>
          <t>QH366.2 .C35 1972</t>
        </is>
      </c>
      <c r="C525" t="inlineStr">
        <is>
          <t>0                      QH 0366200C  35          1972</t>
        </is>
      </c>
      <c r="D525" t="inlineStr">
        <is>
          <t>Sexual selection and the descent of man, 1871-1971 / edited by Bernard Campbell.</t>
        </is>
      </c>
      <c r="F525" t="inlineStr">
        <is>
          <t>No</t>
        </is>
      </c>
      <c r="G525" t="inlineStr">
        <is>
          <t>1</t>
        </is>
      </c>
      <c r="H525" t="inlineStr">
        <is>
          <t>Yes</t>
        </is>
      </c>
      <c r="I525" t="inlineStr">
        <is>
          <t>No</t>
        </is>
      </c>
      <c r="J525" t="inlineStr">
        <is>
          <t>0</t>
        </is>
      </c>
      <c r="K525" t="inlineStr">
        <is>
          <t>Campbell, Bernard Grant.</t>
        </is>
      </c>
      <c r="L525" t="inlineStr">
        <is>
          <t>Chicago : Aldine Pub. Co., [1972]</t>
        </is>
      </c>
      <c r="M525" t="inlineStr">
        <is>
          <t>1972</t>
        </is>
      </c>
      <c r="O525" t="inlineStr">
        <is>
          <t>eng</t>
        </is>
      </c>
      <c r="P525" t="inlineStr">
        <is>
          <t>ilu</t>
        </is>
      </c>
      <c r="R525" t="inlineStr">
        <is>
          <t xml:space="preserve">QH </t>
        </is>
      </c>
      <c r="S525" t="n">
        <v>5</v>
      </c>
      <c r="T525" t="n">
        <v>12</v>
      </c>
      <c r="U525" t="inlineStr">
        <is>
          <t>1997-02-23</t>
        </is>
      </c>
      <c r="V525" t="inlineStr">
        <is>
          <t>1997-02-23</t>
        </is>
      </c>
      <c r="W525" t="inlineStr">
        <is>
          <t>1994-03-29</t>
        </is>
      </c>
      <c r="X525" t="inlineStr">
        <is>
          <t>1994-03-30</t>
        </is>
      </c>
      <c r="Y525" t="n">
        <v>777</v>
      </c>
      <c r="Z525" t="n">
        <v>696</v>
      </c>
      <c r="AA525" t="n">
        <v>743</v>
      </c>
      <c r="AB525" t="n">
        <v>4</v>
      </c>
      <c r="AC525" t="n">
        <v>4</v>
      </c>
      <c r="AD525" t="n">
        <v>26</v>
      </c>
      <c r="AE525" t="n">
        <v>26</v>
      </c>
      <c r="AF525" t="n">
        <v>9</v>
      </c>
      <c r="AG525" t="n">
        <v>9</v>
      </c>
      <c r="AH525" t="n">
        <v>6</v>
      </c>
      <c r="AI525" t="n">
        <v>6</v>
      </c>
      <c r="AJ525" t="n">
        <v>13</v>
      </c>
      <c r="AK525" t="n">
        <v>13</v>
      </c>
      <c r="AL525" t="n">
        <v>3</v>
      </c>
      <c r="AM525" t="n">
        <v>3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5">
        <f>HYPERLINK("http://www.worldcat.org/oclc/525995","WorldCat Record")</f>
        <v/>
      </c>
      <c r="AU525" t="inlineStr">
        <is>
          <t>355935205:eng</t>
        </is>
      </c>
      <c r="AV525" t="inlineStr">
        <is>
          <t>525995</t>
        </is>
      </c>
      <c r="AW525" t="inlineStr">
        <is>
          <t>991002919549702656</t>
        </is>
      </c>
      <c r="AX525" t="inlineStr">
        <is>
          <t>991002919549702656</t>
        </is>
      </c>
      <c r="AY525" t="inlineStr">
        <is>
          <t>2262265270002656</t>
        </is>
      </c>
      <c r="AZ525" t="inlineStr">
        <is>
          <t>BOOK</t>
        </is>
      </c>
      <c r="BB525" t="inlineStr">
        <is>
          <t>9780202020051</t>
        </is>
      </c>
      <c r="BC525" t="inlineStr">
        <is>
          <t>32285001872398</t>
        </is>
      </c>
      <c r="BD525" t="inlineStr">
        <is>
          <t>893874178</t>
        </is>
      </c>
    </row>
    <row r="526">
      <c r="A526" t="inlineStr">
        <is>
          <t>No</t>
        </is>
      </c>
      <c r="B526" t="inlineStr">
        <is>
          <t>QH366.2 .D34</t>
        </is>
      </c>
      <c r="C526" t="inlineStr">
        <is>
          <t>0                      QH 0366200D  34</t>
        </is>
      </c>
      <c r="D526" t="inlineStr">
        <is>
          <t>Evolution for naturalists : the simple principles and complex reality / P. J. Darlington, Jr.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Darlington, Philip Jackson, 1904-1983.</t>
        </is>
      </c>
      <c r="L526" t="inlineStr">
        <is>
          <t>New York : Wiley, c1980.</t>
        </is>
      </c>
      <c r="M526" t="inlineStr">
        <is>
          <t>1980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QH </t>
        </is>
      </c>
      <c r="S526" t="n">
        <v>3</v>
      </c>
      <c r="T526" t="n">
        <v>3</v>
      </c>
      <c r="U526" t="inlineStr">
        <is>
          <t>1996-02-18</t>
        </is>
      </c>
      <c r="V526" t="inlineStr">
        <is>
          <t>1996-02-18</t>
        </is>
      </c>
      <c r="W526" t="inlineStr">
        <is>
          <t>1993-03-29</t>
        </is>
      </c>
      <c r="X526" t="inlineStr">
        <is>
          <t>1993-03-29</t>
        </is>
      </c>
      <c r="Y526" t="n">
        <v>671</v>
      </c>
      <c r="Z526" t="n">
        <v>563</v>
      </c>
      <c r="AA526" t="n">
        <v>576</v>
      </c>
      <c r="AB526" t="n">
        <v>6</v>
      </c>
      <c r="AC526" t="n">
        <v>6</v>
      </c>
      <c r="AD526" t="n">
        <v>21</v>
      </c>
      <c r="AE526" t="n">
        <v>22</v>
      </c>
      <c r="AF526" t="n">
        <v>9</v>
      </c>
      <c r="AG526" t="n">
        <v>10</v>
      </c>
      <c r="AH526" t="n">
        <v>4</v>
      </c>
      <c r="AI526" t="n">
        <v>4</v>
      </c>
      <c r="AJ526" t="n">
        <v>8</v>
      </c>
      <c r="AK526" t="n">
        <v>8</v>
      </c>
      <c r="AL526" t="n">
        <v>5</v>
      </c>
      <c r="AM526" t="n">
        <v>5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HYPERLINK("http://catalog.hathitrust.org/Record/000689730","HathiTrust Record")</f>
        <v/>
      </c>
      <c r="AS526">
        <f>HYPERLINK("https://creighton-primo.hosted.exlibrisgroup.com/primo-explore/search?tab=default_tab&amp;search_scope=EVERYTHING&amp;vid=01CRU&amp;lang=en_US&amp;offset=0&amp;query=any,contains,991004850169702656","Catalog Record")</f>
        <v/>
      </c>
      <c r="AT526">
        <f>HYPERLINK("http://www.worldcat.org/oclc/5606818","WorldCat Record")</f>
        <v/>
      </c>
      <c r="AU526" t="inlineStr">
        <is>
          <t>796689141:eng</t>
        </is>
      </c>
      <c r="AV526" t="inlineStr">
        <is>
          <t>5606818</t>
        </is>
      </c>
      <c r="AW526" t="inlineStr">
        <is>
          <t>991004850169702656</t>
        </is>
      </c>
      <c r="AX526" t="inlineStr">
        <is>
          <t>991004850169702656</t>
        </is>
      </c>
      <c r="AY526" t="inlineStr">
        <is>
          <t>2266146020002656</t>
        </is>
      </c>
      <c r="AZ526" t="inlineStr">
        <is>
          <t>BOOK</t>
        </is>
      </c>
      <c r="BB526" t="inlineStr">
        <is>
          <t>9780471047834</t>
        </is>
      </c>
      <c r="BC526" t="inlineStr">
        <is>
          <t>32285001553634</t>
        </is>
      </c>
      <c r="BD526" t="inlineStr">
        <is>
          <t>893241911</t>
        </is>
      </c>
    </row>
    <row r="527">
      <c r="A527" t="inlineStr">
        <is>
          <t>No</t>
        </is>
      </c>
      <c r="B527" t="inlineStr">
        <is>
          <t>QH366.2 .D54 1978</t>
        </is>
      </c>
      <c r="C527" t="inlineStr">
        <is>
          <t>0                      QH 0366200D  54          1978</t>
        </is>
      </c>
      <c r="D527" t="inlineStr">
        <is>
          <t>Evolution : concepts and consequences / Lawrence S. Dillon.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Dillon, Lawrence S.</t>
        </is>
      </c>
      <c r="L527" t="inlineStr">
        <is>
          <t>St. Louis : Mosby, 1978.</t>
        </is>
      </c>
      <c r="M527" t="inlineStr">
        <is>
          <t>1978</t>
        </is>
      </c>
      <c r="N527" t="inlineStr">
        <is>
          <t>2d ed.</t>
        </is>
      </c>
      <c r="O527" t="inlineStr">
        <is>
          <t>eng</t>
        </is>
      </c>
      <c r="P527" t="inlineStr">
        <is>
          <t>mou</t>
        </is>
      </c>
      <c r="R527" t="inlineStr">
        <is>
          <t xml:space="preserve">QH </t>
        </is>
      </c>
      <c r="S527" t="n">
        <v>7</v>
      </c>
      <c r="T527" t="n">
        <v>7</v>
      </c>
      <c r="U527" t="inlineStr">
        <is>
          <t>1997-02-24</t>
        </is>
      </c>
      <c r="V527" t="inlineStr">
        <is>
          <t>1997-02-24</t>
        </is>
      </c>
      <c r="W527" t="inlineStr">
        <is>
          <t>1993-11-30</t>
        </is>
      </c>
      <c r="X527" t="inlineStr">
        <is>
          <t>1993-11-30</t>
        </is>
      </c>
      <c r="Y527" t="n">
        <v>227</v>
      </c>
      <c r="Z527" t="n">
        <v>168</v>
      </c>
      <c r="AA527" t="n">
        <v>372</v>
      </c>
      <c r="AB527" t="n">
        <v>3</v>
      </c>
      <c r="AC527" t="n">
        <v>3</v>
      </c>
      <c r="AD527" t="n">
        <v>4</v>
      </c>
      <c r="AE527" t="n">
        <v>10</v>
      </c>
      <c r="AF527" t="n">
        <v>1</v>
      </c>
      <c r="AG527" t="n">
        <v>4</v>
      </c>
      <c r="AH527" t="n">
        <v>1</v>
      </c>
      <c r="AI527" t="n">
        <v>1</v>
      </c>
      <c r="AJ527" t="n">
        <v>1</v>
      </c>
      <c r="AK527" t="n">
        <v>4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HYPERLINK("https://creighton-primo.hosted.exlibrisgroup.com/primo-explore/search?tab=default_tab&amp;search_scope=EVERYTHING&amp;vid=01CRU&amp;lang=en_US&amp;offset=0&amp;query=any,contains,991004334369702656","Catalog Record")</f>
        <v/>
      </c>
      <c r="AT527">
        <f>HYPERLINK("http://www.worldcat.org/oclc/3071904","WorldCat Record")</f>
        <v/>
      </c>
      <c r="AU527" t="inlineStr">
        <is>
          <t>7509806:eng</t>
        </is>
      </c>
      <c r="AV527" t="inlineStr">
        <is>
          <t>3071904</t>
        </is>
      </c>
      <c r="AW527" t="inlineStr">
        <is>
          <t>991004334369702656</t>
        </is>
      </c>
      <c r="AX527" t="inlineStr">
        <is>
          <t>991004334369702656</t>
        </is>
      </c>
      <c r="AY527" t="inlineStr">
        <is>
          <t>2267987360002656</t>
        </is>
      </c>
      <c r="AZ527" t="inlineStr">
        <is>
          <t>BOOK</t>
        </is>
      </c>
      <c r="BB527" t="inlineStr">
        <is>
          <t>9780801612992</t>
        </is>
      </c>
      <c r="BC527" t="inlineStr">
        <is>
          <t>32285001689487</t>
        </is>
      </c>
      <c r="BD527" t="inlineStr">
        <is>
          <t>893423676</t>
        </is>
      </c>
    </row>
    <row r="528">
      <c r="A528" t="inlineStr">
        <is>
          <t>No</t>
        </is>
      </c>
      <c r="B528" t="inlineStr">
        <is>
          <t>QH366.2 .D55 1983</t>
        </is>
      </c>
      <c r="C528" t="inlineStr">
        <is>
          <t>0                      QH 0366200D  55          1983</t>
        </is>
      </c>
      <c r="D528" t="inlineStr">
        <is>
          <t>Dimensions of Darwinism : themes and counterthemes in twentieth-century evolutionary theory / edited by Marjorie Grene.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L528" t="inlineStr">
        <is>
          <t>Cambridge [Cambridgeshire] ; New York : Cambridge University Press ; Paris : Editions de la Maison des Sciences de l'Homme, 1983.</t>
        </is>
      </c>
      <c r="M528" t="inlineStr">
        <is>
          <t>1983</t>
        </is>
      </c>
      <c r="O528" t="inlineStr">
        <is>
          <t>eng</t>
        </is>
      </c>
      <c r="P528" t="inlineStr">
        <is>
          <t>enk</t>
        </is>
      </c>
      <c r="R528" t="inlineStr">
        <is>
          <t xml:space="preserve">QH </t>
        </is>
      </c>
      <c r="S528" t="n">
        <v>3</v>
      </c>
      <c r="T528" t="n">
        <v>3</v>
      </c>
      <c r="U528" t="inlineStr">
        <is>
          <t>1995-09-23</t>
        </is>
      </c>
      <c r="V528" t="inlineStr">
        <is>
          <t>1995-09-23</t>
        </is>
      </c>
      <c r="W528" t="inlineStr">
        <is>
          <t>1993-03-29</t>
        </is>
      </c>
      <c r="X528" t="inlineStr">
        <is>
          <t>1993-03-29</t>
        </is>
      </c>
      <c r="Y528" t="n">
        <v>699</v>
      </c>
      <c r="Z528" t="n">
        <v>546</v>
      </c>
      <c r="AA528" t="n">
        <v>561</v>
      </c>
      <c r="AB528" t="n">
        <v>4</v>
      </c>
      <c r="AC528" t="n">
        <v>4</v>
      </c>
      <c r="AD528" t="n">
        <v>29</v>
      </c>
      <c r="AE528" t="n">
        <v>29</v>
      </c>
      <c r="AF528" t="n">
        <v>11</v>
      </c>
      <c r="AG528" t="n">
        <v>11</v>
      </c>
      <c r="AH528" t="n">
        <v>6</v>
      </c>
      <c r="AI528" t="n">
        <v>6</v>
      </c>
      <c r="AJ528" t="n">
        <v>16</v>
      </c>
      <c r="AK528" t="n">
        <v>16</v>
      </c>
      <c r="AL528" t="n">
        <v>3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HYPERLINK("https://creighton-primo.hosted.exlibrisgroup.com/primo-explore/search?tab=default_tab&amp;search_scope=EVERYTHING&amp;vid=01CRU&amp;lang=en_US&amp;offset=0&amp;query=any,contains,991000148569702656","Catalog Record")</f>
        <v/>
      </c>
      <c r="AT528">
        <f>HYPERLINK("http://www.worldcat.org/oclc/9197170","WorldCat Record")</f>
        <v/>
      </c>
      <c r="AU528" t="inlineStr">
        <is>
          <t>795294968:eng</t>
        </is>
      </c>
      <c r="AV528" t="inlineStr">
        <is>
          <t>9197170</t>
        </is>
      </c>
      <c r="AW528" t="inlineStr">
        <is>
          <t>991000148569702656</t>
        </is>
      </c>
      <c r="AX528" t="inlineStr">
        <is>
          <t>991000148569702656</t>
        </is>
      </c>
      <c r="AY528" t="inlineStr">
        <is>
          <t>2265909660002656</t>
        </is>
      </c>
      <c r="AZ528" t="inlineStr">
        <is>
          <t>BOOK</t>
        </is>
      </c>
      <c r="BB528" t="inlineStr">
        <is>
          <t>9780521254083</t>
        </is>
      </c>
      <c r="BC528" t="inlineStr">
        <is>
          <t>32285001553642</t>
        </is>
      </c>
      <c r="BD528" t="inlineStr">
        <is>
          <t>893345430</t>
        </is>
      </c>
    </row>
    <row r="529">
      <c r="A529" t="inlineStr">
        <is>
          <t>No</t>
        </is>
      </c>
      <c r="B529" t="inlineStr">
        <is>
          <t>QH366.2 .D6 1976</t>
        </is>
      </c>
      <c r="C529" t="inlineStr">
        <is>
          <t>0                      QH 0366200D  6           1976</t>
        </is>
      </c>
      <c r="D529" t="inlineStr">
        <is>
          <t>Evolution : process and product / Edward O. Dodson, Peter Dodson.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Dodson, Edward O. (Edward Ottway), 1916-2002.</t>
        </is>
      </c>
      <c r="L529" t="inlineStr">
        <is>
          <t>New York : Van Nostrand, c1976.</t>
        </is>
      </c>
      <c r="M529" t="inlineStr">
        <is>
          <t>1976</t>
        </is>
      </c>
      <c r="N529" t="inlineStr">
        <is>
          <t>2d ed.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QH </t>
        </is>
      </c>
      <c r="S529" t="n">
        <v>10</v>
      </c>
      <c r="T529" t="n">
        <v>10</v>
      </c>
      <c r="U529" t="inlineStr">
        <is>
          <t>2001-02-19</t>
        </is>
      </c>
      <c r="V529" t="inlineStr">
        <is>
          <t>2001-02-19</t>
        </is>
      </c>
      <c r="W529" t="inlineStr">
        <is>
          <t>1994-03-11</t>
        </is>
      </c>
      <c r="X529" t="inlineStr">
        <is>
          <t>1994-03-11</t>
        </is>
      </c>
      <c r="Y529" t="n">
        <v>203</v>
      </c>
      <c r="Z529" t="n">
        <v>159</v>
      </c>
      <c r="AA529" t="n">
        <v>688</v>
      </c>
      <c r="AB529" t="n">
        <v>4</v>
      </c>
      <c r="AC529" t="n">
        <v>7</v>
      </c>
      <c r="AD529" t="n">
        <v>5</v>
      </c>
      <c r="AE529" t="n">
        <v>28</v>
      </c>
      <c r="AF529" t="n">
        <v>1</v>
      </c>
      <c r="AG529" t="n">
        <v>9</v>
      </c>
      <c r="AH529" t="n">
        <v>0</v>
      </c>
      <c r="AI529" t="n">
        <v>3</v>
      </c>
      <c r="AJ529" t="n">
        <v>1</v>
      </c>
      <c r="AK529" t="n">
        <v>16</v>
      </c>
      <c r="AL529" t="n">
        <v>3</v>
      </c>
      <c r="AM529" t="n">
        <v>6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HYPERLINK("http://catalog.hathitrust.org/Record/000084267","HathiTrust Record")</f>
        <v/>
      </c>
      <c r="AS529">
        <f>HYPERLINK("https://creighton-primo.hosted.exlibrisgroup.com/primo-explore/search?tab=default_tab&amp;search_scope=EVERYTHING&amp;vid=01CRU&amp;lang=en_US&amp;offset=0&amp;query=any,contains,991004150349702656","Catalog Record")</f>
        <v/>
      </c>
      <c r="AT529">
        <f>HYPERLINK("http://www.worldcat.org/oclc/2523498","WorldCat Record")</f>
        <v/>
      </c>
      <c r="AU529" t="inlineStr">
        <is>
          <t>4134634:eng</t>
        </is>
      </c>
      <c r="AV529" t="inlineStr">
        <is>
          <t>2523498</t>
        </is>
      </c>
      <c r="AW529" t="inlineStr">
        <is>
          <t>991004150349702656</t>
        </is>
      </c>
      <c r="AX529" t="inlineStr">
        <is>
          <t>991004150349702656</t>
        </is>
      </c>
      <c r="AY529" t="inlineStr">
        <is>
          <t>2270024640002656</t>
        </is>
      </c>
      <c r="AZ529" t="inlineStr">
        <is>
          <t>BOOK</t>
        </is>
      </c>
      <c r="BB529" t="inlineStr">
        <is>
          <t>9780442221645</t>
        </is>
      </c>
      <c r="BC529" t="inlineStr">
        <is>
          <t>32285001844512</t>
        </is>
      </c>
      <c r="BD529" t="inlineStr">
        <is>
          <t>893618309</t>
        </is>
      </c>
    </row>
    <row r="530">
      <c r="A530" t="inlineStr">
        <is>
          <t>No</t>
        </is>
      </c>
      <c r="B530" t="inlineStr">
        <is>
          <t>QH366.2 .D68 1984</t>
        </is>
      </c>
      <c r="C530" t="inlineStr">
        <is>
          <t>0                      QH 0366200D  68          1984</t>
        </is>
      </c>
      <c r="D530" t="inlineStr">
        <is>
          <t>Evolution : a modern synthesis / W.H. Dowdeswell.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Dowdeswell, W. H. (Wilfrid Hogarth)</t>
        </is>
      </c>
      <c r="L530" t="inlineStr">
        <is>
          <t>London : Heinemann Educational Books, 1984.</t>
        </is>
      </c>
      <c r="M530" t="inlineStr">
        <is>
          <t>1984</t>
        </is>
      </c>
      <c r="O530" t="inlineStr">
        <is>
          <t>eng</t>
        </is>
      </c>
      <c r="P530" t="inlineStr">
        <is>
          <t>enk</t>
        </is>
      </c>
      <c r="R530" t="inlineStr">
        <is>
          <t xml:space="preserve">QH </t>
        </is>
      </c>
      <c r="S530" t="n">
        <v>4</v>
      </c>
      <c r="T530" t="n">
        <v>4</v>
      </c>
      <c r="U530" t="inlineStr">
        <is>
          <t>1995-09-23</t>
        </is>
      </c>
      <c r="V530" t="inlineStr">
        <is>
          <t>1995-09-23</t>
        </is>
      </c>
      <c r="W530" t="inlineStr">
        <is>
          <t>1992-10-05</t>
        </is>
      </c>
      <c r="X530" t="inlineStr">
        <is>
          <t>1992-10-05</t>
        </is>
      </c>
      <c r="Y530" t="n">
        <v>106</v>
      </c>
      <c r="Z530" t="n">
        <v>45</v>
      </c>
      <c r="AA530" t="n">
        <v>45</v>
      </c>
      <c r="AB530" t="n">
        <v>2</v>
      </c>
      <c r="AC530" t="n">
        <v>2</v>
      </c>
      <c r="AD530" t="n">
        <v>1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HYPERLINK("https://creighton-primo.hosted.exlibrisgroup.com/primo-explore/search?tab=default_tab&amp;search_scope=EVERYTHING&amp;vid=01CRU&amp;lang=en_US&amp;offset=0&amp;query=any,contains,991000599049702656","Catalog Record")</f>
        <v/>
      </c>
      <c r="AT530">
        <f>HYPERLINK("http://www.worldcat.org/oclc/11824448","WorldCat Record")</f>
        <v/>
      </c>
      <c r="AU530" t="inlineStr">
        <is>
          <t>1006941796:eng</t>
        </is>
      </c>
      <c r="AV530" t="inlineStr">
        <is>
          <t>11824448</t>
        </is>
      </c>
      <c r="AW530" t="inlineStr">
        <is>
          <t>991000599049702656</t>
        </is>
      </c>
      <c r="AX530" t="inlineStr">
        <is>
          <t>991000599049702656</t>
        </is>
      </c>
      <c r="AY530" t="inlineStr">
        <is>
          <t>2267926740002656</t>
        </is>
      </c>
      <c r="AZ530" t="inlineStr">
        <is>
          <t>BOOK</t>
        </is>
      </c>
      <c r="BB530" t="inlineStr">
        <is>
          <t>9780435602277</t>
        </is>
      </c>
      <c r="BC530" t="inlineStr">
        <is>
          <t>32285001339927</t>
        </is>
      </c>
      <c r="BD530" t="inlineStr">
        <is>
          <t>893438403</t>
        </is>
      </c>
    </row>
    <row r="531">
      <c r="A531" t="inlineStr">
        <is>
          <t>No</t>
        </is>
      </c>
      <c r="B531" t="inlineStr">
        <is>
          <t>QH366.2 .E26 1989</t>
        </is>
      </c>
      <c r="C531" t="inlineStr">
        <is>
          <t>0                      QH 0366200E  26          1989</t>
        </is>
      </c>
      <c r="D531" t="inlineStr">
        <is>
          <t>Blueprints--solving the mystery of evolution / Maitland A. Edey, Donald C. Johanson.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Edey, Maitland A. (Maitland Armstrong), 1910-1992.</t>
        </is>
      </c>
      <c r="L531" t="inlineStr">
        <is>
          <t>Boston, MA : Little, Brown, 1989.</t>
        </is>
      </c>
      <c r="M531" t="inlineStr">
        <is>
          <t>1989</t>
        </is>
      </c>
      <c r="N531" t="inlineStr">
        <is>
          <t>1st ed.</t>
        </is>
      </c>
      <c r="O531" t="inlineStr">
        <is>
          <t>eng</t>
        </is>
      </c>
      <c r="P531" t="inlineStr">
        <is>
          <t>mau</t>
        </is>
      </c>
      <c r="R531" t="inlineStr">
        <is>
          <t xml:space="preserve">QH </t>
        </is>
      </c>
      <c r="S531" t="n">
        <v>7</v>
      </c>
      <c r="T531" t="n">
        <v>7</v>
      </c>
      <c r="U531" t="inlineStr">
        <is>
          <t>1996-02-03</t>
        </is>
      </c>
      <c r="V531" t="inlineStr">
        <is>
          <t>1996-02-03</t>
        </is>
      </c>
      <c r="W531" t="inlineStr">
        <is>
          <t>1993-03-29</t>
        </is>
      </c>
      <c r="X531" t="inlineStr">
        <is>
          <t>1993-03-29</t>
        </is>
      </c>
      <c r="Y531" t="n">
        <v>1286</v>
      </c>
      <c r="Z531" t="n">
        <v>1219</v>
      </c>
      <c r="AA531" t="n">
        <v>1410</v>
      </c>
      <c r="AB531" t="n">
        <v>6</v>
      </c>
      <c r="AC531" t="n">
        <v>7</v>
      </c>
      <c r="AD531" t="n">
        <v>22</v>
      </c>
      <c r="AE531" t="n">
        <v>28</v>
      </c>
      <c r="AF531" t="n">
        <v>6</v>
      </c>
      <c r="AG531" t="n">
        <v>9</v>
      </c>
      <c r="AH531" t="n">
        <v>4</v>
      </c>
      <c r="AI531" t="n">
        <v>6</v>
      </c>
      <c r="AJ531" t="n">
        <v>10</v>
      </c>
      <c r="AK531" t="n">
        <v>12</v>
      </c>
      <c r="AL531" t="n">
        <v>5</v>
      </c>
      <c r="AM531" t="n">
        <v>6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HYPERLINK("https://creighton-primo.hosted.exlibrisgroup.com/primo-explore/search?tab=default_tab&amp;search_scope=EVERYTHING&amp;vid=01CRU&amp;lang=en_US&amp;offset=0&amp;query=any,contains,991001385419702656","Catalog Record")</f>
        <v/>
      </c>
      <c r="AT531">
        <f>HYPERLINK("http://www.worldcat.org/oclc/18715505","WorldCat Record")</f>
        <v/>
      </c>
      <c r="AU531" t="inlineStr">
        <is>
          <t>341625938:eng</t>
        </is>
      </c>
      <c r="AV531" t="inlineStr">
        <is>
          <t>18715505</t>
        </is>
      </c>
      <c r="AW531" t="inlineStr">
        <is>
          <t>991001385419702656</t>
        </is>
      </c>
      <c r="AX531" t="inlineStr">
        <is>
          <t>991001385419702656</t>
        </is>
      </c>
      <c r="AY531" t="inlineStr">
        <is>
          <t>2265520260002656</t>
        </is>
      </c>
      <c r="AZ531" t="inlineStr">
        <is>
          <t>BOOK</t>
        </is>
      </c>
      <c r="BB531" t="inlineStr">
        <is>
          <t>9780316210768</t>
        </is>
      </c>
      <c r="BC531" t="inlineStr">
        <is>
          <t>32285001553659</t>
        </is>
      </c>
      <c r="BD531" t="inlineStr">
        <is>
          <t>893340394</t>
        </is>
      </c>
    </row>
    <row r="532">
      <c r="A532" t="inlineStr">
        <is>
          <t>No</t>
        </is>
      </c>
      <c r="B532" t="inlineStr">
        <is>
          <t>QH366.2 .E52 1989</t>
        </is>
      </c>
      <c r="C532" t="inlineStr">
        <is>
          <t>0                      QH 0366200E  52          1989</t>
        </is>
      </c>
      <c r="D532" t="inlineStr">
        <is>
          <t>Macroevolutionary dynamics : species, niches, and adaptive peaks / Niles Eldredge.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Eldredge, Niles.</t>
        </is>
      </c>
      <c r="L532" t="inlineStr">
        <is>
          <t>New York : McGraw-Hill, c1989.</t>
        </is>
      </c>
      <c r="M532" t="inlineStr">
        <is>
          <t>1989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QH </t>
        </is>
      </c>
      <c r="S532" t="n">
        <v>6</v>
      </c>
      <c r="T532" t="n">
        <v>6</v>
      </c>
      <c r="U532" t="inlineStr">
        <is>
          <t>1997-02-24</t>
        </is>
      </c>
      <c r="V532" t="inlineStr">
        <is>
          <t>1997-02-24</t>
        </is>
      </c>
      <c r="W532" t="inlineStr">
        <is>
          <t>1990-03-27</t>
        </is>
      </c>
      <c r="X532" t="inlineStr">
        <is>
          <t>1990-03-27</t>
        </is>
      </c>
      <c r="Y532" t="n">
        <v>559</v>
      </c>
      <c r="Z532" t="n">
        <v>443</v>
      </c>
      <c r="AA532" t="n">
        <v>450</v>
      </c>
      <c r="AB532" t="n">
        <v>6</v>
      </c>
      <c r="AC532" t="n">
        <v>6</v>
      </c>
      <c r="AD532" t="n">
        <v>20</v>
      </c>
      <c r="AE532" t="n">
        <v>20</v>
      </c>
      <c r="AF532" t="n">
        <v>6</v>
      </c>
      <c r="AG532" t="n">
        <v>6</v>
      </c>
      <c r="AH532" t="n">
        <v>5</v>
      </c>
      <c r="AI532" t="n">
        <v>5</v>
      </c>
      <c r="AJ532" t="n">
        <v>9</v>
      </c>
      <c r="AK532" t="n">
        <v>9</v>
      </c>
      <c r="AL532" t="n">
        <v>5</v>
      </c>
      <c r="AM532" t="n">
        <v>5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HYPERLINK("http://catalog.hathitrust.org/Record/001105253","HathiTrust Record")</f>
        <v/>
      </c>
      <c r="AS532">
        <f>HYPERLINK("https://creighton-primo.hosted.exlibrisgroup.com/primo-explore/search?tab=default_tab&amp;search_scope=EVERYTHING&amp;vid=01CRU&amp;lang=en_US&amp;offset=0&amp;query=any,contains,991001389529702656","Catalog Record")</f>
        <v/>
      </c>
      <c r="AT532">
        <f>HYPERLINK("http://www.worldcat.org/oclc/18745309","WorldCat Record")</f>
        <v/>
      </c>
      <c r="AU532" t="inlineStr">
        <is>
          <t>889850094:eng</t>
        </is>
      </c>
      <c r="AV532" t="inlineStr">
        <is>
          <t>18745309</t>
        </is>
      </c>
      <c r="AW532" t="inlineStr">
        <is>
          <t>991001389529702656</t>
        </is>
      </c>
      <c r="AX532" t="inlineStr">
        <is>
          <t>991001389529702656</t>
        </is>
      </c>
      <c r="AY532" t="inlineStr">
        <is>
          <t>2256086030002656</t>
        </is>
      </c>
      <c r="AZ532" t="inlineStr">
        <is>
          <t>BOOK</t>
        </is>
      </c>
      <c r="BB532" t="inlineStr">
        <is>
          <t>9780070194762</t>
        </is>
      </c>
      <c r="BC532" t="inlineStr">
        <is>
          <t>32285000090661</t>
        </is>
      </c>
      <c r="BD532" t="inlineStr">
        <is>
          <t>893866197</t>
        </is>
      </c>
    </row>
    <row r="533">
      <c r="A533" t="inlineStr">
        <is>
          <t>No</t>
        </is>
      </c>
      <c r="B533" t="inlineStr">
        <is>
          <t>QH366.2 .E535 1999</t>
        </is>
      </c>
      <c r="C533" t="inlineStr">
        <is>
          <t>0                      QH 0366200E  535         1999</t>
        </is>
      </c>
      <c r="D533" t="inlineStr">
        <is>
          <t>The pattern of evolution / Niles Eldredge.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Eldredge, Niles.</t>
        </is>
      </c>
      <c r="L533" t="inlineStr">
        <is>
          <t>New York : W.H. Freeman, c1999.</t>
        </is>
      </c>
      <c r="M533" t="inlineStr">
        <is>
          <t>1999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QH </t>
        </is>
      </c>
      <c r="S533" t="n">
        <v>3</v>
      </c>
      <c r="T533" t="n">
        <v>3</v>
      </c>
      <c r="U533" t="inlineStr">
        <is>
          <t>2009-10-27</t>
        </is>
      </c>
      <c r="V533" t="inlineStr">
        <is>
          <t>2009-10-27</t>
        </is>
      </c>
      <c r="W533" t="inlineStr">
        <is>
          <t>2000-09-18</t>
        </is>
      </c>
      <c r="X533" t="inlineStr">
        <is>
          <t>2000-09-18</t>
        </is>
      </c>
      <c r="Y533" t="n">
        <v>760</v>
      </c>
      <c r="Z533" t="n">
        <v>669</v>
      </c>
      <c r="AA533" t="n">
        <v>699</v>
      </c>
      <c r="AB533" t="n">
        <v>10</v>
      </c>
      <c r="AC533" t="n">
        <v>10</v>
      </c>
      <c r="AD533" t="n">
        <v>30</v>
      </c>
      <c r="AE533" t="n">
        <v>30</v>
      </c>
      <c r="AF533" t="n">
        <v>11</v>
      </c>
      <c r="AG533" t="n">
        <v>11</v>
      </c>
      <c r="AH533" t="n">
        <v>6</v>
      </c>
      <c r="AI533" t="n">
        <v>6</v>
      </c>
      <c r="AJ533" t="n">
        <v>14</v>
      </c>
      <c r="AK533" t="n">
        <v>14</v>
      </c>
      <c r="AL533" t="n">
        <v>7</v>
      </c>
      <c r="AM533" t="n">
        <v>7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HYPERLINK("https://creighton-primo.hosted.exlibrisgroup.com/primo-explore/search?tab=default_tab&amp;search_scope=EVERYTHING&amp;vid=01CRU&amp;lang=en_US&amp;offset=0&amp;query=any,contains,991003263249702656","Catalog Record")</f>
        <v/>
      </c>
      <c r="AT533">
        <f>HYPERLINK("http://www.worldcat.org/oclc/39556626","WorldCat Record")</f>
        <v/>
      </c>
      <c r="AU533" t="inlineStr">
        <is>
          <t>20614968:eng</t>
        </is>
      </c>
      <c r="AV533" t="inlineStr">
        <is>
          <t>39556626</t>
        </is>
      </c>
      <c r="AW533" t="inlineStr">
        <is>
          <t>991003263249702656</t>
        </is>
      </c>
      <c r="AX533" t="inlineStr">
        <is>
          <t>991003263249702656</t>
        </is>
      </c>
      <c r="AY533" t="inlineStr">
        <is>
          <t>2263887360002656</t>
        </is>
      </c>
      <c r="AZ533" t="inlineStr">
        <is>
          <t>BOOK</t>
        </is>
      </c>
      <c r="BB533" t="inlineStr">
        <is>
          <t>9780716730460</t>
        </is>
      </c>
      <c r="BC533" t="inlineStr">
        <is>
          <t>32285003762795</t>
        </is>
      </c>
      <c r="BD533" t="inlineStr">
        <is>
          <t>893809909</t>
        </is>
      </c>
    </row>
    <row r="534">
      <c r="A534" t="inlineStr">
        <is>
          <t>No</t>
        </is>
      </c>
      <c r="B534" t="inlineStr">
        <is>
          <t>QH366.2 .E846 1997</t>
        </is>
      </c>
      <c r="C534" t="inlineStr">
        <is>
          <t>0                      QH 0366200E  846         1997</t>
        </is>
      </c>
      <c r="D534" t="inlineStr">
        <is>
          <t>Evolution / edited by Mark Ridley.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Yes</t>
        </is>
      </c>
      <c r="J534" t="inlineStr">
        <is>
          <t>0</t>
        </is>
      </c>
      <c r="L534" t="inlineStr">
        <is>
          <t>Oxford ; New York : Oxford University Press, 1997.</t>
        </is>
      </c>
      <c r="M534" t="inlineStr">
        <is>
          <t>1997</t>
        </is>
      </c>
      <c r="O534" t="inlineStr">
        <is>
          <t>eng</t>
        </is>
      </c>
      <c r="P534" t="inlineStr">
        <is>
          <t>enk</t>
        </is>
      </c>
      <c r="Q534" t="inlineStr">
        <is>
          <t>Oxford readers</t>
        </is>
      </c>
      <c r="R534" t="inlineStr">
        <is>
          <t xml:space="preserve">QH </t>
        </is>
      </c>
      <c r="S534" t="n">
        <v>5</v>
      </c>
      <c r="T534" t="n">
        <v>5</v>
      </c>
      <c r="U534" t="inlineStr">
        <is>
          <t>2006-05-17</t>
        </is>
      </c>
      <c r="V534" t="inlineStr">
        <is>
          <t>2006-05-17</t>
        </is>
      </c>
      <c r="W534" t="inlineStr">
        <is>
          <t>1998-03-16</t>
        </is>
      </c>
      <c r="X534" t="inlineStr">
        <is>
          <t>1998-03-16</t>
        </is>
      </c>
      <c r="Y534" t="n">
        <v>504</v>
      </c>
      <c r="Z534" t="n">
        <v>353</v>
      </c>
      <c r="AA534" t="n">
        <v>1654</v>
      </c>
      <c r="AB534" t="n">
        <v>3</v>
      </c>
      <c r="AC534" t="n">
        <v>8</v>
      </c>
      <c r="AD534" t="n">
        <v>17</v>
      </c>
      <c r="AE534" t="n">
        <v>43</v>
      </c>
      <c r="AF534" t="n">
        <v>6</v>
      </c>
      <c r="AG534" t="n">
        <v>20</v>
      </c>
      <c r="AH534" t="n">
        <v>4</v>
      </c>
      <c r="AI534" t="n">
        <v>9</v>
      </c>
      <c r="AJ534" t="n">
        <v>9</v>
      </c>
      <c r="AK534" t="n">
        <v>19</v>
      </c>
      <c r="AL534" t="n">
        <v>2</v>
      </c>
      <c r="AM534" t="n">
        <v>6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HYPERLINK("http://catalog.hathitrust.org/Record/003964826","HathiTrust Record")</f>
        <v/>
      </c>
      <c r="AS534">
        <f>HYPERLINK("https://creighton-primo.hosted.exlibrisgroup.com/primo-explore/search?tab=default_tab&amp;search_scope=EVERYTHING&amp;vid=01CRU&amp;lang=en_US&amp;offset=0&amp;query=any,contains,991002838219702656","Catalog Record")</f>
        <v/>
      </c>
      <c r="AT534">
        <f>HYPERLINK("http://www.worldcat.org/oclc/37373631","WorldCat Record")</f>
        <v/>
      </c>
      <c r="AU534" t="inlineStr">
        <is>
          <t>374262:eng</t>
        </is>
      </c>
      <c r="AV534" t="inlineStr">
        <is>
          <t>37373631</t>
        </is>
      </c>
      <c r="AW534" t="inlineStr">
        <is>
          <t>991002838219702656</t>
        </is>
      </c>
      <c r="AX534" t="inlineStr">
        <is>
          <t>991002838219702656</t>
        </is>
      </c>
      <c r="AY534" t="inlineStr">
        <is>
          <t>2267805500002656</t>
        </is>
      </c>
      <c r="AZ534" t="inlineStr">
        <is>
          <t>BOOK</t>
        </is>
      </c>
      <c r="BB534" t="inlineStr">
        <is>
          <t>9780192892874</t>
        </is>
      </c>
      <c r="BC534" t="inlineStr">
        <is>
          <t>32285003358065</t>
        </is>
      </c>
      <c r="BD534" t="inlineStr">
        <is>
          <t>893329621</t>
        </is>
      </c>
    </row>
    <row r="535">
      <c r="A535" t="inlineStr">
        <is>
          <t>No</t>
        </is>
      </c>
      <c r="B535" t="inlineStr">
        <is>
          <t>QH366.2 .E852 1985</t>
        </is>
      </c>
      <c r="C535" t="inlineStr">
        <is>
          <t>0                      QH 0366200E  852         1985</t>
        </is>
      </c>
      <c r="D535" t="inlineStr">
        <is>
          <t>Evolution : essays in honour of John Maynard Smith / edited by P.J. Greenwood, P.H. Harvey and M. Slatkin.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Cambridge ; New York : Cambridge University Press, 1985.</t>
        </is>
      </c>
      <c r="M535" t="inlineStr">
        <is>
          <t>1985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QH </t>
        </is>
      </c>
      <c r="S535" t="n">
        <v>2</v>
      </c>
      <c r="T535" t="n">
        <v>2</v>
      </c>
      <c r="U535" t="inlineStr">
        <is>
          <t>2010-03-26</t>
        </is>
      </c>
      <c r="V535" t="inlineStr">
        <is>
          <t>2010-03-26</t>
        </is>
      </c>
      <c r="W535" t="inlineStr">
        <is>
          <t>1993-03-29</t>
        </is>
      </c>
      <c r="X535" t="inlineStr">
        <is>
          <t>1993-03-29</t>
        </is>
      </c>
      <c r="Y535" t="n">
        <v>383</v>
      </c>
      <c r="Z535" t="n">
        <v>269</v>
      </c>
      <c r="AA535" t="n">
        <v>288</v>
      </c>
      <c r="AB535" t="n">
        <v>3</v>
      </c>
      <c r="AC535" t="n">
        <v>3</v>
      </c>
      <c r="AD535" t="n">
        <v>9</v>
      </c>
      <c r="AE535" t="n">
        <v>9</v>
      </c>
      <c r="AF535" t="n">
        <v>4</v>
      </c>
      <c r="AG535" t="n">
        <v>4</v>
      </c>
      <c r="AH535" t="n">
        <v>3</v>
      </c>
      <c r="AI535" t="n">
        <v>3</v>
      </c>
      <c r="AJ535" t="n">
        <v>5</v>
      </c>
      <c r="AK535" t="n">
        <v>5</v>
      </c>
      <c r="AL535" t="n">
        <v>2</v>
      </c>
      <c r="AM535" t="n">
        <v>2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HYPERLINK("https://creighton-primo.hosted.exlibrisgroup.com/primo-explore/search?tab=default_tab&amp;search_scope=EVERYTHING&amp;vid=01CRU&amp;lang=en_US&amp;offset=0&amp;query=any,contains,991000457399702656","Catalog Record")</f>
        <v/>
      </c>
      <c r="AT535">
        <f>HYPERLINK("http://www.worldcat.org/oclc/10914900","WorldCat Record")</f>
        <v/>
      </c>
      <c r="AU535" t="inlineStr">
        <is>
          <t>836670444:eng</t>
        </is>
      </c>
      <c r="AV535" t="inlineStr">
        <is>
          <t>10914900</t>
        </is>
      </c>
      <c r="AW535" t="inlineStr">
        <is>
          <t>991000457399702656</t>
        </is>
      </c>
      <c r="AX535" t="inlineStr">
        <is>
          <t>991000457399702656</t>
        </is>
      </c>
      <c r="AY535" t="inlineStr">
        <is>
          <t>2255954030002656</t>
        </is>
      </c>
      <c r="AZ535" t="inlineStr">
        <is>
          <t>BOOK</t>
        </is>
      </c>
      <c r="BB535" t="inlineStr">
        <is>
          <t>9780521257343</t>
        </is>
      </c>
      <c r="BC535" t="inlineStr">
        <is>
          <t>32285001553683</t>
        </is>
      </c>
      <c r="BD535" t="inlineStr">
        <is>
          <t>893413379</t>
        </is>
      </c>
    </row>
    <row r="536">
      <c r="A536" t="inlineStr">
        <is>
          <t>No</t>
        </is>
      </c>
      <c r="B536" t="inlineStr">
        <is>
          <t>QH366.2 .E853</t>
        </is>
      </c>
      <c r="C536" t="inlineStr">
        <is>
          <t>0                      QH 0366200E  853</t>
        </is>
      </c>
      <c r="D536" t="inlineStr">
        <is>
          <t>Evolution / Theodosius Dobzhansky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Yes</t>
        </is>
      </c>
      <c r="I536" t="inlineStr">
        <is>
          <t>No</t>
        </is>
      </c>
      <c r="J536" t="inlineStr">
        <is>
          <t>0</t>
        </is>
      </c>
      <c r="L536" t="inlineStr">
        <is>
          <t>San Francisco : W. H. Freeman, c1977.</t>
        </is>
      </c>
      <c r="M536" t="inlineStr">
        <is>
          <t>1977</t>
        </is>
      </c>
      <c r="O536" t="inlineStr">
        <is>
          <t>eng</t>
        </is>
      </c>
      <c r="P536" t="inlineStr">
        <is>
          <t>cau</t>
        </is>
      </c>
      <c r="R536" t="inlineStr">
        <is>
          <t xml:space="preserve">QH </t>
        </is>
      </c>
      <c r="S536" t="n">
        <v>6</v>
      </c>
      <c r="T536" t="n">
        <v>12</v>
      </c>
      <c r="U536" t="inlineStr">
        <is>
          <t>1997-09-16</t>
        </is>
      </c>
      <c r="V536" t="inlineStr">
        <is>
          <t>1997-09-16</t>
        </is>
      </c>
      <c r="W536" t="inlineStr">
        <is>
          <t>1993-08-09</t>
        </is>
      </c>
      <c r="X536" t="inlineStr">
        <is>
          <t>1993-08-09</t>
        </is>
      </c>
      <c r="Y536" t="n">
        <v>1082</v>
      </c>
      <c r="Z536" t="n">
        <v>831</v>
      </c>
      <c r="AA536" t="n">
        <v>867</v>
      </c>
      <c r="AB536" t="n">
        <v>8</v>
      </c>
      <c r="AC536" t="n">
        <v>8</v>
      </c>
      <c r="AD536" t="n">
        <v>28</v>
      </c>
      <c r="AE536" t="n">
        <v>28</v>
      </c>
      <c r="AF536" t="n">
        <v>9</v>
      </c>
      <c r="AG536" t="n">
        <v>9</v>
      </c>
      <c r="AH536" t="n">
        <v>5</v>
      </c>
      <c r="AI536" t="n">
        <v>5</v>
      </c>
      <c r="AJ536" t="n">
        <v>13</v>
      </c>
      <c r="AK536" t="n">
        <v>13</v>
      </c>
      <c r="AL536" t="n">
        <v>6</v>
      </c>
      <c r="AM536" t="n">
        <v>6</v>
      </c>
      <c r="AN536" t="n">
        <v>0</v>
      </c>
      <c r="AO536" t="n">
        <v>0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HYPERLINK("https://creighton-primo.hosted.exlibrisgroup.com/primo-explore/search?tab=default_tab&amp;search_scope=EVERYTHING&amp;vid=01CRU&amp;lang=en_US&amp;offset=0&amp;query=any,contains,991001771219702656","Catalog Record")</f>
        <v/>
      </c>
      <c r="AT536">
        <f>HYPERLINK("http://www.worldcat.org/oclc/2797676","WorldCat Record")</f>
        <v/>
      </c>
      <c r="AU536" t="inlineStr">
        <is>
          <t>835843647:eng</t>
        </is>
      </c>
      <c r="AV536" t="inlineStr">
        <is>
          <t>2797676</t>
        </is>
      </c>
      <c r="AW536" t="inlineStr">
        <is>
          <t>991001771219702656</t>
        </is>
      </c>
      <c r="AX536" t="inlineStr">
        <is>
          <t>991001771219702656</t>
        </is>
      </c>
      <c r="AY536" t="inlineStr">
        <is>
          <t>2265602380002656</t>
        </is>
      </c>
      <c r="AZ536" t="inlineStr">
        <is>
          <t>BOOK</t>
        </is>
      </c>
      <c r="BB536" t="inlineStr">
        <is>
          <t>9780716705727</t>
        </is>
      </c>
      <c r="BC536" t="inlineStr">
        <is>
          <t>32285001751154</t>
        </is>
      </c>
      <c r="BD536" t="inlineStr">
        <is>
          <t>893697022</t>
        </is>
      </c>
    </row>
    <row r="537">
      <c r="A537" t="inlineStr">
        <is>
          <t>No</t>
        </is>
      </c>
      <c r="B537" t="inlineStr">
        <is>
          <t>QH366.2 .E854</t>
        </is>
      </c>
      <c r="C537" t="inlineStr">
        <is>
          <t>0                      QH 0366200E  854</t>
        </is>
      </c>
      <c r="D537" t="inlineStr">
        <is>
          <t>Evolution and speciation : essays in honor of M.J.D. White / editors, William R. Atchley, David S. Woodruff.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Cambridge [Eng.] ; New York : Cambridge University Press, 1981.</t>
        </is>
      </c>
      <c r="M537" t="inlineStr">
        <is>
          <t>1981</t>
        </is>
      </c>
      <c r="O537" t="inlineStr">
        <is>
          <t>eng</t>
        </is>
      </c>
      <c r="P537" t="inlineStr">
        <is>
          <t>enk</t>
        </is>
      </c>
      <c r="R537" t="inlineStr">
        <is>
          <t xml:space="preserve">QH </t>
        </is>
      </c>
      <c r="S537" t="n">
        <v>8</v>
      </c>
      <c r="T537" t="n">
        <v>8</v>
      </c>
      <c r="U537" t="inlineStr">
        <is>
          <t>1996-02-23</t>
        </is>
      </c>
      <c r="V537" t="inlineStr">
        <is>
          <t>1996-02-23</t>
        </is>
      </c>
      <c r="W537" t="inlineStr">
        <is>
          <t>1993-03-29</t>
        </is>
      </c>
      <c r="X537" t="inlineStr">
        <is>
          <t>1993-03-29</t>
        </is>
      </c>
      <c r="Y537" t="n">
        <v>356</v>
      </c>
      <c r="Z537" t="n">
        <v>251</v>
      </c>
      <c r="AA537" t="n">
        <v>252</v>
      </c>
      <c r="AB537" t="n">
        <v>2</v>
      </c>
      <c r="AC537" t="n">
        <v>2</v>
      </c>
      <c r="AD537" t="n">
        <v>6</v>
      </c>
      <c r="AE537" t="n">
        <v>6</v>
      </c>
      <c r="AF537" t="n">
        <v>1</v>
      </c>
      <c r="AG537" t="n">
        <v>1</v>
      </c>
      <c r="AH537" t="n">
        <v>2</v>
      </c>
      <c r="AI537" t="n">
        <v>2</v>
      </c>
      <c r="AJ537" t="n">
        <v>3</v>
      </c>
      <c r="AK537" t="n">
        <v>3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HYPERLINK("https://creighton-primo.hosted.exlibrisgroup.com/primo-explore/search?tab=default_tab&amp;search_scope=EVERYTHING&amp;vid=01CRU&amp;lang=en_US&amp;offset=0&amp;query=any,contains,991005049589702656","Catalog Record")</f>
        <v/>
      </c>
      <c r="AT537">
        <f>HYPERLINK("http://www.worldcat.org/oclc/6863491","WorldCat Record")</f>
        <v/>
      </c>
      <c r="AU537" t="inlineStr">
        <is>
          <t>836654279:eng</t>
        </is>
      </c>
      <c r="AV537" t="inlineStr">
        <is>
          <t>6863491</t>
        </is>
      </c>
      <c r="AW537" t="inlineStr">
        <is>
          <t>991005049589702656</t>
        </is>
      </c>
      <c r="AX537" t="inlineStr">
        <is>
          <t>991005049589702656</t>
        </is>
      </c>
      <c r="AY537" t="inlineStr">
        <is>
          <t>2271968140002656</t>
        </is>
      </c>
      <c r="AZ537" t="inlineStr">
        <is>
          <t>BOOK</t>
        </is>
      </c>
      <c r="BB537" t="inlineStr">
        <is>
          <t>9780521238236</t>
        </is>
      </c>
      <c r="BC537" t="inlineStr">
        <is>
          <t>32285001553691</t>
        </is>
      </c>
      <c r="BD537" t="inlineStr">
        <is>
          <t>893776747</t>
        </is>
      </c>
    </row>
    <row r="538">
      <c r="A538" t="inlineStr">
        <is>
          <t>No</t>
        </is>
      </c>
      <c r="B538" t="inlineStr">
        <is>
          <t>QH366.2 .E857 1982</t>
        </is>
      </c>
      <c r="C538" t="inlineStr">
        <is>
          <t>0                      QH 0366200E  857         1982</t>
        </is>
      </c>
      <c r="D538" t="inlineStr">
        <is>
          <t>Evolution now : a century after Darwin / edited by John Maynard Smith ; in association with Nature.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San Francisco, Calif. : Freeman, 1982.</t>
        </is>
      </c>
      <c r="M538" t="inlineStr">
        <is>
          <t>1982</t>
        </is>
      </c>
      <c r="O538" t="inlineStr">
        <is>
          <t>eng</t>
        </is>
      </c>
      <c r="P538" t="inlineStr">
        <is>
          <t>cau</t>
        </is>
      </c>
      <c r="R538" t="inlineStr">
        <is>
          <t xml:space="preserve">QH </t>
        </is>
      </c>
      <c r="S538" t="n">
        <v>8</v>
      </c>
      <c r="T538" t="n">
        <v>8</v>
      </c>
      <c r="U538" t="inlineStr">
        <is>
          <t>2001-04-17</t>
        </is>
      </c>
      <c r="V538" t="inlineStr">
        <is>
          <t>2001-04-17</t>
        </is>
      </c>
      <c r="W538" t="inlineStr">
        <is>
          <t>1993-03-29</t>
        </is>
      </c>
      <c r="X538" t="inlineStr">
        <is>
          <t>1993-03-29</t>
        </is>
      </c>
      <c r="Y538" t="n">
        <v>572</v>
      </c>
      <c r="Z538" t="n">
        <v>498</v>
      </c>
      <c r="AA538" t="n">
        <v>515</v>
      </c>
      <c r="AB538" t="n">
        <v>2</v>
      </c>
      <c r="AC538" t="n">
        <v>4</v>
      </c>
      <c r="AD538" t="n">
        <v>19</v>
      </c>
      <c r="AE538" t="n">
        <v>22</v>
      </c>
      <c r="AF538" t="n">
        <v>11</v>
      </c>
      <c r="AG538" t="n">
        <v>11</v>
      </c>
      <c r="AH538" t="n">
        <v>4</v>
      </c>
      <c r="AI538" t="n">
        <v>4</v>
      </c>
      <c r="AJ538" t="n">
        <v>11</v>
      </c>
      <c r="AK538" t="n">
        <v>12</v>
      </c>
      <c r="AL538" t="n">
        <v>1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HYPERLINK("https://creighton-primo.hosted.exlibrisgroup.com/primo-explore/search?tab=default_tab&amp;search_scope=EVERYTHING&amp;vid=01CRU&amp;lang=en_US&amp;offset=0&amp;query=any,contains,991005225539702656","Catalog Record")</f>
        <v/>
      </c>
      <c r="AT538">
        <f>HYPERLINK("http://www.worldcat.org/oclc/8281647","WorldCat Record")</f>
        <v/>
      </c>
      <c r="AU538" t="inlineStr">
        <is>
          <t>796044457:eng</t>
        </is>
      </c>
      <c r="AV538" t="inlineStr">
        <is>
          <t>8281647</t>
        </is>
      </c>
      <c r="AW538" t="inlineStr">
        <is>
          <t>991005225539702656</t>
        </is>
      </c>
      <c r="AX538" t="inlineStr">
        <is>
          <t>991005225539702656</t>
        </is>
      </c>
      <c r="AY538" t="inlineStr">
        <is>
          <t>2266742870002656</t>
        </is>
      </c>
      <c r="AZ538" t="inlineStr">
        <is>
          <t>BOOK</t>
        </is>
      </c>
      <c r="BB538" t="inlineStr">
        <is>
          <t>9780716714262</t>
        </is>
      </c>
      <c r="BC538" t="inlineStr">
        <is>
          <t>32285001553709</t>
        </is>
      </c>
      <c r="BD538" t="inlineStr">
        <is>
          <t>893338757</t>
        </is>
      </c>
    </row>
    <row r="539">
      <c r="A539" t="inlineStr">
        <is>
          <t>No</t>
        </is>
      </c>
      <c r="B539" t="inlineStr">
        <is>
          <t>QH366.2 .E861 1984</t>
        </is>
      </c>
      <c r="C539" t="inlineStr">
        <is>
          <t>0                      QH 0366200E  861         1984</t>
        </is>
      </c>
      <c r="D539" t="inlineStr">
        <is>
          <t>Evolution in the Galapagos Islands / edited by R.J. Berry.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London ; Orlando : Published for the Linnean Society of London [by] Academic Press, c1984.</t>
        </is>
      </c>
      <c r="M539" t="inlineStr">
        <is>
          <t>1984</t>
        </is>
      </c>
      <c r="O539" t="inlineStr">
        <is>
          <t>eng</t>
        </is>
      </c>
      <c r="P539" t="inlineStr">
        <is>
          <t>enk</t>
        </is>
      </c>
      <c r="Q539" t="inlineStr">
        <is>
          <t>Contribution no. 363 of the Charles Darwin Foundation for the Galapagos Isles</t>
        </is>
      </c>
      <c r="R539" t="inlineStr">
        <is>
          <t xml:space="preserve">QH </t>
        </is>
      </c>
      <c r="S539" t="n">
        <v>17</v>
      </c>
      <c r="T539" t="n">
        <v>17</v>
      </c>
      <c r="U539" t="inlineStr">
        <is>
          <t>2002-03-08</t>
        </is>
      </c>
      <c r="V539" t="inlineStr">
        <is>
          <t>2002-03-08</t>
        </is>
      </c>
      <c r="W539" t="inlineStr">
        <is>
          <t>1993-03-29</t>
        </is>
      </c>
      <c r="X539" t="inlineStr">
        <is>
          <t>1993-03-29</t>
        </is>
      </c>
      <c r="Y539" t="n">
        <v>219</v>
      </c>
      <c r="Z539" t="n">
        <v>215</v>
      </c>
      <c r="AA539" t="n">
        <v>315</v>
      </c>
      <c r="AB539" t="n">
        <v>1</v>
      </c>
      <c r="AC539" t="n">
        <v>1</v>
      </c>
      <c r="AD539" t="n">
        <v>6</v>
      </c>
      <c r="AE539" t="n">
        <v>9</v>
      </c>
      <c r="AF539" t="n">
        <v>4</v>
      </c>
      <c r="AG539" t="n">
        <v>6</v>
      </c>
      <c r="AH539" t="n">
        <v>1</v>
      </c>
      <c r="AI539" t="n">
        <v>2</v>
      </c>
      <c r="AJ539" t="n">
        <v>3</v>
      </c>
      <c r="AK539" t="n">
        <v>5</v>
      </c>
      <c r="AL539" t="n">
        <v>0</v>
      </c>
      <c r="AM539" t="n">
        <v>0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HYPERLINK("https://creighton-primo.hosted.exlibrisgroup.com/primo-explore/search?tab=default_tab&amp;search_scope=EVERYTHING&amp;vid=01CRU&amp;lang=en_US&amp;offset=0&amp;query=any,contains,991000578049702656","Catalog Record")</f>
        <v/>
      </c>
      <c r="AT539">
        <f>HYPERLINK("http://www.worldcat.org/oclc/11711003","WorldCat Record")</f>
        <v/>
      </c>
      <c r="AU539" t="inlineStr">
        <is>
          <t>54693294:eng</t>
        </is>
      </c>
      <c r="AV539" t="inlineStr">
        <is>
          <t>11711003</t>
        </is>
      </c>
      <c r="AW539" t="inlineStr">
        <is>
          <t>991000578049702656</t>
        </is>
      </c>
      <c r="AX539" t="inlineStr">
        <is>
          <t>991000578049702656</t>
        </is>
      </c>
      <c r="AY539" t="inlineStr">
        <is>
          <t>2269711980002656</t>
        </is>
      </c>
      <c r="AZ539" t="inlineStr">
        <is>
          <t>BOOK</t>
        </is>
      </c>
      <c r="BB539" t="inlineStr">
        <is>
          <t>9780120931903</t>
        </is>
      </c>
      <c r="BC539" t="inlineStr">
        <is>
          <t>32285001553717</t>
        </is>
      </c>
      <c r="BD539" t="inlineStr">
        <is>
          <t>893878184</t>
        </is>
      </c>
    </row>
    <row r="540">
      <c r="A540" t="inlineStr">
        <is>
          <t>No</t>
        </is>
      </c>
      <c r="B540" t="inlineStr">
        <is>
          <t>QH366.2 .E865 1989</t>
        </is>
      </c>
      <c r="C540" t="inlineStr">
        <is>
          <t>0                      QH 0366200E  865         1989</t>
        </is>
      </c>
      <c r="D540" t="inlineStr">
        <is>
          <t>Evolutionary biology at the crossroads : a symposium at Queens College / Max K. Hecht, editor.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Flushing, N.Y. : Queens College Press, c1989.</t>
        </is>
      </c>
      <c r="M540" t="inlineStr">
        <is>
          <t>1989</t>
        </is>
      </c>
      <c r="O540" t="inlineStr">
        <is>
          <t>eng</t>
        </is>
      </c>
      <c r="P540" t="inlineStr">
        <is>
          <t>nyu</t>
        </is>
      </c>
      <c r="R540" t="inlineStr">
        <is>
          <t xml:space="preserve">QH </t>
        </is>
      </c>
      <c r="S540" t="n">
        <v>5</v>
      </c>
      <c r="T540" t="n">
        <v>5</v>
      </c>
      <c r="U540" t="inlineStr">
        <is>
          <t>1996-10-03</t>
        </is>
      </c>
      <c r="V540" t="inlineStr">
        <is>
          <t>1996-10-03</t>
        </is>
      </c>
      <c r="W540" t="inlineStr">
        <is>
          <t>1990-08-22</t>
        </is>
      </c>
      <c r="X540" t="inlineStr">
        <is>
          <t>1990-08-22</t>
        </is>
      </c>
      <c r="Y540" t="n">
        <v>261</v>
      </c>
      <c r="Z540" t="n">
        <v>202</v>
      </c>
      <c r="AA540" t="n">
        <v>204</v>
      </c>
      <c r="AB540" t="n">
        <v>2</v>
      </c>
      <c r="AC540" t="n">
        <v>2</v>
      </c>
      <c r="AD540" t="n">
        <v>7</v>
      </c>
      <c r="AE540" t="n">
        <v>7</v>
      </c>
      <c r="AF540" t="n">
        <v>2</v>
      </c>
      <c r="AG540" t="n">
        <v>2</v>
      </c>
      <c r="AH540" t="n">
        <v>2</v>
      </c>
      <c r="AI540" t="n">
        <v>2</v>
      </c>
      <c r="AJ540" t="n">
        <v>4</v>
      </c>
      <c r="AK540" t="n">
        <v>4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HYPERLINK("http://catalog.hathitrust.org/Record/002185384","HathiTrust Record")</f>
        <v/>
      </c>
      <c r="AS540">
        <f>HYPERLINK("https://creighton-primo.hosted.exlibrisgroup.com/primo-explore/search?tab=default_tab&amp;search_scope=EVERYTHING&amp;vid=01CRU&amp;lang=en_US&amp;offset=0&amp;query=any,contains,991001753949702656","Catalog Record")</f>
        <v/>
      </c>
      <c r="AT540">
        <f>HYPERLINK("http://www.worldcat.org/oclc/22204892","WorldCat Record")</f>
        <v/>
      </c>
      <c r="AU540" t="inlineStr">
        <is>
          <t>312010362:eng</t>
        </is>
      </c>
      <c r="AV540" t="inlineStr">
        <is>
          <t>22204892</t>
        </is>
      </c>
      <c r="AW540" t="inlineStr">
        <is>
          <t>991001753949702656</t>
        </is>
      </c>
      <c r="AX540" t="inlineStr">
        <is>
          <t>991001753949702656</t>
        </is>
      </c>
      <c r="AY540" t="inlineStr">
        <is>
          <t>2258763960002656</t>
        </is>
      </c>
      <c r="AZ540" t="inlineStr">
        <is>
          <t>BOOK</t>
        </is>
      </c>
      <c r="BB540" t="inlineStr">
        <is>
          <t>9780930146214</t>
        </is>
      </c>
      <c r="BC540" t="inlineStr">
        <is>
          <t>32285000244755</t>
        </is>
      </c>
      <c r="BD540" t="inlineStr">
        <is>
          <t>893684615</t>
        </is>
      </c>
    </row>
    <row r="541">
      <c r="A541" t="inlineStr">
        <is>
          <t>No</t>
        </is>
      </c>
      <c r="B541" t="inlineStr">
        <is>
          <t>QH366.2 .E87</t>
        </is>
      </c>
      <c r="C541" t="inlineStr">
        <is>
          <t>0                      QH 0366200E  87</t>
        </is>
      </c>
      <c r="D541" t="inlineStr">
        <is>
          <t>The Evolutionary synthesis : perspectives on the unification of biology / edited by Ernst Mayr and William B. Provine.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Cambridge, Mass. : Harvard University Press, 1980.</t>
        </is>
      </c>
      <c r="M541" t="inlineStr">
        <is>
          <t>1980</t>
        </is>
      </c>
      <c r="O541" t="inlineStr">
        <is>
          <t>eng</t>
        </is>
      </c>
      <c r="P541" t="inlineStr">
        <is>
          <t>mau</t>
        </is>
      </c>
      <c r="R541" t="inlineStr">
        <is>
          <t xml:space="preserve">QH </t>
        </is>
      </c>
      <c r="S541" t="n">
        <v>8</v>
      </c>
      <c r="T541" t="n">
        <v>8</v>
      </c>
      <c r="U541" t="inlineStr">
        <is>
          <t>1997-03-21</t>
        </is>
      </c>
      <c r="V541" t="inlineStr">
        <is>
          <t>1997-03-21</t>
        </is>
      </c>
      <c r="W541" t="inlineStr">
        <is>
          <t>1993-03-29</t>
        </is>
      </c>
      <c r="X541" t="inlineStr">
        <is>
          <t>1993-03-29</t>
        </is>
      </c>
      <c r="Y541" t="n">
        <v>875</v>
      </c>
      <c r="Z541" t="n">
        <v>700</v>
      </c>
      <c r="AA541" t="n">
        <v>732</v>
      </c>
      <c r="AB541" t="n">
        <v>9</v>
      </c>
      <c r="AC541" t="n">
        <v>10</v>
      </c>
      <c r="AD541" t="n">
        <v>31</v>
      </c>
      <c r="AE541" t="n">
        <v>34</v>
      </c>
      <c r="AF541" t="n">
        <v>9</v>
      </c>
      <c r="AG541" t="n">
        <v>10</v>
      </c>
      <c r="AH541" t="n">
        <v>6</v>
      </c>
      <c r="AI541" t="n">
        <v>6</v>
      </c>
      <c r="AJ541" t="n">
        <v>16</v>
      </c>
      <c r="AK541" t="n">
        <v>17</v>
      </c>
      <c r="AL541" t="n">
        <v>8</v>
      </c>
      <c r="AM541" t="n">
        <v>9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HYPERLINK("http://catalog.hathitrust.org/Record/000138255","HathiTrust Record")</f>
        <v/>
      </c>
      <c r="AS541">
        <f>HYPERLINK("https://creighton-primo.hosted.exlibrisgroup.com/primo-explore/search?tab=default_tab&amp;search_scope=EVERYTHING&amp;vid=01CRU&amp;lang=en_US&amp;offset=0&amp;query=any,contains,991004947879702656","Catalog Record")</f>
        <v/>
      </c>
      <c r="AT541">
        <f>HYPERLINK("http://www.worldcat.org/oclc/6223021","WorldCat Record")</f>
        <v/>
      </c>
      <c r="AU541" t="inlineStr">
        <is>
          <t>836655442:eng</t>
        </is>
      </c>
      <c r="AV541" t="inlineStr">
        <is>
          <t>6223021</t>
        </is>
      </c>
      <c r="AW541" t="inlineStr">
        <is>
          <t>991004947879702656</t>
        </is>
      </c>
      <c r="AX541" t="inlineStr">
        <is>
          <t>991004947879702656</t>
        </is>
      </c>
      <c r="AY541" t="inlineStr">
        <is>
          <t>2268398710002656</t>
        </is>
      </c>
      <c r="AZ541" t="inlineStr">
        <is>
          <t>BOOK</t>
        </is>
      </c>
      <c r="BB541" t="inlineStr">
        <is>
          <t>9780674272255</t>
        </is>
      </c>
      <c r="BC541" t="inlineStr">
        <is>
          <t>32285001553725</t>
        </is>
      </c>
      <c r="BD541" t="inlineStr">
        <is>
          <t>893325971</t>
        </is>
      </c>
    </row>
    <row r="542">
      <c r="A542" t="inlineStr">
        <is>
          <t>No</t>
        </is>
      </c>
      <c r="B542" t="inlineStr">
        <is>
          <t>QH366.2 .E8727 1990</t>
        </is>
      </c>
      <c r="C542" t="inlineStr">
        <is>
          <t>0                      QH 0366200E  8727        1990</t>
        </is>
      </c>
      <c r="D542" t="inlineStr">
        <is>
          <t>Evolutionary trends / edited by Kenneth J. McNamara.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London : Belhaven Press, 1990.</t>
        </is>
      </c>
      <c r="M542" t="inlineStr">
        <is>
          <t>1990</t>
        </is>
      </c>
      <c r="O542" t="inlineStr">
        <is>
          <t>eng</t>
        </is>
      </c>
      <c r="P542" t="inlineStr">
        <is>
          <t>enk</t>
        </is>
      </c>
      <c r="R542" t="inlineStr">
        <is>
          <t xml:space="preserve">QH </t>
        </is>
      </c>
      <c r="S542" t="n">
        <v>10</v>
      </c>
      <c r="T542" t="n">
        <v>10</v>
      </c>
      <c r="U542" t="inlineStr">
        <is>
          <t>1999-02-10</t>
        </is>
      </c>
      <c r="V542" t="inlineStr">
        <is>
          <t>1999-02-10</t>
        </is>
      </c>
      <c r="W542" t="inlineStr">
        <is>
          <t>1991-06-05</t>
        </is>
      </c>
      <c r="X542" t="inlineStr">
        <is>
          <t>1991-06-05</t>
        </is>
      </c>
      <c r="Y542" t="n">
        <v>148</v>
      </c>
      <c r="Z542" t="n">
        <v>41</v>
      </c>
      <c r="AA542" t="n">
        <v>322</v>
      </c>
      <c r="AB542" t="n">
        <v>1</v>
      </c>
      <c r="AC542" t="n">
        <v>3</v>
      </c>
      <c r="AD542" t="n">
        <v>2</v>
      </c>
      <c r="AE542" t="n">
        <v>17</v>
      </c>
      <c r="AF542" t="n">
        <v>0</v>
      </c>
      <c r="AG542" t="n">
        <v>8</v>
      </c>
      <c r="AH542" t="n">
        <v>1</v>
      </c>
      <c r="AI542" t="n">
        <v>4</v>
      </c>
      <c r="AJ542" t="n">
        <v>1</v>
      </c>
      <c r="AK542" t="n">
        <v>5</v>
      </c>
      <c r="AL542" t="n">
        <v>0</v>
      </c>
      <c r="AM542" t="n">
        <v>2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HYPERLINK("http://catalog.hathitrust.org/Record/009798670","HathiTrust Record")</f>
        <v/>
      </c>
      <c r="AS542">
        <f>HYPERLINK("https://creighton-primo.hosted.exlibrisgroup.com/primo-explore/search?tab=default_tab&amp;search_scope=EVERYTHING&amp;vid=01CRU&amp;lang=en_US&amp;offset=0&amp;query=any,contains,991001740589702656","Catalog Record")</f>
        <v/>
      </c>
      <c r="AT542">
        <f>HYPERLINK("http://www.worldcat.org/oclc/22003511","WorldCat Record")</f>
        <v/>
      </c>
      <c r="AU542" t="inlineStr">
        <is>
          <t>55353724:eng</t>
        </is>
      </c>
      <c r="AV542" t="inlineStr">
        <is>
          <t>22003511</t>
        </is>
      </c>
      <c r="AW542" t="inlineStr">
        <is>
          <t>991001740589702656</t>
        </is>
      </c>
      <c r="AX542" t="inlineStr">
        <is>
          <t>991001740589702656</t>
        </is>
      </c>
      <c r="AY542" t="inlineStr">
        <is>
          <t>2269773900002656</t>
        </is>
      </c>
      <c r="AZ542" t="inlineStr">
        <is>
          <t>BOOK</t>
        </is>
      </c>
      <c r="BB542" t="inlineStr">
        <is>
          <t>9781852930912</t>
        </is>
      </c>
      <c r="BC542" t="inlineStr">
        <is>
          <t>32285000593086</t>
        </is>
      </c>
      <c r="BD542" t="inlineStr">
        <is>
          <t>893772845</t>
        </is>
      </c>
    </row>
    <row r="543">
      <c r="A543" t="inlineStr">
        <is>
          <t>No</t>
        </is>
      </c>
      <c r="B543" t="inlineStr">
        <is>
          <t>QH366.2 .E874</t>
        </is>
      </c>
      <c r="C543" t="inlineStr">
        <is>
          <t>0                      QH 0366200E  874</t>
        </is>
      </c>
      <c r="D543" t="inlineStr">
        <is>
          <t>The Evolving biosphere / editor, P.L. Forey.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London : British Museum (Natural History) ; New York : Cambridge University Press, 1981.</t>
        </is>
      </c>
      <c r="M543" t="inlineStr">
        <is>
          <t>1981</t>
        </is>
      </c>
      <c r="O543" t="inlineStr">
        <is>
          <t>eng</t>
        </is>
      </c>
      <c r="P543" t="inlineStr">
        <is>
          <t>enk</t>
        </is>
      </c>
      <c r="Q543" t="inlineStr">
        <is>
          <t>Chance, change &amp; challenge</t>
        </is>
      </c>
      <c r="R543" t="inlineStr">
        <is>
          <t xml:space="preserve">QH </t>
        </is>
      </c>
      <c r="S543" t="n">
        <v>4</v>
      </c>
      <c r="T543" t="n">
        <v>4</v>
      </c>
      <c r="U543" t="inlineStr">
        <is>
          <t>1997-02-20</t>
        </is>
      </c>
      <c r="V543" t="inlineStr">
        <is>
          <t>1997-02-20</t>
        </is>
      </c>
      <c r="W543" t="inlineStr">
        <is>
          <t>1993-03-29</t>
        </is>
      </c>
      <c r="X543" t="inlineStr">
        <is>
          <t>1993-03-29</t>
        </is>
      </c>
      <c r="Y543" t="n">
        <v>541</v>
      </c>
      <c r="Z543" t="n">
        <v>393</v>
      </c>
      <c r="AA543" t="n">
        <v>398</v>
      </c>
      <c r="AB543" t="n">
        <v>4</v>
      </c>
      <c r="AC543" t="n">
        <v>4</v>
      </c>
      <c r="AD543" t="n">
        <v>12</v>
      </c>
      <c r="AE543" t="n">
        <v>12</v>
      </c>
      <c r="AF543" t="n">
        <v>3</v>
      </c>
      <c r="AG543" t="n">
        <v>3</v>
      </c>
      <c r="AH543" t="n">
        <v>3</v>
      </c>
      <c r="AI543" t="n">
        <v>3</v>
      </c>
      <c r="AJ543" t="n">
        <v>5</v>
      </c>
      <c r="AK543" t="n">
        <v>5</v>
      </c>
      <c r="AL543" t="n">
        <v>3</v>
      </c>
      <c r="AM543" t="n">
        <v>3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HYPERLINK("https://creighton-primo.hosted.exlibrisgroup.com/primo-explore/search?tab=default_tab&amp;search_scope=EVERYTHING&amp;vid=01CRU&amp;lang=en_US&amp;offset=0&amp;query=any,contains,991005141949702656","Catalog Record")</f>
        <v/>
      </c>
      <c r="AT543">
        <f>HYPERLINK("http://www.worldcat.org/oclc/7617674","WorldCat Record")</f>
        <v/>
      </c>
      <c r="AU543" t="inlineStr">
        <is>
          <t>28733967:eng</t>
        </is>
      </c>
      <c r="AV543" t="inlineStr">
        <is>
          <t>7617674</t>
        </is>
      </c>
      <c r="AW543" t="inlineStr">
        <is>
          <t>991005141949702656</t>
        </is>
      </c>
      <c r="AX543" t="inlineStr">
        <is>
          <t>991005141949702656</t>
        </is>
      </c>
      <c r="AY543" t="inlineStr">
        <is>
          <t>2255756980002656</t>
        </is>
      </c>
      <c r="AZ543" t="inlineStr">
        <is>
          <t>BOOK</t>
        </is>
      </c>
      <c r="BB543" t="inlineStr">
        <is>
          <t>9780521238113</t>
        </is>
      </c>
      <c r="BC543" t="inlineStr">
        <is>
          <t>32285001553741</t>
        </is>
      </c>
      <c r="BD543" t="inlineStr">
        <is>
          <t>893713506</t>
        </is>
      </c>
    </row>
    <row r="544">
      <c r="A544" t="inlineStr">
        <is>
          <t>No</t>
        </is>
      </c>
      <c r="B544" t="inlineStr">
        <is>
          <t>QH366.2 .F87 1986</t>
        </is>
      </c>
      <c r="C544" t="inlineStr">
        <is>
          <t>0                      QH 0366200F  87          1986</t>
        </is>
      </c>
      <c r="D544" t="inlineStr">
        <is>
          <t>Evolutionary biology / Douglas J. Futuyma.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Futuyma, Douglas J., 1942-</t>
        </is>
      </c>
      <c r="L544" t="inlineStr">
        <is>
          <t>Sunderland, Mass. : Sinauer Associates, c1986.</t>
        </is>
      </c>
      <c r="M544" t="inlineStr">
        <is>
          <t>1986</t>
        </is>
      </c>
      <c r="N544" t="inlineStr">
        <is>
          <t>2nd ed.</t>
        </is>
      </c>
      <c r="O544" t="inlineStr">
        <is>
          <t>eng</t>
        </is>
      </c>
      <c r="P544" t="inlineStr">
        <is>
          <t>mau</t>
        </is>
      </c>
      <c r="R544" t="inlineStr">
        <is>
          <t xml:space="preserve">QH </t>
        </is>
      </c>
      <c r="S544" t="n">
        <v>13</v>
      </c>
      <c r="T544" t="n">
        <v>13</v>
      </c>
      <c r="U544" t="inlineStr">
        <is>
          <t>2008-05-19</t>
        </is>
      </c>
      <c r="V544" t="inlineStr">
        <is>
          <t>2008-05-19</t>
        </is>
      </c>
      <c r="W544" t="inlineStr">
        <is>
          <t>1990-02-13</t>
        </is>
      </c>
      <c r="X544" t="inlineStr">
        <is>
          <t>1990-02-13</t>
        </is>
      </c>
      <c r="Y544" t="n">
        <v>560</v>
      </c>
      <c r="Z544" t="n">
        <v>376</v>
      </c>
      <c r="AA544" t="n">
        <v>854</v>
      </c>
      <c r="AB544" t="n">
        <v>2</v>
      </c>
      <c r="AC544" t="n">
        <v>8</v>
      </c>
      <c r="AD544" t="n">
        <v>23</v>
      </c>
      <c r="AE544" t="n">
        <v>42</v>
      </c>
      <c r="AF544" t="n">
        <v>11</v>
      </c>
      <c r="AG544" t="n">
        <v>18</v>
      </c>
      <c r="AH544" t="n">
        <v>4</v>
      </c>
      <c r="AI544" t="n">
        <v>9</v>
      </c>
      <c r="AJ544" t="n">
        <v>13</v>
      </c>
      <c r="AK544" t="n">
        <v>18</v>
      </c>
      <c r="AL544" t="n">
        <v>2</v>
      </c>
      <c r="AM544" t="n">
        <v>7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HYPERLINK("http://catalog.hathitrust.org/Record/000847352","HathiTrust Record")</f>
        <v/>
      </c>
      <c r="AS544">
        <f>HYPERLINK("https://creighton-primo.hosted.exlibrisgroup.com/primo-explore/search?tab=default_tab&amp;search_scope=EVERYTHING&amp;vid=01CRU&amp;lang=en_US&amp;offset=0&amp;query=any,contains,991000878539702656","Catalog Record")</f>
        <v/>
      </c>
      <c r="AT544">
        <f>HYPERLINK("http://www.worldcat.org/oclc/13822044","WorldCat Record")</f>
        <v/>
      </c>
      <c r="AU544" t="inlineStr">
        <is>
          <t>417233:eng</t>
        </is>
      </c>
      <c r="AV544" t="inlineStr">
        <is>
          <t>13822044</t>
        </is>
      </c>
      <c r="AW544" t="inlineStr">
        <is>
          <t>991000878539702656</t>
        </is>
      </c>
      <c r="AX544" t="inlineStr">
        <is>
          <t>991000878539702656</t>
        </is>
      </c>
      <c r="AY544" t="inlineStr">
        <is>
          <t>2266827780002656</t>
        </is>
      </c>
      <c r="AZ544" t="inlineStr">
        <is>
          <t>BOOK</t>
        </is>
      </c>
      <c r="BB544" t="inlineStr">
        <is>
          <t>9780878931880</t>
        </is>
      </c>
      <c r="BC544" t="inlineStr">
        <is>
          <t>32285000052851</t>
        </is>
      </c>
      <c r="BD544" t="inlineStr">
        <is>
          <t>893602135</t>
        </is>
      </c>
    </row>
    <row r="545">
      <c r="A545" t="inlineStr">
        <is>
          <t>No</t>
        </is>
      </c>
      <c r="B545" t="inlineStr">
        <is>
          <t>QH366.2 .F88 1983</t>
        </is>
      </c>
      <c r="C545" t="inlineStr">
        <is>
          <t>0                      QH 0366200F  88          1983</t>
        </is>
      </c>
      <c r="D545" t="inlineStr">
        <is>
          <t>Science on trial : the case for evolution / Douglas J. Futuyma.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Futuyma, Douglas J., 1942-</t>
        </is>
      </c>
      <c r="L545" t="inlineStr">
        <is>
          <t>New York : Pantheon Books, c1983.</t>
        </is>
      </c>
      <c r="M545" t="inlineStr">
        <is>
          <t>1983</t>
        </is>
      </c>
      <c r="N545" t="inlineStr">
        <is>
          <t>1st ed.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QH </t>
        </is>
      </c>
      <c r="S545" t="n">
        <v>10</v>
      </c>
      <c r="T545" t="n">
        <v>10</v>
      </c>
      <c r="U545" t="inlineStr">
        <is>
          <t>1996-02-23</t>
        </is>
      </c>
      <c r="V545" t="inlineStr">
        <is>
          <t>1996-02-23</t>
        </is>
      </c>
      <c r="W545" t="inlineStr">
        <is>
          <t>1995-12-21</t>
        </is>
      </c>
      <c r="X545" t="inlineStr">
        <is>
          <t>1995-12-21</t>
        </is>
      </c>
      <c r="Y545" t="n">
        <v>1105</v>
      </c>
      <c r="Z545" t="n">
        <v>996</v>
      </c>
      <c r="AA545" t="n">
        <v>1236</v>
      </c>
      <c r="AB545" t="n">
        <v>4</v>
      </c>
      <c r="AC545" t="n">
        <v>8</v>
      </c>
      <c r="AD545" t="n">
        <v>37</v>
      </c>
      <c r="AE545" t="n">
        <v>50</v>
      </c>
      <c r="AF545" t="n">
        <v>19</v>
      </c>
      <c r="AG545" t="n">
        <v>23</v>
      </c>
      <c r="AH545" t="n">
        <v>5</v>
      </c>
      <c r="AI545" t="n">
        <v>10</v>
      </c>
      <c r="AJ545" t="n">
        <v>18</v>
      </c>
      <c r="AK545" t="n">
        <v>22</v>
      </c>
      <c r="AL545" t="n">
        <v>3</v>
      </c>
      <c r="AM545" t="n">
        <v>7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HYPERLINK("http://catalog.hathitrust.org/Record/000309175","HathiTrust Record")</f>
        <v/>
      </c>
      <c r="AS545">
        <f>HYPERLINK("https://creighton-primo.hosted.exlibrisgroup.com/primo-explore/search?tab=default_tab&amp;search_scope=EVERYTHING&amp;vid=01CRU&amp;lang=en_US&amp;offset=0&amp;query=any,contains,991005247089702656","Catalog Record")</f>
        <v/>
      </c>
      <c r="AT545">
        <f>HYPERLINK("http://www.worldcat.org/oclc/8474001","WorldCat Record")</f>
        <v/>
      </c>
      <c r="AU545" t="inlineStr">
        <is>
          <t>463489:eng</t>
        </is>
      </c>
      <c r="AV545" t="inlineStr">
        <is>
          <t>8474001</t>
        </is>
      </c>
      <c r="AW545" t="inlineStr">
        <is>
          <t>991005247089702656</t>
        </is>
      </c>
      <c r="AX545" t="inlineStr">
        <is>
          <t>991005247089702656</t>
        </is>
      </c>
      <c r="AY545" t="inlineStr">
        <is>
          <t>2258907080002656</t>
        </is>
      </c>
      <c r="AZ545" t="inlineStr">
        <is>
          <t>BOOK</t>
        </is>
      </c>
      <c r="BB545" t="inlineStr">
        <is>
          <t>9780394523712</t>
        </is>
      </c>
      <c r="BC545" t="inlineStr">
        <is>
          <t>32285002120466</t>
        </is>
      </c>
      <c r="BD545" t="inlineStr">
        <is>
          <t>893877186</t>
        </is>
      </c>
    </row>
    <row r="546">
      <c r="A546" t="inlineStr">
        <is>
          <t>No</t>
        </is>
      </c>
      <c r="B546" t="inlineStr">
        <is>
          <t>QH366.2 .G463 1997</t>
        </is>
      </c>
      <c r="C546" t="inlineStr">
        <is>
          <t>0                      QH 0366200G  463         1997</t>
        </is>
      </c>
      <c r="D546" t="inlineStr">
        <is>
          <t>Cells, embryos, and evolution : toward a cellular and developmental understanding of phenotypic variation and evolutionary adaptability / John Gerhart, Marc Kirschner ; Eileen Starr Moderbacher, illustrations and cover design.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Gerhart, John, 1936-</t>
        </is>
      </c>
      <c r="L546" t="inlineStr">
        <is>
          <t>Malden, Mass. : Blackwell Science, 1997.</t>
        </is>
      </c>
      <c r="M546" t="inlineStr">
        <is>
          <t>1997</t>
        </is>
      </c>
      <c r="O546" t="inlineStr">
        <is>
          <t>eng</t>
        </is>
      </c>
      <c r="P546" t="inlineStr">
        <is>
          <t>mau</t>
        </is>
      </c>
      <c r="R546" t="inlineStr">
        <is>
          <t xml:space="preserve">QH </t>
        </is>
      </c>
      <c r="S546" t="n">
        <v>3</v>
      </c>
      <c r="T546" t="n">
        <v>3</v>
      </c>
      <c r="U546" t="inlineStr">
        <is>
          <t>2001-02-19</t>
        </is>
      </c>
      <c r="V546" t="inlineStr">
        <is>
          <t>2001-02-19</t>
        </is>
      </c>
      <c r="W546" t="inlineStr">
        <is>
          <t>1997-08-22</t>
        </is>
      </c>
      <c r="X546" t="inlineStr">
        <is>
          <t>1997-08-22</t>
        </is>
      </c>
      <c r="Y546" t="n">
        <v>491</v>
      </c>
      <c r="Z546" t="n">
        <v>352</v>
      </c>
      <c r="AA546" t="n">
        <v>808</v>
      </c>
      <c r="AB546" t="n">
        <v>3</v>
      </c>
      <c r="AC546" t="n">
        <v>4</v>
      </c>
      <c r="AD546" t="n">
        <v>20</v>
      </c>
      <c r="AE546" t="n">
        <v>24</v>
      </c>
      <c r="AF546" t="n">
        <v>7</v>
      </c>
      <c r="AG546" t="n">
        <v>10</v>
      </c>
      <c r="AH546" t="n">
        <v>6</v>
      </c>
      <c r="AI546" t="n">
        <v>6</v>
      </c>
      <c r="AJ546" t="n">
        <v>12</v>
      </c>
      <c r="AK546" t="n">
        <v>12</v>
      </c>
      <c r="AL546" t="n">
        <v>2</v>
      </c>
      <c r="AM546" t="n">
        <v>3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HYPERLINK("http://catalog.hathitrust.org/Record/003159302","HathiTrust Record")</f>
        <v/>
      </c>
      <c r="AS546">
        <f>HYPERLINK("https://creighton-primo.hosted.exlibrisgroup.com/primo-explore/search?tab=default_tab&amp;search_scope=EVERYTHING&amp;vid=01CRU&amp;lang=en_US&amp;offset=0&amp;query=any,contains,991002743259702656","Catalog Record")</f>
        <v/>
      </c>
      <c r="AT546">
        <f>HYPERLINK("http://www.worldcat.org/oclc/36011753","WorldCat Record")</f>
        <v/>
      </c>
      <c r="AU546" t="inlineStr">
        <is>
          <t>799980309:eng</t>
        </is>
      </c>
      <c r="AV546" t="inlineStr">
        <is>
          <t>36011753</t>
        </is>
      </c>
      <c r="AW546" t="inlineStr">
        <is>
          <t>991002743259702656</t>
        </is>
      </c>
      <c r="AX546" t="inlineStr">
        <is>
          <t>991002743259702656</t>
        </is>
      </c>
      <c r="AY546" t="inlineStr">
        <is>
          <t>2254734110002656</t>
        </is>
      </c>
      <c r="AZ546" t="inlineStr">
        <is>
          <t>BOOK</t>
        </is>
      </c>
      <c r="BB546" t="inlineStr">
        <is>
          <t>9780865425743</t>
        </is>
      </c>
      <c r="BC546" t="inlineStr">
        <is>
          <t>32285003001533</t>
        </is>
      </c>
      <c r="BD546" t="inlineStr">
        <is>
          <t>893867623</t>
        </is>
      </c>
    </row>
    <row r="547">
      <c r="A547" t="inlineStr">
        <is>
          <t>No</t>
        </is>
      </c>
      <c r="B547" t="inlineStr">
        <is>
          <t>QH366.2 .G655 1996</t>
        </is>
      </c>
      <c r="C547" t="inlineStr">
        <is>
          <t>0                      QH 0366200G  655         1996</t>
        </is>
      </c>
      <c r="D547" t="inlineStr">
        <is>
          <t>How the leopard changed its spots : the evolution of complexity / Brian Goodwin.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Goodwin, Brian C.</t>
        </is>
      </c>
      <c r="L547" t="inlineStr">
        <is>
          <t>New York : Simon &amp; Schuster, 1996.</t>
        </is>
      </c>
      <c r="M547" t="inlineStr">
        <is>
          <t>1996</t>
        </is>
      </c>
      <c r="N547" t="inlineStr">
        <is>
          <t>1st Touchstone ed.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QH </t>
        </is>
      </c>
      <c r="S547" t="n">
        <v>2</v>
      </c>
      <c r="T547" t="n">
        <v>2</v>
      </c>
      <c r="U547" t="inlineStr">
        <is>
          <t>1999-09-08</t>
        </is>
      </c>
      <c r="V547" t="inlineStr">
        <is>
          <t>1999-09-08</t>
        </is>
      </c>
      <c r="W547" t="inlineStr">
        <is>
          <t>1996-11-20</t>
        </is>
      </c>
      <c r="X547" t="inlineStr">
        <is>
          <t>1996-11-20</t>
        </is>
      </c>
      <c r="Y547" t="n">
        <v>94</v>
      </c>
      <c r="Z547" t="n">
        <v>78</v>
      </c>
      <c r="AA547" t="n">
        <v>837</v>
      </c>
      <c r="AB547" t="n">
        <v>1</v>
      </c>
      <c r="AC547" t="n">
        <v>6</v>
      </c>
      <c r="AD547" t="n">
        <v>3</v>
      </c>
      <c r="AE547" t="n">
        <v>36</v>
      </c>
      <c r="AF547" t="n">
        <v>2</v>
      </c>
      <c r="AG547" t="n">
        <v>14</v>
      </c>
      <c r="AH547" t="n">
        <v>0</v>
      </c>
      <c r="AI547" t="n">
        <v>8</v>
      </c>
      <c r="AJ547" t="n">
        <v>1</v>
      </c>
      <c r="AK547" t="n">
        <v>20</v>
      </c>
      <c r="AL547" t="n">
        <v>0</v>
      </c>
      <c r="AM547" t="n">
        <v>5</v>
      </c>
      <c r="AN547" t="n">
        <v>0</v>
      </c>
      <c r="AO547" t="n">
        <v>0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HYPERLINK("https://creighton-primo.hosted.exlibrisgroup.com/primo-explore/search?tab=default_tab&amp;search_scope=EVERYTHING&amp;vid=01CRU&amp;lang=en_US&amp;offset=0&amp;query=any,contains,991002582409702656","Catalog Record")</f>
        <v/>
      </c>
      <c r="AT547">
        <f>HYPERLINK("http://www.worldcat.org/oclc/33861896","WorldCat Record")</f>
        <v/>
      </c>
      <c r="AU547" t="inlineStr">
        <is>
          <t>32117577:eng</t>
        </is>
      </c>
      <c r="AV547" t="inlineStr">
        <is>
          <t>33861896</t>
        </is>
      </c>
      <c r="AW547" t="inlineStr">
        <is>
          <t>991002582409702656</t>
        </is>
      </c>
      <c r="AX547" t="inlineStr">
        <is>
          <t>991002582409702656</t>
        </is>
      </c>
      <c r="AY547" t="inlineStr">
        <is>
          <t>2266430280002656</t>
        </is>
      </c>
      <c r="AZ547" t="inlineStr">
        <is>
          <t>BOOK</t>
        </is>
      </c>
      <c r="BB547" t="inlineStr">
        <is>
          <t>9780684804514</t>
        </is>
      </c>
      <c r="BC547" t="inlineStr">
        <is>
          <t>32285002374683</t>
        </is>
      </c>
      <c r="BD547" t="inlineStr">
        <is>
          <t>893779977</t>
        </is>
      </c>
    </row>
    <row r="548">
      <c r="A548" t="inlineStr">
        <is>
          <t>No</t>
        </is>
      </c>
      <c r="B548" t="inlineStr">
        <is>
          <t>QH366.2 .G657 1995</t>
        </is>
      </c>
      <c r="C548" t="inlineStr">
        <is>
          <t>0                      QH 0366200G  657         1995</t>
        </is>
      </c>
      <c r="D548" t="inlineStr">
        <is>
          <t>Invasions of the land : the transitions of organisms from aquatic to terrestrial life / Malcolm S. Gordon and Everett C. Olson.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Gordon, Malcolm S.</t>
        </is>
      </c>
      <c r="L548" t="inlineStr">
        <is>
          <t>New York : Columbia University Press, c1995.</t>
        </is>
      </c>
      <c r="M548" t="inlineStr">
        <is>
          <t>1995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QH </t>
        </is>
      </c>
      <c r="S548" t="n">
        <v>1</v>
      </c>
      <c r="T548" t="n">
        <v>1</v>
      </c>
      <c r="U548" t="inlineStr">
        <is>
          <t>2001-02-19</t>
        </is>
      </c>
      <c r="V548" t="inlineStr">
        <is>
          <t>2001-02-19</t>
        </is>
      </c>
      <c r="W548" t="inlineStr">
        <is>
          <t>1995-12-05</t>
        </is>
      </c>
      <c r="X548" t="inlineStr">
        <is>
          <t>1995-12-05</t>
        </is>
      </c>
      <c r="Y548" t="n">
        <v>551</v>
      </c>
      <c r="Z548" t="n">
        <v>468</v>
      </c>
      <c r="AA548" t="n">
        <v>474</v>
      </c>
      <c r="AB548" t="n">
        <v>7</v>
      </c>
      <c r="AC548" t="n">
        <v>7</v>
      </c>
      <c r="AD548" t="n">
        <v>28</v>
      </c>
      <c r="AE548" t="n">
        <v>28</v>
      </c>
      <c r="AF548" t="n">
        <v>9</v>
      </c>
      <c r="AG548" t="n">
        <v>9</v>
      </c>
      <c r="AH548" t="n">
        <v>5</v>
      </c>
      <c r="AI548" t="n">
        <v>5</v>
      </c>
      <c r="AJ548" t="n">
        <v>14</v>
      </c>
      <c r="AK548" t="n">
        <v>14</v>
      </c>
      <c r="AL548" t="n">
        <v>6</v>
      </c>
      <c r="AM548" t="n">
        <v>6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HYPERLINK("https://creighton-primo.hosted.exlibrisgroup.com/primo-explore/search?tab=default_tab&amp;search_scope=EVERYTHING&amp;vid=01CRU&amp;lang=en_US&amp;offset=0&amp;query=any,contains,991002343189702656","Catalog Record")</f>
        <v/>
      </c>
      <c r="AT548">
        <f>HYPERLINK("http://www.worldcat.org/oclc/30511427","WorldCat Record")</f>
        <v/>
      </c>
      <c r="AU548" t="inlineStr">
        <is>
          <t>1061660:eng</t>
        </is>
      </c>
      <c r="AV548" t="inlineStr">
        <is>
          <t>30511427</t>
        </is>
      </c>
      <c r="AW548" t="inlineStr">
        <is>
          <t>991002343189702656</t>
        </is>
      </c>
      <c r="AX548" t="inlineStr">
        <is>
          <t>991002343189702656</t>
        </is>
      </c>
      <c r="AY548" t="inlineStr">
        <is>
          <t>2256677890002656</t>
        </is>
      </c>
      <c r="AZ548" t="inlineStr">
        <is>
          <t>BOOK</t>
        </is>
      </c>
      <c r="BB548" t="inlineStr">
        <is>
          <t>9780231068765</t>
        </is>
      </c>
      <c r="BC548" t="inlineStr">
        <is>
          <t>32285002108123</t>
        </is>
      </c>
      <c r="BD548" t="inlineStr">
        <is>
          <t>893232845</t>
        </is>
      </c>
    </row>
    <row r="549">
      <c r="A549" t="inlineStr">
        <is>
          <t>No</t>
        </is>
      </c>
      <c r="B549" t="inlineStr">
        <is>
          <t>QH366.2 .G6594 1996</t>
        </is>
      </c>
      <c r="C549" t="inlineStr">
        <is>
          <t>0                      QH 0366200G  6594        1996</t>
        </is>
      </c>
      <c r="D549" t="inlineStr">
        <is>
          <t>Full house : the spread of excellence from Plato to Darwin / Stephen Jay Gould.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Gould, Stephen Jay.</t>
        </is>
      </c>
      <c r="L549" t="inlineStr">
        <is>
          <t>New York : Harmony Books, c1996.</t>
        </is>
      </c>
      <c r="M549" t="inlineStr">
        <is>
          <t>1996</t>
        </is>
      </c>
      <c r="N549" t="inlineStr">
        <is>
          <t>1st ed.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QH </t>
        </is>
      </c>
      <c r="S549" t="n">
        <v>6</v>
      </c>
      <c r="T549" t="n">
        <v>6</v>
      </c>
      <c r="U549" t="inlineStr">
        <is>
          <t>2007-02-02</t>
        </is>
      </c>
      <c r="V549" t="inlineStr">
        <is>
          <t>2007-02-02</t>
        </is>
      </c>
      <c r="W549" t="inlineStr">
        <is>
          <t>1996-10-22</t>
        </is>
      </c>
      <c r="X549" t="inlineStr">
        <is>
          <t>1996-10-22</t>
        </is>
      </c>
      <c r="Y549" t="n">
        <v>1581</v>
      </c>
      <c r="Z549" t="n">
        <v>1466</v>
      </c>
      <c r="AA549" t="n">
        <v>2074</v>
      </c>
      <c r="AB549" t="n">
        <v>14</v>
      </c>
      <c r="AC549" t="n">
        <v>18</v>
      </c>
      <c r="AD549" t="n">
        <v>37</v>
      </c>
      <c r="AE549" t="n">
        <v>48</v>
      </c>
      <c r="AF549" t="n">
        <v>16</v>
      </c>
      <c r="AG549" t="n">
        <v>18</v>
      </c>
      <c r="AH549" t="n">
        <v>7</v>
      </c>
      <c r="AI549" t="n">
        <v>8</v>
      </c>
      <c r="AJ549" t="n">
        <v>18</v>
      </c>
      <c r="AK549" t="n">
        <v>22</v>
      </c>
      <c r="AL549" t="n">
        <v>7</v>
      </c>
      <c r="AM549" t="n">
        <v>11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HYPERLINK("http://catalog.hathitrust.org/Record/003099985","HathiTrust Record")</f>
        <v/>
      </c>
      <c r="AS549">
        <f>HYPERLINK("https://creighton-primo.hosted.exlibrisgroup.com/primo-explore/search?tab=default_tab&amp;search_scope=EVERYTHING&amp;vid=01CRU&amp;lang=en_US&amp;offset=0&amp;query=any,contains,991002706689702656","Catalog Record")</f>
        <v/>
      </c>
      <c r="AT549">
        <f>HYPERLINK("http://www.worldcat.org/oclc/35359843","WorldCat Record")</f>
        <v/>
      </c>
      <c r="AU549" t="inlineStr">
        <is>
          <t>119324223:eng</t>
        </is>
      </c>
      <c r="AV549" t="inlineStr">
        <is>
          <t>35359843</t>
        </is>
      </c>
      <c r="AW549" t="inlineStr">
        <is>
          <t>991002706689702656</t>
        </is>
      </c>
      <c r="AX549" t="inlineStr">
        <is>
          <t>991002706689702656</t>
        </is>
      </c>
      <c r="AY549" t="inlineStr">
        <is>
          <t>2265497140002656</t>
        </is>
      </c>
      <c r="AZ549" t="inlineStr">
        <is>
          <t>BOOK</t>
        </is>
      </c>
      <c r="BB549" t="inlineStr">
        <is>
          <t>9780517703946</t>
        </is>
      </c>
      <c r="BC549" t="inlineStr">
        <is>
          <t>32285002367760</t>
        </is>
      </c>
      <c r="BD549" t="inlineStr">
        <is>
          <t>893698145</t>
        </is>
      </c>
    </row>
    <row r="550">
      <c r="A550" t="inlineStr">
        <is>
          <t>No</t>
        </is>
      </c>
      <c r="B550" t="inlineStr">
        <is>
          <t>QH366.2 .G66 1983</t>
        </is>
      </c>
      <c r="C550" t="inlineStr">
        <is>
          <t>0                      QH 0366200G  66          1983</t>
        </is>
      </c>
      <c r="D550" t="inlineStr">
        <is>
          <t>Hen's teeth and horse's toes / Stephen Jay Gould.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Gould, Stephen Jay.</t>
        </is>
      </c>
      <c r="L550" t="inlineStr">
        <is>
          <t>New York : Norton, c1983.</t>
        </is>
      </c>
      <c r="M550" t="inlineStr">
        <is>
          <t>1983</t>
        </is>
      </c>
      <c r="N550" t="inlineStr">
        <is>
          <t>1st ed.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QH </t>
        </is>
      </c>
      <c r="S550" t="n">
        <v>16</v>
      </c>
      <c r="T550" t="n">
        <v>16</v>
      </c>
      <c r="U550" t="inlineStr">
        <is>
          <t>2000-02-12</t>
        </is>
      </c>
      <c r="V550" t="inlineStr">
        <is>
          <t>2000-02-12</t>
        </is>
      </c>
      <c r="W550" t="inlineStr">
        <is>
          <t>1992-03-09</t>
        </is>
      </c>
      <c r="X550" t="inlineStr">
        <is>
          <t>1992-03-09</t>
        </is>
      </c>
      <c r="Y550" t="n">
        <v>2070</v>
      </c>
      <c r="Z550" t="n">
        <v>1880</v>
      </c>
      <c r="AA550" t="n">
        <v>1998</v>
      </c>
      <c r="AB550" t="n">
        <v>17</v>
      </c>
      <c r="AC550" t="n">
        <v>18</v>
      </c>
      <c r="AD550" t="n">
        <v>52</v>
      </c>
      <c r="AE550" t="n">
        <v>54</v>
      </c>
      <c r="AF550" t="n">
        <v>20</v>
      </c>
      <c r="AG550" t="n">
        <v>20</v>
      </c>
      <c r="AH550" t="n">
        <v>10</v>
      </c>
      <c r="AI550" t="n">
        <v>10</v>
      </c>
      <c r="AJ550" t="n">
        <v>20</v>
      </c>
      <c r="AK550" t="n">
        <v>21</v>
      </c>
      <c r="AL550" t="n">
        <v>11</v>
      </c>
      <c r="AM550" t="n">
        <v>12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HYPERLINK("https://creighton-primo.hosted.exlibrisgroup.com/primo-explore/search?tab=default_tab&amp;search_scope=EVERYTHING&amp;vid=01CRU&amp;lang=en_US&amp;offset=0&amp;query=any,contains,991000101929702656","Catalog Record")</f>
        <v/>
      </c>
      <c r="AT550">
        <f>HYPERLINK("http://www.worldcat.org/oclc/8954357","WorldCat Record")</f>
        <v/>
      </c>
      <c r="AU550" t="inlineStr">
        <is>
          <t>3976576:eng</t>
        </is>
      </c>
      <c r="AV550" t="inlineStr">
        <is>
          <t>8954357</t>
        </is>
      </c>
      <c r="AW550" t="inlineStr">
        <is>
          <t>991000101929702656</t>
        </is>
      </c>
      <c r="AX550" t="inlineStr">
        <is>
          <t>991000101929702656</t>
        </is>
      </c>
      <c r="AY550" t="inlineStr">
        <is>
          <t>2271124770002656</t>
        </is>
      </c>
      <c r="AZ550" t="inlineStr">
        <is>
          <t>BOOK</t>
        </is>
      </c>
      <c r="BB550" t="inlineStr">
        <is>
          <t>9780393017168</t>
        </is>
      </c>
      <c r="BC550" t="inlineStr">
        <is>
          <t>32285000993849</t>
        </is>
      </c>
      <c r="BD550" t="inlineStr">
        <is>
          <t>893613893</t>
        </is>
      </c>
    </row>
    <row r="551">
      <c r="A551" t="inlineStr">
        <is>
          <t>No</t>
        </is>
      </c>
      <c r="B551" t="inlineStr">
        <is>
          <t>QH366.2 .G67 1985</t>
        </is>
      </c>
      <c r="C551" t="inlineStr">
        <is>
          <t>0                      QH 0366200G  67          1985</t>
        </is>
      </c>
      <c r="D551" t="inlineStr">
        <is>
          <t>The evolutionary process : a critical review of evolutionary theory / Verne Grant.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Grant, Verne.</t>
        </is>
      </c>
      <c r="L551" t="inlineStr">
        <is>
          <t>New York : Columbia University Press, 1985.</t>
        </is>
      </c>
      <c r="M551" t="inlineStr">
        <is>
          <t>1985</t>
        </is>
      </c>
      <c r="O551" t="inlineStr">
        <is>
          <t>eng</t>
        </is>
      </c>
      <c r="P551" t="inlineStr">
        <is>
          <t>nyu</t>
        </is>
      </c>
      <c r="R551" t="inlineStr">
        <is>
          <t xml:space="preserve">QH </t>
        </is>
      </c>
      <c r="S551" t="n">
        <v>8</v>
      </c>
      <c r="T551" t="n">
        <v>8</v>
      </c>
      <c r="U551" t="inlineStr">
        <is>
          <t>1996-02-18</t>
        </is>
      </c>
      <c r="V551" t="inlineStr">
        <is>
          <t>1996-02-18</t>
        </is>
      </c>
      <c r="W551" t="inlineStr">
        <is>
          <t>1993-03-29</t>
        </is>
      </c>
      <c r="X551" t="inlineStr">
        <is>
          <t>1993-03-29</t>
        </is>
      </c>
      <c r="Y551" t="n">
        <v>609</v>
      </c>
      <c r="Z551" t="n">
        <v>504</v>
      </c>
      <c r="AA551" t="n">
        <v>674</v>
      </c>
      <c r="AB551" t="n">
        <v>4</v>
      </c>
      <c r="AC551" t="n">
        <v>7</v>
      </c>
      <c r="AD551" t="n">
        <v>22</v>
      </c>
      <c r="AE551" t="n">
        <v>30</v>
      </c>
      <c r="AF551" t="n">
        <v>8</v>
      </c>
      <c r="AG551" t="n">
        <v>13</v>
      </c>
      <c r="AH551" t="n">
        <v>4</v>
      </c>
      <c r="AI551" t="n">
        <v>4</v>
      </c>
      <c r="AJ551" t="n">
        <v>13</v>
      </c>
      <c r="AK551" t="n">
        <v>15</v>
      </c>
      <c r="AL551" t="n">
        <v>3</v>
      </c>
      <c r="AM551" t="n">
        <v>6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HYPERLINK("http://catalog.hathitrust.org/Record/000374782","HathiTrust Record")</f>
        <v/>
      </c>
      <c r="AS551">
        <f>HYPERLINK("https://creighton-primo.hosted.exlibrisgroup.com/primo-explore/search?tab=default_tab&amp;search_scope=EVERYTHING&amp;vid=01CRU&amp;lang=en_US&amp;offset=0&amp;query=any,contains,991000622899702656","Catalog Record")</f>
        <v/>
      </c>
      <c r="AT551">
        <f>HYPERLINK("http://www.worldcat.org/oclc/11973189","WorldCat Record")</f>
        <v/>
      </c>
      <c r="AU551" t="inlineStr">
        <is>
          <t>836709471:eng</t>
        </is>
      </c>
      <c r="AV551" t="inlineStr">
        <is>
          <t>11973189</t>
        </is>
      </c>
      <c r="AW551" t="inlineStr">
        <is>
          <t>991000622899702656</t>
        </is>
      </c>
      <c r="AX551" t="inlineStr">
        <is>
          <t>991000622899702656</t>
        </is>
      </c>
      <c r="AY551" t="inlineStr">
        <is>
          <t>2258512540002656</t>
        </is>
      </c>
      <c r="AZ551" t="inlineStr">
        <is>
          <t>BOOK</t>
        </is>
      </c>
      <c r="BB551" t="inlineStr">
        <is>
          <t>9780231057530</t>
        </is>
      </c>
      <c r="BC551" t="inlineStr">
        <is>
          <t>32285001553766</t>
        </is>
      </c>
      <c r="BD551" t="inlineStr">
        <is>
          <t>893702278</t>
        </is>
      </c>
    </row>
    <row r="552">
      <c r="A552" t="inlineStr">
        <is>
          <t>No</t>
        </is>
      </c>
      <c r="B552" t="inlineStr">
        <is>
          <t>QH366.2 .G713</t>
        </is>
      </c>
      <c r="C552" t="inlineStr">
        <is>
          <t>0                      QH 0366200G  713</t>
        </is>
      </c>
      <c r="D552" t="inlineStr">
        <is>
          <t>Evolution of living organisms : evidence for a new theory of transformation / Pierre P. Grassé.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Grassé, Pierre-Paul, 1895-1985.</t>
        </is>
      </c>
      <c r="L552" t="inlineStr">
        <is>
          <t>New York : Academic Press, 1977.</t>
        </is>
      </c>
      <c r="M552" t="inlineStr">
        <is>
          <t>1977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QH </t>
        </is>
      </c>
      <c r="S552" t="n">
        <v>5</v>
      </c>
      <c r="T552" t="n">
        <v>5</v>
      </c>
      <c r="U552" t="inlineStr">
        <is>
          <t>1996-02-21</t>
        </is>
      </c>
      <c r="V552" t="inlineStr">
        <is>
          <t>1996-02-21</t>
        </is>
      </c>
      <c r="W552" t="inlineStr">
        <is>
          <t>1994-03-01</t>
        </is>
      </c>
      <c r="X552" t="inlineStr">
        <is>
          <t>1994-03-01</t>
        </is>
      </c>
      <c r="Y552" t="n">
        <v>582</v>
      </c>
      <c r="Z552" t="n">
        <v>445</v>
      </c>
      <c r="AA552" t="n">
        <v>484</v>
      </c>
      <c r="AB552" t="n">
        <v>6</v>
      </c>
      <c r="AC552" t="n">
        <v>6</v>
      </c>
      <c r="AD552" t="n">
        <v>20</v>
      </c>
      <c r="AE552" t="n">
        <v>23</v>
      </c>
      <c r="AF552" t="n">
        <v>8</v>
      </c>
      <c r="AG552" t="n">
        <v>10</v>
      </c>
      <c r="AH552" t="n">
        <v>5</v>
      </c>
      <c r="AI552" t="n">
        <v>7</v>
      </c>
      <c r="AJ552" t="n">
        <v>10</v>
      </c>
      <c r="AK552" t="n">
        <v>10</v>
      </c>
      <c r="AL552" t="n">
        <v>5</v>
      </c>
      <c r="AM552" t="n">
        <v>5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HYPERLINK("http://catalog.hathitrust.org/Record/007158533","HathiTrust Record")</f>
        <v/>
      </c>
      <c r="AS552">
        <f>HYPERLINK("https://creighton-primo.hosted.exlibrisgroup.com/primo-explore/search?tab=default_tab&amp;search_scope=EVERYTHING&amp;vid=01CRU&amp;lang=en_US&amp;offset=0&amp;query=any,contains,991004424619702656","Catalog Record")</f>
        <v/>
      </c>
      <c r="AT552">
        <f>HYPERLINK("http://www.worldcat.org/oclc/3396558","WorldCat Record")</f>
        <v/>
      </c>
      <c r="AU552" t="inlineStr">
        <is>
          <t>4020074202:eng</t>
        </is>
      </c>
      <c r="AV552" t="inlineStr">
        <is>
          <t>3396558</t>
        </is>
      </c>
      <c r="AW552" t="inlineStr">
        <is>
          <t>991004424619702656</t>
        </is>
      </c>
      <c r="AX552" t="inlineStr">
        <is>
          <t>991004424619702656</t>
        </is>
      </c>
      <c r="AY552" t="inlineStr">
        <is>
          <t>2267282480002656</t>
        </is>
      </c>
      <c r="AZ552" t="inlineStr">
        <is>
          <t>BOOK</t>
        </is>
      </c>
      <c r="BB552" t="inlineStr">
        <is>
          <t>9780122955501</t>
        </is>
      </c>
      <c r="BC552" t="inlineStr">
        <is>
          <t>32285001850840</t>
        </is>
      </c>
      <c r="BD552" t="inlineStr">
        <is>
          <t>893722422</t>
        </is>
      </c>
    </row>
    <row r="553">
      <c r="A553" t="inlineStr">
        <is>
          <t>No</t>
        </is>
      </c>
      <c r="B553" t="inlineStr">
        <is>
          <t>QH366.2 .H37</t>
        </is>
      </c>
      <c r="C553" t="inlineStr">
        <is>
          <t>0                      QH 0366200H  37</t>
        </is>
      </c>
      <c r="D553" t="inlineStr">
        <is>
          <t>The origin and early evolution of animals / by Earl D. Hanson.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Hanson, Earl D.</t>
        </is>
      </c>
      <c r="L553" t="inlineStr">
        <is>
          <t>Middletown, Conn. : Wesleyan University Press, c1977.</t>
        </is>
      </c>
      <c r="M553" t="inlineStr">
        <is>
          <t>1977</t>
        </is>
      </c>
      <c r="N553" t="inlineStr">
        <is>
          <t>1st ed.</t>
        </is>
      </c>
      <c r="O553" t="inlineStr">
        <is>
          <t>eng</t>
        </is>
      </c>
      <c r="P553" t="inlineStr">
        <is>
          <t>ctu</t>
        </is>
      </c>
      <c r="R553" t="inlineStr">
        <is>
          <t xml:space="preserve">QH </t>
        </is>
      </c>
      <c r="S553" t="n">
        <v>5</v>
      </c>
      <c r="T553" t="n">
        <v>5</v>
      </c>
      <c r="U553" t="inlineStr">
        <is>
          <t>2010-01-22</t>
        </is>
      </c>
      <c r="V553" t="inlineStr">
        <is>
          <t>2010-01-22</t>
        </is>
      </c>
      <c r="W553" t="inlineStr">
        <is>
          <t>1997-07-01</t>
        </is>
      </c>
      <c r="X553" t="inlineStr">
        <is>
          <t>1997-07-01</t>
        </is>
      </c>
      <c r="Y553" t="n">
        <v>643</v>
      </c>
      <c r="Z553" t="n">
        <v>495</v>
      </c>
      <c r="AA553" t="n">
        <v>499</v>
      </c>
      <c r="AB553" t="n">
        <v>5</v>
      </c>
      <c r="AC553" t="n">
        <v>5</v>
      </c>
      <c r="AD553" t="n">
        <v>16</v>
      </c>
      <c r="AE553" t="n">
        <v>16</v>
      </c>
      <c r="AF553" t="n">
        <v>5</v>
      </c>
      <c r="AG553" t="n">
        <v>5</v>
      </c>
      <c r="AH553" t="n">
        <v>3</v>
      </c>
      <c r="AI553" t="n">
        <v>3</v>
      </c>
      <c r="AJ553" t="n">
        <v>8</v>
      </c>
      <c r="AK553" t="n">
        <v>8</v>
      </c>
      <c r="AL553" t="n">
        <v>4</v>
      </c>
      <c r="AM553" t="n">
        <v>4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HYPERLINK("http://catalog.hathitrust.org/Record/000741460","HathiTrust Record")</f>
        <v/>
      </c>
      <c r="AS553">
        <f>HYPERLINK("https://creighton-primo.hosted.exlibrisgroup.com/primo-explore/search?tab=default_tab&amp;search_scope=EVERYTHING&amp;vid=01CRU&amp;lang=en_US&amp;offset=0&amp;query=any,contains,991004176019702656","Catalog Record")</f>
        <v/>
      </c>
      <c r="AT553">
        <f>HYPERLINK("http://www.worldcat.org/oclc/2597099","WorldCat Record")</f>
        <v/>
      </c>
      <c r="AU553" t="inlineStr">
        <is>
          <t>5716593:eng</t>
        </is>
      </c>
      <c r="AV553" t="inlineStr">
        <is>
          <t>2597099</t>
        </is>
      </c>
      <c r="AW553" t="inlineStr">
        <is>
          <t>991004176019702656</t>
        </is>
      </c>
      <c r="AX553" t="inlineStr">
        <is>
          <t>991004176019702656</t>
        </is>
      </c>
      <c r="AY553" t="inlineStr">
        <is>
          <t>2266444170002656</t>
        </is>
      </c>
      <c r="AZ553" t="inlineStr">
        <is>
          <t>BOOK</t>
        </is>
      </c>
      <c r="BB553" t="inlineStr">
        <is>
          <t>9780819550088</t>
        </is>
      </c>
      <c r="BC553" t="inlineStr">
        <is>
          <t>32285002869765</t>
        </is>
      </c>
      <c r="BD553" t="inlineStr">
        <is>
          <t>893506504</t>
        </is>
      </c>
    </row>
    <row r="554">
      <c r="A554" t="inlineStr">
        <is>
          <t>No</t>
        </is>
      </c>
      <c r="B554" t="inlineStr">
        <is>
          <t>QH366.2 .H57 1982</t>
        </is>
      </c>
      <c r="C554" t="inlineStr">
        <is>
          <t>0                      QH 0366200H  57          1982</t>
        </is>
      </c>
      <c r="D554" t="inlineStr">
        <is>
          <t>The neck of the giraffe : where Darwin went wrong / Francis Hitching.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Hitching, Francis.</t>
        </is>
      </c>
      <c r="L554" t="inlineStr">
        <is>
          <t>New Haven : Ticknor &amp; Fields, 1982.</t>
        </is>
      </c>
      <c r="M554" t="inlineStr">
        <is>
          <t>1982</t>
        </is>
      </c>
      <c r="O554" t="inlineStr">
        <is>
          <t>eng</t>
        </is>
      </c>
      <c r="P554" t="inlineStr">
        <is>
          <t>ctu</t>
        </is>
      </c>
      <c r="R554" t="inlineStr">
        <is>
          <t xml:space="preserve">QH </t>
        </is>
      </c>
      <c r="S554" t="n">
        <v>18</v>
      </c>
      <c r="T554" t="n">
        <v>18</v>
      </c>
      <c r="U554" t="inlineStr">
        <is>
          <t>2006-02-20</t>
        </is>
      </c>
      <c r="V554" t="inlineStr">
        <is>
          <t>2006-02-20</t>
        </is>
      </c>
      <c r="W554" t="inlineStr">
        <is>
          <t>1993-03-29</t>
        </is>
      </c>
      <c r="X554" t="inlineStr">
        <is>
          <t>1993-03-29</t>
        </is>
      </c>
      <c r="Y554" t="n">
        <v>594</v>
      </c>
      <c r="Z554" t="n">
        <v>560</v>
      </c>
      <c r="AA554" t="n">
        <v>566</v>
      </c>
      <c r="AB554" t="n">
        <v>2</v>
      </c>
      <c r="AC554" t="n">
        <v>2</v>
      </c>
      <c r="AD554" t="n">
        <v>11</v>
      </c>
      <c r="AE554" t="n">
        <v>11</v>
      </c>
      <c r="AF554" t="n">
        <v>6</v>
      </c>
      <c r="AG554" t="n">
        <v>6</v>
      </c>
      <c r="AH554" t="n">
        <v>2</v>
      </c>
      <c r="AI554" t="n">
        <v>2</v>
      </c>
      <c r="AJ554" t="n">
        <v>7</v>
      </c>
      <c r="AK554" t="n">
        <v>7</v>
      </c>
      <c r="AL554" t="n">
        <v>1</v>
      </c>
      <c r="AM554" t="n">
        <v>1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HYPERLINK("http://catalog.hathitrust.org/Record/004394723","HathiTrust Record")</f>
        <v/>
      </c>
      <c r="AS554">
        <f>HYPERLINK("https://creighton-primo.hosted.exlibrisgroup.com/primo-explore/search?tab=default_tab&amp;search_scope=EVERYTHING&amp;vid=01CRU&amp;lang=en_US&amp;offset=0&amp;query=any,contains,991005205959702656","Catalog Record")</f>
        <v/>
      </c>
      <c r="AT554">
        <f>HYPERLINK("http://www.worldcat.org/oclc/8114674","WorldCat Record")</f>
        <v/>
      </c>
      <c r="AU554" t="inlineStr">
        <is>
          <t>4928839388:eng</t>
        </is>
      </c>
      <c r="AV554" t="inlineStr">
        <is>
          <t>8114674</t>
        </is>
      </c>
      <c r="AW554" t="inlineStr">
        <is>
          <t>991005205959702656</t>
        </is>
      </c>
      <c r="AX554" t="inlineStr">
        <is>
          <t>991005205959702656</t>
        </is>
      </c>
      <c r="AY554" t="inlineStr">
        <is>
          <t>2255096750002656</t>
        </is>
      </c>
      <c r="AZ554" t="inlineStr">
        <is>
          <t>BOOK</t>
        </is>
      </c>
      <c r="BB554" t="inlineStr">
        <is>
          <t>9780899191027</t>
        </is>
      </c>
      <c r="BC554" t="inlineStr">
        <is>
          <t>32285001553774</t>
        </is>
      </c>
      <c r="BD554" t="inlineStr">
        <is>
          <t>893807997</t>
        </is>
      </c>
    </row>
    <row r="555">
      <c r="A555" t="inlineStr">
        <is>
          <t>No</t>
        </is>
      </c>
      <c r="B555" t="inlineStr">
        <is>
          <t>QH366.2 .J65 1991</t>
        </is>
      </c>
      <c r="C555" t="inlineStr">
        <is>
          <t>0                      QH 0366200J  65          1991</t>
        </is>
      </c>
      <c r="D555" t="inlineStr">
        <is>
          <t>Darwin on trial / Phillip E. Johnson.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Johnson, Phillip E., 1940-</t>
        </is>
      </c>
      <c r="L555" t="inlineStr">
        <is>
          <t>Washington, D.C. : Regnery Gateway ; Lanham, MD : Distributed to the trade by National Book Network, c1991.</t>
        </is>
      </c>
      <c r="M555" t="inlineStr">
        <is>
          <t>1991</t>
        </is>
      </c>
      <c r="O555" t="inlineStr">
        <is>
          <t>eng</t>
        </is>
      </c>
      <c r="P555" t="inlineStr">
        <is>
          <t>dcu</t>
        </is>
      </c>
      <c r="R555" t="inlineStr">
        <is>
          <t xml:space="preserve">QH </t>
        </is>
      </c>
      <c r="S555" t="n">
        <v>26</v>
      </c>
      <c r="T555" t="n">
        <v>26</v>
      </c>
      <c r="U555" t="inlineStr">
        <is>
          <t>2010-03-04</t>
        </is>
      </c>
      <c r="V555" t="inlineStr">
        <is>
          <t>2010-03-04</t>
        </is>
      </c>
      <c r="W555" t="inlineStr">
        <is>
          <t>1992-09-22</t>
        </is>
      </c>
      <c r="X555" t="inlineStr">
        <is>
          <t>1992-09-22</t>
        </is>
      </c>
      <c r="Y555" t="n">
        <v>1030</v>
      </c>
      <c r="Z555" t="n">
        <v>935</v>
      </c>
      <c r="AA555" t="n">
        <v>1657</v>
      </c>
      <c r="AB555" t="n">
        <v>7</v>
      </c>
      <c r="AC555" t="n">
        <v>15</v>
      </c>
      <c r="AD555" t="n">
        <v>31</v>
      </c>
      <c r="AE555" t="n">
        <v>49</v>
      </c>
      <c r="AF555" t="n">
        <v>12</v>
      </c>
      <c r="AG555" t="n">
        <v>18</v>
      </c>
      <c r="AH555" t="n">
        <v>7</v>
      </c>
      <c r="AI555" t="n">
        <v>8</v>
      </c>
      <c r="AJ555" t="n">
        <v>13</v>
      </c>
      <c r="AK555" t="n">
        <v>18</v>
      </c>
      <c r="AL555" t="n">
        <v>2</v>
      </c>
      <c r="AM555" t="n">
        <v>8</v>
      </c>
      <c r="AN555" t="n">
        <v>3</v>
      </c>
      <c r="AO555" t="n">
        <v>5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HYPERLINK("https://creighton-primo.hosted.exlibrisgroup.com/primo-explore/search?tab=default_tab&amp;search_scope=EVERYTHING&amp;vid=01CRU&amp;lang=en_US&amp;offset=0&amp;query=any,contains,991001822629702656","Catalog Record")</f>
        <v/>
      </c>
      <c r="AT555">
        <f>HYPERLINK("http://www.worldcat.org/oclc/22906277","WorldCat Record")</f>
        <v/>
      </c>
      <c r="AU555" t="inlineStr">
        <is>
          <t>11149758:eng</t>
        </is>
      </c>
      <c r="AV555" t="inlineStr">
        <is>
          <t>22906277</t>
        </is>
      </c>
      <c r="AW555" t="inlineStr">
        <is>
          <t>991001822629702656</t>
        </is>
      </c>
      <c r="AX555" t="inlineStr">
        <is>
          <t>991001822629702656</t>
        </is>
      </c>
      <c r="AY555" t="inlineStr">
        <is>
          <t>2262146190002656</t>
        </is>
      </c>
      <c r="AZ555" t="inlineStr">
        <is>
          <t>BOOK</t>
        </is>
      </c>
      <c r="BB555" t="inlineStr">
        <is>
          <t>9780895265357</t>
        </is>
      </c>
      <c r="BC555" t="inlineStr">
        <is>
          <t>32285001288447</t>
        </is>
      </c>
      <c r="BD555" t="inlineStr">
        <is>
          <t>893238361</t>
        </is>
      </c>
    </row>
    <row r="556">
      <c r="A556" t="inlineStr">
        <is>
          <t>No</t>
        </is>
      </c>
      <c r="B556" t="inlineStr">
        <is>
          <t>QH366.2 .L375 2001</t>
        </is>
      </c>
      <c r="C556" t="inlineStr">
        <is>
          <t>0                      QH 0366200L  375         2001</t>
        </is>
      </c>
      <c r="D556" t="inlineStr">
        <is>
          <t>Evolution's workshop : God and science on the Galápagos Islands / Edward J. Larson.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Larson, Edward J. (Edward John)</t>
        </is>
      </c>
      <c r="L556" t="inlineStr">
        <is>
          <t>New York : Basic Books, c2001.</t>
        </is>
      </c>
      <c r="M556" t="inlineStr">
        <is>
          <t>2001</t>
        </is>
      </c>
      <c r="N556" t="inlineStr">
        <is>
          <t>1st ed.</t>
        </is>
      </c>
      <c r="O556" t="inlineStr">
        <is>
          <t>eng</t>
        </is>
      </c>
      <c r="P556" t="inlineStr">
        <is>
          <t>nyu</t>
        </is>
      </c>
      <c r="R556" t="inlineStr">
        <is>
          <t xml:space="preserve">QH </t>
        </is>
      </c>
      <c r="S556" t="n">
        <v>4</v>
      </c>
      <c r="T556" t="n">
        <v>4</v>
      </c>
      <c r="U556" t="inlineStr">
        <is>
          <t>2002-09-16</t>
        </is>
      </c>
      <c r="V556" t="inlineStr">
        <is>
          <t>2002-09-16</t>
        </is>
      </c>
      <c r="W556" t="inlineStr">
        <is>
          <t>2001-07-03</t>
        </is>
      </c>
      <c r="X556" t="inlineStr">
        <is>
          <t>2001-07-03</t>
        </is>
      </c>
      <c r="Y556" t="n">
        <v>1226</v>
      </c>
      <c r="Z556" t="n">
        <v>1147</v>
      </c>
      <c r="AA556" t="n">
        <v>1159</v>
      </c>
      <c r="AB556" t="n">
        <v>9</v>
      </c>
      <c r="AC556" t="n">
        <v>9</v>
      </c>
      <c r="AD556" t="n">
        <v>38</v>
      </c>
      <c r="AE556" t="n">
        <v>38</v>
      </c>
      <c r="AF556" t="n">
        <v>17</v>
      </c>
      <c r="AG556" t="n">
        <v>17</v>
      </c>
      <c r="AH556" t="n">
        <v>5</v>
      </c>
      <c r="AI556" t="n">
        <v>5</v>
      </c>
      <c r="AJ556" t="n">
        <v>14</v>
      </c>
      <c r="AK556" t="n">
        <v>14</v>
      </c>
      <c r="AL556" t="n">
        <v>8</v>
      </c>
      <c r="AM556" t="n">
        <v>8</v>
      </c>
      <c r="AN556" t="n">
        <v>1</v>
      </c>
      <c r="AO556" t="n">
        <v>1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HYPERLINK("http://catalog.hathitrust.org/Record/004580432","HathiTrust Record")</f>
        <v/>
      </c>
      <c r="AS556">
        <f>HYPERLINK("https://creighton-primo.hosted.exlibrisgroup.com/primo-explore/search?tab=default_tab&amp;search_scope=EVERYTHING&amp;vid=01CRU&amp;lang=en_US&amp;offset=0&amp;query=any,contains,991003541439702656","Catalog Record")</f>
        <v/>
      </c>
      <c r="AT556">
        <f>HYPERLINK("http://www.worldcat.org/oclc/45374853","WorldCat Record")</f>
        <v/>
      </c>
      <c r="AU556" t="inlineStr">
        <is>
          <t>34677901:eng</t>
        </is>
      </c>
      <c r="AV556" t="inlineStr">
        <is>
          <t>45374853</t>
        </is>
      </c>
      <c r="AW556" t="inlineStr">
        <is>
          <t>991003541439702656</t>
        </is>
      </c>
      <c r="AX556" t="inlineStr">
        <is>
          <t>991003541439702656</t>
        </is>
      </c>
      <c r="AY556" t="inlineStr">
        <is>
          <t>2255154200002656</t>
        </is>
      </c>
      <c r="AZ556" t="inlineStr">
        <is>
          <t>BOOK</t>
        </is>
      </c>
      <c r="BB556" t="inlineStr">
        <is>
          <t>9780465038107</t>
        </is>
      </c>
      <c r="BC556" t="inlineStr">
        <is>
          <t>32285004330139</t>
        </is>
      </c>
      <c r="BD556" t="inlineStr">
        <is>
          <t>893246456</t>
        </is>
      </c>
    </row>
    <row r="557">
      <c r="A557" t="inlineStr">
        <is>
          <t>No</t>
        </is>
      </c>
      <c r="B557" t="inlineStr">
        <is>
          <t>QH366.2 .L45</t>
        </is>
      </c>
      <c r="C557" t="inlineStr">
        <is>
          <t>0                      QH 0366200L  45</t>
        </is>
      </c>
      <c r="D557" t="inlineStr">
        <is>
          <t>Adaptation and diversity : natural history and the mathematics of evolution / [by] Egbert Giles Leigh, Jr.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Leigh, Egbert Giles, Jr., 1940-</t>
        </is>
      </c>
      <c r="L557" t="inlineStr">
        <is>
          <t>San Francisco : Freeman, Cooper, [1971]</t>
        </is>
      </c>
      <c r="M557" t="inlineStr">
        <is>
          <t>1971</t>
        </is>
      </c>
      <c r="O557" t="inlineStr">
        <is>
          <t>eng</t>
        </is>
      </c>
      <c r="P557" t="inlineStr">
        <is>
          <t>cau</t>
        </is>
      </c>
      <c r="R557" t="inlineStr">
        <is>
          <t xml:space="preserve">QH </t>
        </is>
      </c>
      <c r="S557" t="n">
        <v>6</v>
      </c>
      <c r="T557" t="n">
        <v>6</v>
      </c>
      <c r="U557" t="inlineStr">
        <is>
          <t>2002-02-28</t>
        </is>
      </c>
      <c r="V557" t="inlineStr">
        <is>
          <t>2002-02-28</t>
        </is>
      </c>
      <c r="W557" t="inlineStr">
        <is>
          <t>1994-02-24</t>
        </is>
      </c>
      <c r="X557" t="inlineStr">
        <is>
          <t>1994-02-24</t>
        </is>
      </c>
      <c r="Y557" t="n">
        <v>537</v>
      </c>
      <c r="Z557" t="n">
        <v>456</v>
      </c>
      <c r="AA557" t="n">
        <v>464</v>
      </c>
      <c r="AB557" t="n">
        <v>3</v>
      </c>
      <c r="AC557" t="n">
        <v>3</v>
      </c>
      <c r="AD557" t="n">
        <v>14</v>
      </c>
      <c r="AE557" t="n">
        <v>14</v>
      </c>
      <c r="AF557" t="n">
        <v>5</v>
      </c>
      <c r="AG557" t="n">
        <v>5</v>
      </c>
      <c r="AH557" t="n">
        <v>2</v>
      </c>
      <c r="AI557" t="n">
        <v>2</v>
      </c>
      <c r="AJ557" t="n">
        <v>7</v>
      </c>
      <c r="AK557" t="n">
        <v>7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HYPERLINK("http://catalog.hathitrust.org/Record/001491763","HathiTrust Record")</f>
        <v/>
      </c>
      <c r="AS557">
        <f>HYPERLINK("https://creighton-primo.hosted.exlibrisgroup.com/primo-explore/search?tab=default_tab&amp;search_scope=EVERYTHING&amp;vid=01CRU&amp;lang=en_US&amp;offset=0&amp;query=any,contains,991001229579702656","Catalog Record")</f>
        <v/>
      </c>
      <c r="AT557">
        <f>HYPERLINK("http://www.worldcat.org/oclc/202381","WorldCat Record")</f>
        <v/>
      </c>
      <c r="AU557" t="inlineStr">
        <is>
          <t>365415073:eng</t>
        </is>
      </c>
      <c r="AV557" t="inlineStr">
        <is>
          <t>202381</t>
        </is>
      </c>
      <c r="AW557" t="inlineStr">
        <is>
          <t>991001229579702656</t>
        </is>
      </c>
      <c r="AX557" t="inlineStr">
        <is>
          <t>991001229579702656</t>
        </is>
      </c>
      <c r="AY557" t="inlineStr">
        <is>
          <t>2258532850002656</t>
        </is>
      </c>
      <c r="AZ557" t="inlineStr">
        <is>
          <t>BOOK</t>
        </is>
      </c>
      <c r="BB557" t="inlineStr">
        <is>
          <t>9780877354079</t>
        </is>
      </c>
      <c r="BC557" t="inlineStr">
        <is>
          <t>32285001850121</t>
        </is>
      </c>
      <c r="BD557" t="inlineStr">
        <is>
          <t>893903348</t>
        </is>
      </c>
    </row>
    <row r="558">
      <c r="A558" t="inlineStr">
        <is>
          <t>No</t>
        </is>
      </c>
      <c r="B558" t="inlineStr">
        <is>
          <t>QH366.2 .L48 1982</t>
        </is>
      </c>
      <c r="C558" t="inlineStr">
        <is>
          <t>0                      QH 0366200L  48          1982</t>
        </is>
      </c>
      <c r="D558" t="inlineStr">
        <is>
          <t>Thread of life : the Smithsonian looks at evolution / by Roger Lewin.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Lewin, Roger.</t>
        </is>
      </c>
      <c r="L558" t="inlineStr">
        <is>
          <t>Washington, D.C. : Smithsonian Books ; New York, N.Y. : Distributed by Norton, c1982.</t>
        </is>
      </c>
      <c r="M558" t="inlineStr">
        <is>
          <t>1982</t>
        </is>
      </c>
      <c r="N558" t="inlineStr">
        <is>
          <t>1st ed.</t>
        </is>
      </c>
      <c r="O558" t="inlineStr">
        <is>
          <t>eng</t>
        </is>
      </c>
      <c r="P558" t="inlineStr">
        <is>
          <t>dcu</t>
        </is>
      </c>
      <c r="R558" t="inlineStr">
        <is>
          <t xml:space="preserve">QH </t>
        </is>
      </c>
      <c r="S558" t="n">
        <v>6</v>
      </c>
      <c r="T558" t="n">
        <v>6</v>
      </c>
      <c r="U558" t="inlineStr">
        <is>
          <t>2002-10-08</t>
        </is>
      </c>
      <c r="V558" t="inlineStr">
        <is>
          <t>2002-10-08</t>
        </is>
      </c>
      <c r="W558" t="inlineStr">
        <is>
          <t>1993-03-29</t>
        </is>
      </c>
      <c r="X558" t="inlineStr">
        <is>
          <t>1993-03-29</t>
        </is>
      </c>
      <c r="Y558" t="n">
        <v>1632</v>
      </c>
      <c r="Z558" t="n">
        <v>1551</v>
      </c>
      <c r="AA558" t="n">
        <v>1562</v>
      </c>
      <c r="AB558" t="n">
        <v>10</v>
      </c>
      <c r="AC558" t="n">
        <v>10</v>
      </c>
      <c r="AD558" t="n">
        <v>26</v>
      </c>
      <c r="AE558" t="n">
        <v>26</v>
      </c>
      <c r="AF558" t="n">
        <v>8</v>
      </c>
      <c r="AG558" t="n">
        <v>8</v>
      </c>
      <c r="AH558" t="n">
        <v>5</v>
      </c>
      <c r="AI558" t="n">
        <v>5</v>
      </c>
      <c r="AJ558" t="n">
        <v>17</v>
      </c>
      <c r="AK558" t="n">
        <v>17</v>
      </c>
      <c r="AL558" t="n">
        <v>4</v>
      </c>
      <c r="AM558" t="n">
        <v>4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HYPERLINK("http://catalog.hathitrust.org/Record/000767161","HathiTrust Record")</f>
        <v/>
      </c>
      <c r="AS558">
        <f>HYPERLINK("https://creighton-primo.hosted.exlibrisgroup.com/primo-explore/search?tab=default_tab&amp;search_scope=EVERYTHING&amp;vid=01CRU&amp;lang=en_US&amp;offset=0&amp;query=any,contains,991000071339702656","Catalog Record")</f>
        <v/>
      </c>
      <c r="AT558">
        <f>HYPERLINK("http://www.worldcat.org/oclc/8785226","WorldCat Record")</f>
        <v/>
      </c>
      <c r="AU558" t="inlineStr">
        <is>
          <t>375720793:eng</t>
        </is>
      </c>
      <c r="AV558" t="inlineStr">
        <is>
          <t>8785226</t>
        </is>
      </c>
      <c r="AW558" t="inlineStr">
        <is>
          <t>991000071339702656</t>
        </is>
      </c>
      <c r="AX558" t="inlineStr">
        <is>
          <t>991000071339702656</t>
        </is>
      </c>
      <c r="AY558" t="inlineStr">
        <is>
          <t>2266882640002656</t>
        </is>
      </c>
      <c r="AZ558" t="inlineStr">
        <is>
          <t>BOOK</t>
        </is>
      </c>
      <c r="BB558" t="inlineStr">
        <is>
          <t>9780895990105</t>
        </is>
      </c>
      <c r="BC558" t="inlineStr">
        <is>
          <t>32285001553790</t>
        </is>
      </c>
      <c r="BD558" t="inlineStr">
        <is>
          <t>893620143</t>
        </is>
      </c>
    </row>
    <row r="559">
      <c r="A559" t="inlineStr">
        <is>
          <t>No</t>
        </is>
      </c>
      <c r="B559" t="inlineStr">
        <is>
          <t>QH366.2 .L59 1988</t>
        </is>
      </c>
      <c r="C559" t="inlineStr">
        <is>
          <t>0                      QH 0366200L  59          1988</t>
        </is>
      </c>
      <c r="D559" t="inlineStr">
        <is>
          <t>The structure and confirmation of evolutionary theory / Elisabeth A. Lloyd.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Lloyd, Elisabeth Anne.</t>
        </is>
      </c>
      <c r="L559" t="inlineStr">
        <is>
          <t>New York : Greenwood Press, 1988.</t>
        </is>
      </c>
      <c r="M559" t="inlineStr">
        <is>
          <t>1988</t>
        </is>
      </c>
      <c r="O559" t="inlineStr">
        <is>
          <t>eng</t>
        </is>
      </c>
      <c r="P559" t="inlineStr">
        <is>
          <t>nyu</t>
        </is>
      </c>
      <c r="Q559" t="inlineStr">
        <is>
          <t>Contributions in philosophy, 0084-926X ; no. 37</t>
        </is>
      </c>
      <c r="R559" t="inlineStr">
        <is>
          <t xml:space="preserve">QH </t>
        </is>
      </c>
      <c r="S559" t="n">
        <v>6</v>
      </c>
      <c r="T559" t="n">
        <v>6</v>
      </c>
      <c r="U559" t="inlineStr">
        <is>
          <t>1997-03-07</t>
        </is>
      </c>
      <c r="V559" t="inlineStr">
        <is>
          <t>1997-03-07</t>
        </is>
      </c>
      <c r="W559" t="inlineStr">
        <is>
          <t>1993-03-29</t>
        </is>
      </c>
      <c r="X559" t="inlineStr">
        <is>
          <t>1993-03-29</t>
        </is>
      </c>
      <c r="Y559" t="n">
        <v>270</v>
      </c>
      <c r="Z559" t="n">
        <v>209</v>
      </c>
      <c r="AA559" t="n">
        <v>336</v>
      </c>
      <c r="AB559" t="n">
        <v>2</v>
      </c>
      <c r="AC559" t="n">
        <v>3</v>
      </c>
      <c r="AD559" t="n">
        <v>8</v>
      </c>
      <c r="AE559" t="n">
        <v>16</v>
      </c>
      <c r="AF559" t="n">
        <v>1</v>
      </c>
      <c r="AG559" t="n">
        <v>4</v>
      </c>
      <c r="AH559" t="n">
        <v>3</v>
      </c>
      <c r="AI559" t="n">
        <v>4</v>
      </c>
      <c r="AJ559" t="n">
        <v>6</v>
      </c>
      <c r="AK559" t="n">
        <v>11</v>
      </c>
      <c r="AL559" t="n">
        <v>1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HYPERLINK("http://catalog.hathitrust.org/Record/007165250","HathiTrust Record")</f>
        <v/>
      </c>
      <c r="AS559">
        <f>HYPERLINK("https://creighton-primo.hosted.exlibrisgroup.com/primo-explore/search?tab=default_tab&amp;search_scope=EVERYTHING&amp;vid=01CRU&amp;lang=en_US&amp;offset=0&amp;query=any,contains,991001230689702656","Catalog Record")</f>
        <v/>
      </c>
      <c r="AT559">
        <f>HYPERLINK("http://www.worldcat.org/oclc/17546626","WorldCat Record")</f>
        <v/>
      </c>
      <c r="AU559" t="inlineStr">
        <is>
          <t>341334048:eng</t>
        </is>
      </c>
      <c r="AV559" t="inlineStr">
        <is>
          <t>17546626</t>
        </is>
      </c>
      <c r="AW559" t="inlineStr">
        <is>
          <t>991001230689702656</t>
        </is>
      </c>
      <c r="AX559" t="inlineStr">
        <is>
          <t>991001230689702656</t>
        </is>
      </c>
      <c r="AY559" t="inlineStr">
        <is>
          <t>2267791180002656</t>
        </is>
      </c>
      <c r="AZ559" t="inlineStr">
        <is>
          <t>BOOK</t>
        </is>
      </c>
      <c r="BB559" t="inlineStr">
        <is>
          <t>9780313255632</t>
        </is>
      </c>
      <c r="BC559" t="inlineStr">
        <is>
          <t>32285001553808</t>
        </is>
      </c>
      <c r="BD559" t="inlineStr">
        <is>
          <t>893496930</t>
        </is>
      </c>
    </row>
    <row r="560">
      <c r="A560" t="inlineStr">
        <is>
          <t>No</t>
        </is>
      </c>
      <c r="B560" t="inlineStr">
        <is>
          <t>QH366.2 .M36</t>
        </is>
      </c>
      <c r="C560" t="inlineStr">
        <is>
          <t>0                      QH 0366200M  36</t>
        </is>
      </c>
      <c r="D560" t="inlineStr">
        <is>
          <t>Symbiosis in cell evolution : life and its environment on the early Earth / Lynn Margulis.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Margulis, Lynn, 1938-2011.</t>
        </is>
      </c>
      <c r="L560" t="inlineStr">
        <is>
          <t>San Francisco : W. H. Freeman, c1981.</t>
        </is>
      </c>
      <c r="M560" t="inlineStr">
        <is>
          <t>1981</t>
        </is>
      </c>
      <c r="O560" t="inlineStr">
        <is>
          <t>eng</t>
        </is>
      </c>
      <c r="P560" t="inlineStr">
        <is>
          <t>cau</t>
        </is>
      </c>
      <c r="R560" t="inlineStr">
        <is>
          <t xml:space="preserve">QH </t>
        </is>
      </c>
      <c r="S560" t="n">
        <v>22</v>
      </c>
      <c r="T560" t="n">
        <v>22</v>
      </c>
      <c r="U560" t="inlineStr">
        <is>
          <t>2005-10-25</t>
        </is>
      </c>
      <c r="V560" t="inlineStr">
        <is>
          <t>2005-10-25</t>
        </is>
      </c>
      <c r="W560" t="inlineStr">
        <is>
          <t>1993-03-29</t>
        </is>
      </c>
      <c r="X560" t="inlineStr">
        <is>
          <t>1993-03-29</t>
        </is>
      </c>
      <c r="Y560" t="n">
        <v>716</v>
      </c>
      <c r="Z560" t="n">
        <v>546</v>
      </c>
      <c r="AA560" t="n">
        <v>551</v>
      </c>
      <c r="AB560" t="n">
        <v>4</v>
      </c>
      <c r="AC560" t="n">
        <v>4</v>
      </c>
      <c r="AD560" t="n">
        <v>22</v>
      </c>
      <c r="AE560" t="n">
        <v>22</v>
      </c>
      <c r="AF560" t="n">
        <v>5</v>
      </c>
      <c r="AG560" t="n">
        <v>5</v>
      </c>
      <c r="AH560" t="n">
        <v>6</v>
      </c>
      <c r="AI560" t="n">
        <v>6</v>
      </c>
      <c r="AJ560" t="n">
        <v>12</v>
      </c>
      <c r="AK560" t="n">
        <v>12</v>
      </c>
      <c r="AL560" t="n">
        <v>3</v>
      </c>
      <c r="AM560" t="n">
        <v>3</v>
      </c>
      <c r="AN560" t="n">
        <v>0</v>
      </c>
      <c r="AO560" t="n">
        <v>0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HYPERLINK("https://creighton-primo.hosted.exlibrisgroup.com/primo-explore/search?tab=default_tab&amp;search_scope=EVERYTHING&amp;vid=01CRU&amp;lang=en_US&amp;offset=0&amp;query=any,contains,991005068239702656","Catalog Record")</f>
        <v/>
      </c>
      <c r="AT560">
        <f>HYPERLINK("http://www.worldcat.org/oclc/6982472","WorldCat Record")</f>
        <v/>
      </c>
      <c r="AU560" t="inlineStr">
        <is>
          <t>2863405438:eng</t>
        </is>
      </c>
      <c r="AV560" t="inlineStr">
        <is>
          <t>6982472</t>
        </is>
      </c>
      <c r="AW560" t="inlineStr">
        <is>
          <t>991005068239702656</t>
        </is>
      </c>
      <c r="AX560" t="inlineStr">
        <is>
          <t>991005068239702656</t>
        </is>
      </c>
      <c r="AY560" t="inlineStr">
        <is>
          <t>2272515890002656</t>
        </is>
      </c>
      <c r="AZ560" t="inlineStr">
        <is>
          <t>BOOK</t>
        </is>
      </c>
      <c r="BB560" t="inlineStr">
        <is>
          <t>9780716712558</t>
        </is>
      </c>
      <c r="BC560" t="inlineStr">
        <is>
          <t>32285001553816</t>
        </is>
      </c>
      <c r="BD560" t="inlineStr">
        <is>
          <t>893430795</t>
        </is>
      </c>
    </row>
    <row r="561">
      <c r="A561" t="inlineStr">
        <is>
          <t>No</t>
        </is>
      </c>
      <c r="B561" t="inlineStr">
        <is>
          <t>QH366.2 .M392 1993</t>
        </is>
      </c>
      <c r="C561" t="inlineStr">
        <is>
          <t>0                      QH 0366200M  392         1993</t>
        </is>
      </c>
      <c r="D561" t="inlineStr">
        <is>
          <t>The theory of evolution / John Maynard Smith.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Maynard Smith, John, 1920-2004.</t>
        </is>
      </c>
      <c r="L561" t="inlineStr">
        <is>
          <t>Cambridge [England] ; New York : Cambridge University Press, 1993.</t>
        </is>
      </c>
      <c r="M561" t="inlineStr">
        <is>
          <t>1993</t>
        </is>
      </c>
      <c r="N561" t="inlineStr">
        <is>
          <t>Canto ed.</t>
        </is>
      </c>
      <c r="O561" t="inlineStr">
        <is>
          <t>eng</t>
        </is>
      </c>
      <c r="P561" t="inlineStr">
        <is>
          <t>enk</t>
        </is>
      </c>
      <c r="R561" t="inlineStr">
        <is>
          <t xml:space="preserve">QH </t>
        </is>
      </c>
      <c r="S561" t="n">
        <v>21</v>
      </c>
      <c r="T561" t="n">
        <v>21</v>
      </c>
      <c r="U561" t="inlineStr">
        <is>
          <t>1998-09-28</t>
        </is>
      </c>
      <c r="V561" t="inlineStr">
        <is>
          <t>1998-09-28</t>
        </is>
      </c>
      <c r="W561" t="inlineStr">
        <is>
          <t>1994-01-11</t>
        </is>
      </c>
      <c r="X561" t="inlineStr">
        <is>
          <t>1994-01-11</t>
        </is>
      </c>
      <c r="Y561" t="n">
        <v>404</v>
      </c>
      <c r="Z561" t="n">
        <v>288</v>
      </c>
      <c r="AA561" t="n">
        <v>637</v>
      </c>
      <c r="AB561" t="n">
        <v>2</v>
      </c>
      <c r="AC561" t="n">
        <v>3</v>
      </c>
      <c r="AD561" t="n">
        <v>16</v>
      </c>
      <c r="AE561" t="n">
        <v>27</v>
      </c>
      <c r="AF561" t="n">
        <v>7</v>
      </c>
      <c r="AG561" t="n">
        <v>11</v>
      </c>
      <c r="AH561" t="n">
        <v>5</v>
      </c>
      <c r="AI561" t="n">
        <v>6</v>
      </c>
      <c r="AJ561" t="n">
        <v>9</v>
      </c>
      <c r="AK561" t="n">
        <v>16</v>
      </c>
      <c r="AL561" t="n">
        <v>1</v>
      </c>
      <c r="AM561" t="n">
        <v>2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HYPERLINK("https://creighton-primo.hosted.exlibrisgroup.com/primo-explore/search?tab=default_tab&amp;search_scope=EVERYTHING&amp;vid=01CRU&amp;lang=en_US&amp;offset=0&amp;query=any,contains,991002146799702656","Catalog Record")</f>
        <v/>
      </c>
      <c r="AT561">
        <f>HYPERLINK("http://www.worldcat.org/oclc/27676642","WorldCat Record")</f>
        <v/>
      </c>
      <c r="AU561" t="inlineStr">
        <is>
          <t>148032925:eng</t>
        </is>
      </c>
      <c r="AV561" t="inlineStr">
        <is>
          <t>27676642</t>
        </is>
      </c>
      <c r="AW561" t="inlineStr">
        <is>
          <t>991002146799702656</t>
        </is>
      </c>
      <c r="AX561" t="inlineStr">
        <is>
          <t>991002146799702656</t>
        </is>
      </c>
      <c r="AY561" t="inlineStr">
        <is>
          <t>2255059680002656</t>
        </is>
      </c>
      <c r="AZ561" t="inlineStr">
        <is>
          <t>BOOK</t>
        </is>
      </c>
      <c r="BB561" t="inlineStr">
        <is>
          <t>9780521451284</t>
        </is>
      </c>
      <c r="BC561" t="inlineStr">
        <is>
          <t>32285001830644</t>
        </is>
      </c>
      <c r="BD561" t="inlineStr">
        <is>
          <t>893804270</t>
        </is>
      </c>
    </row>
    <row r="562">
      <c r="A562" t="inlineStr">
        <is>
          <t>No</t>
        </is>
      </c>
      <c r="B562" t="inlineStr">
        <is>
          <t>QH366.2 .M3926 1983</t>
        </is>
      </c>
      <c r="C562" t="inlineStr">
        <is>
          <t>0                      QH 0366200M  3926        1983</t>
        </is>
      </c>
      <c r="D562" t="inlineStr">
        <is>
          <t>Natural selection and its constraints / Oliver Mayo.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Mayo, Oliver.</t>
        </is>
      </c>
      <c r="L562" t="inlineStr">
        <is>
          <t>London ; New York : Academic Press, 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R562" t="inlineStr">
        <is>
          <t xml:space="preserve">QH </t>
        </is>
      </c>
      <c r="S562" t="n">
        <v>13</v>
      </c>
      <c r="T562" t="n">
        <v>13</v>
      </c>
      <c r="U562" t="inlineStr">
        <is>
          <t>1997-03-21</t>
        </is>
      </c>
      <c r="V562" t="inlineStr">
        <is>
          <t>1997-03-21</t>
        </is>
      </c>
      <c r="W562" t="inlineStr">
        <is>
          <t>1993-03-29</t>
        </is>
      </c>
      <c r="X562" t="inlineStr">
        <is>
          <t>1993-03-29</t>
        </is>
      </c>
      <c r="Y562" t="n">
        <v>437</v>
      </c>
      <c r="Z562" t="n">
        <v>298</v>
      </c>
      <c r="AA562" t="n">
        <v>299</v>
      </c>
      <c r="AB562" t="n">
        <v>2</v>
      </c>
      <c r="AC562" t="n">
        <v>2</v>
      </c>
      <c r="AD562" t="n">
        <v>11</v>
      </c>
      <c r="AE562" t="n">
        <v>11</v>
      </c>
      <c r="AF562" t="n">
        <v>5</v>
      </c>
      <c r="AG562" t="n">
        <v>5</v>
      </c>
      <c r="AH562" t="n">
        <v>3</v>
      </c>
      <c r="AI562" t="n">
        <v>3</v>
      </c>
      <c r="AJ562" t="n">
        <v>5</v>
      </c>
      <c r="AK562" t="n">
        <v>5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HYPERLINK("http://catalog.hathitrust.org/Record/000241010","HathiTrust Record")</f>
        <v/>
      </c>
      <c r="AS562">
        <f>HYPERLINK("https://creighton-primo.hosted.exlibrisgroup.com/primo-explore/search?tab=default_tab&amp;search_scope=EVERYTHING&amp;vid=01CRU&amp;lang=en_US&amp;offset=0&amp;query=any,contains,991000309229702656","Catalog Record")</f>
        <v/>
      </c>
      <c r="AT562">
        <f>HYPERLINK("http://www.worldcat.org/oclc/10075337","WorldCat Record")</f>
        <v/>
      </c>
      <c r="AU562" t="inlineStr">
        <is>
          <t>3293594:eng</t>
        </is>
      </c>
      <c r="AV562" t="inlineStr">
        <is>
          <t>10075337</t>
        </is>
      </c>
      <c r="AW562" t="inlineStr">
        <is>
          <t>991000309229702656</t>
        </is>
      </c>
      <c r="AX562" t="inlineStr">
        <is>
          <t>991000309229702656</t>
        </is>
      </c>
      <c r="AY562" t="inlineStr">
        <is>
          <t>2262316370002656</t>
        </is>
      </c>
      <c r="AZ562" t="inlineStr">
        <is>
          <t>BOOK</t>
        </is>
      </c>
      <c r="BB562" t="inlineStr">
        <is>
          <t>9780124814523</t>
        </is>
      </c>
      <c r="BC562" t="inlineStr">
        <is>
          <t>32285001553824</t>
        </is>
      </c>
      <c r="BD562" t="inlineStr">
        <is>
          <t>893595464</t>
        </is>
      </c>
    </row>
    <row r="563">
      <c r="A563" t="inlineStr">
        <is>
          <t>No</t>
        </is>
      </c>
      <c r="B563" t="inlineStr">
        <is>
          <t>QH366.2 .M68</t>
        </is>
      </c>
      <c r="C563" t="inlineStr">
        <is>
          <t>0                      QH 0366200M  68</t>
        </is>
      </c>
      <c r="D563" t="inlineStr">
        <is>
          <t>The troubled waters of evolution / by Henry M. Morris ; [introd. by Tim LaHaye ; foreword by Thomas Barnes].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Morris, Henry M. (Henry Madison), 1918-2006.</t>
        </is>
      </c>
      <c r="L563" t="inlineStr">
        <is>
          <t>San Diego, Calif. : Creation-Life Publishers, c1974.</t>
        </is>
      </c>
      <c r="M563" t="inlineStr">
        <is>
          <t>1974</t>
        </is>
      </c>
      <c r="O563" t="inlineStr">
        <is>
          <t>eng</t>
        </is>
      </c>
      <c r="P563" t="inlineStr">
        <is>
          <t>cau</t>
        </is>
      </c>
      <c r="R563" t="inlineStr">
        <is>
          <t xml:space="preserve">QH </t>
        </is>
      </c>
      <c r="S563" t="n">
        <v>9</v>
      </c>
      <c r="T563" t="n">
        <v>9</v>
      </c>
      <c r="U563" t="inlineStr">
        <is>
          <t>2006-11-30</t>
        </is>
      </c>
      <c r="V563" t="inlineStr">
        <is>
          <t>2006-11-30</t>
        </is>
      </c>
      <c r="W563" t="inlineStr">
        <is>
          <t>1990-04-02</t>
        </is>
      </c>
      <c r="X563" t="inlineStr">
        <is>
          <t>1990-04-02</t>
        </is>
      </c>
      <c r="Y563" t="n">
        <v>757</v>
      </c>
      <c r="Z563" t="n">
        <v>737</v>
      </c>
      <c r="AA563" t="n">
        <v>785</v>
      </c>
      <c r="AB563" t="n">
        <v>9</v>
      </c>
      <c r="AC563" t="n">
        <v>9</v>
      </c>
      <c r="AD563" t="n">
        <v>22</v>
      </c>
      <c r="AE563" t="n">
        <v>23</v>
      </c>
      <c r="AF563" t="n">
        <v>9</v>
      </c>
      <c r="AG563" t="n">
        <v>9</v>
      </c>
      <c r="AH563" t="n">
        <v>4</v>
      </c>
      <c r="AI563" t="n">
        <v>4</v>
      </c>
      <c r="AJ563" t="n">
        <v>8</v>
      </c>
      <c r="AK563" t="n">
        <v>9</v>
      </c>
      <c r="AL563" t="n">
        <v>8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HYPERLINK("http://catalog.hathitrust.org/Record/000713017","HathiTrust Record")</f>
        <v/>
      </c>
      <c r="AS563">
        <f>HYPERLINK("https://creighton-primo.hosted.exlibrisgroup.com/primo-explore/search?tab=default_tab&amp;search_scope=EVERYTHING&amp;vid=01CRU&amp;lang=en_US&amp;offset=0&amp;query=any,contains,991003984569702656","Catalog Record")</f>
        <v/>
      </c>
      <c r="AT563">
        <f>HYPERLINK("http://www.worldcat.org/oclc/2025544","WorldCat Record")</f>
        <v/>
      </c>
      <c r="AU563" t="inlineStr">
        <is>
          <t>48411715:eng</t>
        </is>
      </c>
      <c r="AV563" t="inlineStr">
        <is>
          <t>2025544</t>
        </is>
      </c>
      <c r="AW563" t="inlineStr">
        <is>
          <t>991003984569702656</t>
        </is>
      </c>
      <c r="AX563" t="inlineStr">
        <is>
          <t>991003984569702656</t>
        </is>
      </c>
      <c r="AY563" t="inlineStr">
        <is>
          <t>2265472060002656</t>
        </is>
      </c>
      <c r="AZ563" t="inlineStr">
        <is>
          <t>BOOK</t>
        </is>
      </c>
      <c r="BB563" t="inlineStr">
        <is>
          <t>9780890510155</t>
        </is>
      </c>
      <c r="BC563" t="inlineStr">
        <is>
          <t>32285000106491</t>
        </is>
      </c>
      <c r="BD563" t="inlineStr">
        <is>
          <t>893705863</t>
        </is>
      </c>
    </row>
    <row r="564">
      <c r="A564" t="inlineStr">
        <is>
          <t>No</t>
        </is>
      </c>
      <c r="B564" t="inlineStr">
        <is>
          <t>QH366.2 .P37</t>
        </is>
      </c>
      <c r="C564" t="inlineStr">
        <is>
          <t>0                      QH 0366200P  37</t>
        </is>
      </c>
      <c r="D564" t="inlineStr">
        <is>
          <t>Evolution / Colin Patterson.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Yes</t>
        </is>
      </c>
      <c r="J564" t="inlineStr">
        <is>
          <t>0</t>
        </is>
      </c>
      <c r="K564" t="inlineStr">
        <is>
          <t>Patterson, Colin.</t>
        </is>
      </c>
      <c r="L564" t="inlineStr">
        <is>
          <t>[London] : British Museum (Natural History) ; Ithaca, N.Y. : Cornell University Press, 1978.</t>
        </is>
      </c>
      <c r="M564" t="inlineStr">
        <is>
          <t>1978</t>
        </is>
      </c>
      <c r="O564" t="inlineStr">
        <is>
          <t>eng</t>
        </is>
      </c>
      <c r="P564" t="inlineStr">
        <is>
          <t>enk</t>
        </is>
      </c>
      <c r="R564" t="inlineStr">
        <is>
          <t xml:space="preserve">QH </t>
        </is>
      </c>
      <c r="S564" t="n">
        <v>10</v>
      </c>
      <c r="T564" t="n">
        <v>10</v>
      </c>
      <c r="U564" t="inlineStr">
        <is>
          <t>1997-02-10</t>
        </is>
      </c>
      <c r="V564" t="inlineStr">
        <is>
          <t>1997-02-10</t>
        </is>
      </c>
      <c r="W564" t="inlineStr">
        <is>
          <t>1993-03-29</t>
        </is>
      </c>
      <c r="X564" t="inlineStr">
        <is>
          <t>1993-03-29</t>
        </is>
      </c>
      <c r="Y564" t="n">
        <v>871</v>
      </c>
      <c r="Z564" t="n">
        <v>720</v>
      </c>
      <c r="AA564" t="n">
        <v>1059</v>
      </c>
      <c r="AB564" t="n">
        <v>6</v>
      </c>
      <c r="AC564" t="n">
        <v>8</v>
      </c>
      <c r="AD564" t="n">
        <v>21</v>
      </c>
      <c r="AE564" t="n">
        <v>34</v>
      </c>
      <c r="AF564" t="n">
        <v>6</v>
      </c>
      <c r="AG564" t="n">
        <v>15</v>
      </c>
      <c r="AH564" t="n">
        <v>5</v>
      </c>
      <c r="AI564" t="n">
        <v>6</v>
      </c>
      <c r="AJ564" t="n">
        <v>11</v>
      </c>
      <c r="AK564" t="n">
        <v>15</v>
      </c>
      <c r="AL564" t="n">
        <v>5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HYPERLINK("http://catalog.hathitrust.org/Record/000031800","HathiTrust Record")</f>
        <v/>
      </c>
      <c r="AS564">
        <f>HYPERLINK("https://creighton-primo.hosted.exlibrisgroup.com/primo-explore/search?tab=default_tab&amp;search_scope=EVERYTHING&amp;vid=01CRU&amp;lang=en_US&amp;offset=0&amp;query=any,contains,991004638629702656","Catalog Record")</f>
        <v/>
      </c>
      <c r="AT564">
        <f>HYPERLINK("http://www.worldcat.org/oclc/4440567","WorldCat Record")</f>
        <v/>
      </c>
      <c r="AU564" t="inlineStr">
        <is>
          <t>204747:eng</t>
        </is>
      </c>
      <c r="AV564" t="inlineStr">
        <is>
          <t>4440567</t>
        </is>
      </c>
      <c r="AW564" t="inlineStr">
        <is>
          <t>991004638629702656</t>
        </is>
      </c>
      <c r="AX564" t="inlineStr">
        <is>
          <t>991004638629702656</t>
        </is>
      </c>
      <c r="AY564" t="inlineStr">
        <is>
          <t>2259435490002656</t>
        </is>
      </c>
      <c r="AZ564" t="inlineStr">
        <is>
          <t>BOOK</t>
        </is>
      </c>
      <c r="BB564" t="inlineStr">
        <is>
          <t>9780801411458</t>
        </is>
      </c>
      <c r="BC564" t="inlineStr">
        <is>
          <t>32285001553840</t>
        </is>
      </c>
      <c r="BD564" t="inlineStr">
        <is>
          <t>893895227</t>
        </is>
      </c>
    </row>
    <row r="565">
      <c r="A565" t="inlineStr">
        <is>
          <t>No</t>
        </is>
      </c>
      <c r="B565" t="inlineStr">
        <is>
          <t>QH366.2 .P37 1999</t>
        </is>
      </c>
      <c r="C565" t="inlineStr">
        <is>
          <t>0                      QH 0366200P  37          1999</t>
        </is>
      </c>
      <c r="D565" t="inlineStr">
        <is>
          <t>Evolution / Colin Patterson.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Yes</t>
        </is>
      </c>
      <c r="J565" t="inlineStr">
        <is>
          <t>0</t>
        </is>
      </c>
      <c r="K565" t="inlineStr">
        <is>
          <t>Patterson, Colin.</t>
        </is>
      </c>
      <c r="L565" t="inlineStr">
        <is>
          <t>London : The Natural History Museum, c1999.</t>
        </is>
      </c>
      <c r="M565" t="inlineStr">
        <is>
          <t>1999</t>
        </is>
      </c>
      <c r="N565" t="inlineStr">
        <is>
          <t>2nd ed.</t>
        </is>
      </c>
      <c r="O565" t="inlineStr">
        <is>
          <t>eng</t>
        </is>
      </c>
      <c r="P565" t="inlineStr">
        <is>
          <t>enk</t>
        </is>
      </c>
      <c r="R565" t="inlineStr">
        <is>
          <t xml:space="preserve">QH </t>
        </is>
      </c>
      <c r="S565" t="n">
        <v>3</v>
      </c>
      <c r="T565" t="n">
        <v>3</v>
      </c>
      <c r="U565" t="inlineStr">
        <is>
          <t>2000-08-28</t>
        </is>
      </c>
      <c r="V565" t="inlineStr">
        <is>
          <t>2000-08-28</t>
        </is>
      </c>
      <c r="W565" t="inlineStr">
        <is>
          <t>1999-09-30</t>
        </is>
      </c>
      <c r="X565" t="inlineStr">
        <is>
          <t>1999-09-30</t>
        </is>
      </c>
      <c r="Y565" t="n">
        <v>86</v>
      </c>
      <c r="Z565" t="n">
        <v>11</v>
      </c>
      <c r="AA565" t="n">
        <v>1059</v>
      </c>
      <c r="AB565" t="n">
        <v>1</v>
      </c>
      <c r="AC565" t="n">
        <v>8</v>
      </c>
      <c r="AD565" t="n">
        <v>0</v>
      </c>
      <c r="AE565" t="n">
        <v>34</v>
      </c>
      <c r="AF565" t="n">
        <v>0</v>
      </c>
      <c r="AG565" t="n">
        <v>15</v>
      </c>
      <c r="AH565" t="n">
        <v>0</v>
      </c>
      <c r="AI565" t="n">
        <v>6</v>
      </c>
      <c r="AJ565" t="n">
        <v>0</v>
      </c>
      <c r="AK565" t="n">
        <v>15</v>
      </c>
      <c r="AL565" t="n">
        <v>0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HYPERLINK("https://creighton-primo.hosted.exlibrisgroup.com/primo-explore/search?tab=default_tab&amp;search_scope=EVERYTHING&amp;vid=01CRU&amp;lang=en_US&amp;offset=0&amp;query=any,contains,991005429799702656","Catalog Record")</f>
        <v/>
      </c>
      <c r="AT565">
        <f>HYPERLINK("http://www.worldcat.org/oclc/40447455","WorldCat Record")</f>
        <v/>
      </c>
      <c r="AU565" t="inlineStr">
        <is>
          <t>204747:eng</t>
        </is>
      </c>
      <c r="AV565" t="inlineStr">
        <is>
          <t>40447455</t>
        </is>
      </c>
      <c r="AW565" t="inlineStr">
        <is>
          <t>991005429799702656</t>
        </is>
      </c>
      <c r="AX565" t="inlineStr">
        <is>
          <t>991005429799702656</t>
        </is>
      </c>
      <c r="AY565" t="inlineStr">
        <is>
          <t>2267173790002656</t>
        </is>
      </c>
      <c r="AZ565" t="inlineStr">
        <is>
          <t>BOOK</t>
        </is>
      </c>
      <c r="BB565" t="inlineStr">
        <is>
          <t>9780565091330</t>
        </is>
      </c>
      <c r="BC565" t="inlineStr">
        <is>
          <t>32285003591764</t>
        </is>
      </c>
      <c r="BD565" t="inlineStr">
        <is>
          <t>893533854</t>
        </is>
      </c>
    </row>
    <row r="566">
      <c r="A566" t="inlineStr">
        <is>
          <t>No</t>
        </is>
      </c>
      <c r="B566" t="inlineStr">
        <is>
          <t>QH366.2 .P37 1999a</t>
        </is>
      </c>
      <c r="C566" t="inlineStr">
        <is>
          <t>0                      QH 0366200P  37          1999a</t>
        </is>
      </c>
      <c r="D566" t="inlineStr">
        <is>
          <t>Evolution / Colin Patterson.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Yes</t>
        </is>
      </c>
      <c r="J566" t="inlineStr">
        <is>
          <t>0</t>
        </is>
      </c>
      <c r="K566" t="inlineStr">
        <is>
          <t>Patterson, Colin.</t>
        </is>
      </c>
      <c r="L566" t="inlineStr">
        <is>
          <t>Ithaca, N.Y. : Comstock Pub. Associates, 1999.</t>
        </is>
      </c>
      <c r="M566" t="inlineStr">
        <is>
          <t>1999</t>
        </is>
      </c>
      <c r="N566" t="inlineStr">
        <is>
          <t>2nd ed.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QH </t>
        </is>
      </c>
      <c r="S566" t="n">
        <v>2</v>
      </c>
      <c r="T566" t="n">
        <v>2</v>
      </c>
      <c r="U566" t="inlineStr">
        <is>
          <t>2000-02-01</t>
        </is>
      </c>
      <c r="V566" t="inlineStr">
        <is>
          <t>2000-02-01</t>
        </is>
      </c>
      <c r="W566" t="inlineStr">
        <is>
          <t>1999-10-28</t>
        </is>
      </c>
      <c r="X566" t="inlineStr">
        <is>
          <t>1999-10-28</t>
        </is>
      </c>
      <c r="Y566" t="n">
        <v>537</v>
      </c>
      <c r="Z566" t="n">
        <v>499</v>
      </c>
      <c r="AA566" t="n">
        <v>1059</v>
      </c>
      <c r="AB566" t="n">
        <v>5</v>
      </c>
      <c r="AC566" t="n">
        <v>8</v>
      </c>
      <c r="AD566" t="n">
        <v>22</v>
      </c>
      <c r="AE566" t="n">
        <v>34</v>
      </c>
      <c r="AF566" t="n">
        <v>9</v>
      </c>
      <c r="AG566" t="n">
        <v>15</v>
      </c>
      <c r="AH566" t="n">
        <v>3</v>
      </c>
      <c r="AI566" t="n">
        <v>6</v>
      </c>
      <c r="AJ566" t="n">
        <v>11</v>
      </c>
      <c r="AK566" t="n">
        <v>15</v>
      </c>
      <c r="AL566" t="n">
        <v>4</v>
      </c>
      <c r="AM566" t="n">
        <v>7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HYPERLINK("http://catalog.hathitrust.org/Record/004078617","HathiTrust Record")</f>
        <v/>
      </c>
      <c r="AS566">
        <f>HYPERLINK("https://creighton-primo.hosted.exlibrisgroup.com/primo-explore/search?tab=default_tab&amp;search_scope=EVERYTHING&amp;vid=01CRU&amp;lang=en_US&amp;offset=0&amp;query=any,contains,991002967899702656","Catalog Record")</f>
        <v/>
      </c>
      <c r="AT566">
        <f>HYPERLINK("http://www.worldcat.org/oclc/39724234","WorldCat Record")</f>
        <v/>
      </c>
      <c r="AU566" t="inlineStr">
        <is>
          <t>204747:eng</t>
        </is>
      </c>
      <c r="AV566" t="inlineStr">
        <is>
          <t>39724234</t>
        </is>
      </c>
      <c r="AW566" t="inlineStr">
        <is>
          <t>991002967899702656</t>
        </is>
      </c>
      <c r="AX566" t="inlineStr">
        <is>
          <t>991002967899702656</t>
        </is>
      </c>
      <c r="AY566" t="inlineStr">
        <is>
          <t>2269368390002656</t>
        </is>
      </c>
      <c r="AZ566" t="inlineStr">
        <is>
          <t>BOOK</t>
        </is>
      </c>
      <c r="BB566" t="inlineStr">
        <is>
          <t>9780801436420</t>
        </is>
      </c>
      <c r="BC566" t="inlineStr">
        <is>
          <t>32285003615175</t>
        </is>
      </c>
      <c r="BD566" t="inlineStr">
        <is>
          <t>893692220</t>
        </is>
      </c>
    </row>
    <row r="567">
      <c r="A567" t="inlineStr">
        <is>
          <t>No</t>
        </is>
      </c>
      <c r="B567" t="inlineStr">
        <is>
          <t>QH366.2 .P45 1982</t>
        </is>
      </c>
      <c r="C567" t="inlineStr">
        <is>
          <t>0                      QH 0366200P  45          1982</t>
        </is>
      </c>
      <c r="D567" t="inlineStr">
        <is>
          <t>Perspectives on evolution / edited by Roger Milkman.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Sunderland, Mass. : Sinauer Associates, c1982.</t>
        </is>
      </c>
      <c r="M567" t="inlineStr">
        <is>
          <t>1982</t>
        </is>
      </c>
      <c r="O567" t="inlineStr">
        <is>
          <t>eng</t>
        </is>
      </c>
      <c r="P567" t="inlineStr">
        <is>
          <t>mau</t>
        </is>
      </c>
      <c r="R567" t="inlineStr">
        <is>
          <t xml:space="preserve">QH </t>
        </is>
      </c>
      <c r="S567" t="n">
        <v>10</v>
      </c>
      <c r="T567" t="n">
        <v>10</v>
      </c>
      <c r="U567" t="inlineStr">
        <is>
          <t>1999-09-19</t>
        </is>
      </c>
      <c r="V567" t="inlineStr">
        <is>
          <t>1999-09-19</t>
        </is>
      </c>
      <c r="W567" t="inlineStr">
        <is>
          <t>1993-03-29</t>
        </is>
      </c>
      <c r="X567" t="inlineStr">
        <is>
          <t>1993-03-29</t>
        </is>
      </c>
      <c r="Y567" t="n">
        <v>460</v>
      </c>
      <c r="Z567" t="n">
        <v>365</v>
      </c>
      <c r="AA567" t="n">
        <v>373</v>
      </c>
      <c r="AB567" t="n">
        <v>2</v>
      </c>
      <c r="AC567" t="n">
        <v>2</v>
      </c>
      <c r="AD567" t="n">
        <v>15</v>
      </c>
      <c r="AE567" t="n">
        <v>15</v>
      </c>
      <c r="AF567" t="n">
        <v>8</v>
      </c>
      <c r="AG567" t="n">
        <v>8</v>
      </c>
      <c r="AH567" t="n">
        <v>2</v>
      </c>
      <c r="AI567" t="n">
        <v>2</v>
      </c>
      <c r="AJ567" t="n">
        <v>9</v>
      </c>
      <c r="AK567" t="n">
        <v>9</v>
      </c>
      <c r="AL567" t="n">
        <v>1</v>
      </c>
      <c r="AM567" t="n">
        <v>1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HYPERLINK("http://catalog.hathitrust.org/Record/000108926","HathiTrust Record")</f>
        <v/>
      </c>
      <c r="AS567">
        <f>HYPERLINK("https://creighton-primo.hosted.exlibrisgroup.com/primo-explore/search?tab=default_tab&amp;search_scope=EVERYTHING&amp;vid=01CRU&amp;lang=en_US&amp;offset=0&amp;query=any,contains,991005204619702656","Catalog Record")</f>
        <v/>
      </c>
      <c r="AT567">
        <f>HYPERLINK("http://www.worldcat.org/oclc/8111942","WorldCat Record")</f>
        <v/>
      </c>
      <c r="AU567" t="inlineStr">
        <is>
          <t>539011:eng</t>
        </is>
      </c>
      <c r="AV567" t="inlineStr">
        <is>
          <t>8111942</t>
        </is>
      </c>
      <c r="AW567" t="inlineStr">
        <is>
          <t>991005204619702656</t>
        </is>
      </c>
      <c r="AX567" t="inlineStr">
        <is>
          <t>991005204619702656</t>
        </is>
      </c>
      <c r="AY567" t="inlineStr">
        <is>
          <t>2257146220002656</t>
        </is>
      </c>
      <c r="AZ567" t="inlineStr">
        <is>
          <t>BOOK</t>
        </is>
      </c>
      <c r="BB567" t="inlineStr">
        <is>
          <t>9780878935284</t>
        </is>
      </c>
      <c r="BC567" t="inlineStr">
        <is>
          <t>32285001553857</t>
        </is>
      </c>
      <c r="BD567" t="inlineStr">
        <is>
          <t>893254642</t>
        </is>
      </c>
    </row>
    <row r="568">
      <c r="A568" t="inlineStr">
        <is>
          <t>No</t>
        </is>
      </c>
      <c r="B568" t="inlineStr">
        <is>
          <t>QH366.2 .R524 1996</t>
        </is>
      </c>
      <c r="C568" t="inlineStr">
        <is>
          <t>0                      QH 0366200R  524         1996</t>
        </is>
      </c>
      <c r="D568" t="inlineStr">
        <is>
          <t>Evolution / Mark Ridley.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Yes</t>
        </is>
      </c>
      <c r="J568" t="inlineStr">
        <is>
          <t>0</t>
        </is>
      </c>
      <c r="K568" t="inlineStr">
        <is>
          <t>Ridley, Mark.</t>
        </is>
      </c>
      <c r="L568" t="inlineStr">
        <is>
          <t>Cambridge, Mass., USA : Blackwell Science, c1996.</t>
        </is>
      </c>
      <c r="M568" t="inlineStr">
        <is>
          <t>1996</t>
        </is>
      </c>
      <c r="N568" t="inlineStr">
        <is>
          <t>2nd ed.</t>
        </is>
      </c>
      <c r="O568" t="inlineStr">
        <is>
          <t>eng</t>
        </is>
      </c>
      <c r="P568" t="inlineStr">
        <is>
          <t>mau</t>
        </is>
      </c>
      <c r="R568" t="inlineStr">
        <is>
          <t xml:space="preserve">QH </t>
        </is>
      </c>
      <c r="S568" t="n">
        <v>5</v>
      </c>
      <c r="T568" t="n">
        <v>5</v>
      </c>
      <c r="U568" t="inlineStr">
        <is>
          <t>2008-11-25</t>
        </is>
      </c>
      <c r="V568" t="inlineStr">
        <is>
          <t>2008-11-25</t>
        </is>
      </c>
      <c r="W568" t="inlineStr">
        <is>
          <t>1997-03-05</t>
        </is>
      </c>
      <c r="X568" t="inlineStr">
        <is>
          <t>1997-03-05</t>
        </is>
      </c>
      <c r="Y568" t="n">
        <v>319</v>
      </c>
      <c r="Z568" t="n">
        <v>175</v>
      </c>
      <c r="AA568" t="n">
        <v>1654</v>
      </c>
      <c r="AB568" t="n">
        <v>2</v>
      </c>
      <c r="AC568" t="n">
        <v>8</v>
      </c>
      <c r="AD568" t="n">
        <v>5</v>
      </c>
      <c r="AE568" t="n">
        <v>43</v>
      </c>
      <c r="AF568" t="n">
        <v>2</v>
      </c>
      <c r="AG568" t="n">
        <v>20</v>
      </c>
      <c r="AH568" t="n">
        <v>3</v>
      </c>
      <c r="AI568" t="n">
        <v>9</v>
      </c>
      <c r="AJ568" t="n">
        <v>2</v>
      </c>
      <c r="AK568" t="n">
        <v>19</v>
      </c>
      <c r="AL568" t="n">
        <v>1</v>
      </c>
      <c r="AM568" t="n">
        <v>6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HYPERLINK("https://creighton-primo.hosted.exlibrisgroup.com/primo-explore/search?tab=default_tab&amp;search_scope=EVERYTHING&amp;vid=01CRU&amp;lang=en_US&amp;offset=0&amp;query=any,contains,991004620679702656","Catalog Record")</f>
        <v/>
      </c>
      <c r="AT568">
        <f>HYPERLINK("http://www.worldcat.org/oclc/34677171","WorldCat Record")</f>
        <v/>
      </c>
      <c r="AU568" t="inlineStr">
        <is>
          <t>374262:eng</t>
        </is>
      </c>
      <c r="AV568" t="inlineStr">
        <is>
          <t>34677171</t>
        </is>
      </c>
      <c r="AW568" t="inlineStr">
        <is>
          <t>991004620679702656</t>
        </is>
      </c>
      <c r="AX568" t="inlineStr">
        <is>
          <t>991004620679702656</t>
        </is>
      </c>
      <c r="AY568" t="inlineStr">
        <is>
          <t>2266257130002656</t>
        </is>
      </c>
      <c r="AZ568" t="inlineStr">
        <is>
          <t>BOOK</t>
        </is>
      </c>
      <c r="BB568" t="inlineStr">
        <is>
          <t>9780865424951</t>
        </is>
      </c>
      <c r="BC568" t="inlineStr">
        <is>
          <t>32285002399755</t>
        </is>
      </c>
      <c r="BD568" t="inlineStr">
        <is>
          <t>893446306</t>
        </is>
      </c>
    </row>
    <row r="569">
      <c r="A569" t="inlineStr">
        <is>
          <t>No</t>
        </is>
      </c>
      <c r="B569" t="inlineStr">
        <is>
          <t>QH366.2 .R526 1985</t>
        </is>
      </c>
      <c r="C569" t="inlineStr">
        <is>
          <t>0                      QH 0366200R  526         1985</t>
        </is>
      </c>
      <c r="D569" t="inlineStr">
        <is>
          <t>The problems of evolution / Mark Ridley.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Ridley, Mark.</t>
        </is>
      </c>
      <c r="L569" t="inlineStr">
        <is>
          <t>Oxford [Oxfordshire] ; New York : Oxford University Press, 1985.</t>
        </is>
      </c>
      <c r="M569" t="inlineStr">
        <is>
          <t>1985</t>
        </is>
      </c>
      <c r="O569" t="inlineStr">
        <is>
          <t>eng</t>
        </is>
      </c>
      <c r="P569" t="inlineStr">
        <is>
          <t>enk</t>
        </is>
      </c>
      <c r="Q569" t="inlineStr">
        <is>
          <t>OPUS</t>
        </is>
      </c>
      <c r="R569" t="inlineStr">
        <is>
          <t xml:space="preserve">QH </t>
        </is>
      </c>
      <c r="S569" t="n">
        <v>21</v>
      </c>
      <c r="T569" t="n">
        <v>21</v>
      </c>
      <c r="U569" t="inlineStr">
        <is>
          <t>1997-04-10</t>
        </is>
      </c>
      <c r="V569" t="inlineStr">
        <is>
          <t>1997-04-10</t>
        </is>
      </c>
      <c r="W569" t="inlineStr">
        <is>
          <t>1993-03-29</t>
        </is>
      </c>
      <c r="X569" t="inlineStr">
        <is>
          <t>1993-03-29</t>
        </is>
      </c>
      <c r="Y569" t="n">
        <v>761</v>
      </c>
      <c r="Z569" t="n">
        <v>600</v>
      </c>
      <c r="AA569" t="n">
        <v>618</v>
      </c>
      <c r="AB569" t="n">
        <v>3</v>
      </c>
      <c r="AC569" t="n">
        <v>3</v>
      </c>
      <c r="AD569" t="n">
        <v>21</v>
      </c>
      <c r="AE569" t="n">
        <v>22</v>
      </c>
      <c r="AF569" t="n">
        <v>11</v>
      </c>
      <c r="AG569" t="n">
        <v>11</v>
      </c>
      <c r="AH569" t="n">
        <v>4</v>
      </c>
      <c r="AI569" t="n">
        <v>5</v>
      </c>
      <c r="AJ569" t="n">
        <v>11</v>
      </c>
      <c r="AK569" t="n">
        <v>12</v>
      </c>
      <c r="AL569" t="n">
        <v>2</v>
      </c>
      <c r="AM569" t="n">
        <v>2</v>
      </c>
      <c r="AN569" t="n">
        <v>0</v>
      </c>
      <c r="AO569" t="n">
        <v>0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HYPERLINK("http://catalog.hathitrust.org/Record/007163253","HathiTrust Record")</f>
        <v/>
      </c>
      <c r="AS569">
        <f>HYPERLINK("https://creighton-primo.hosted.exlibrisgroup.com/primo-explore/search?tab=default_tab&amp;search_scope=EVERYTHING&amp;vid=01CRU&amp;lang=en_US&amp;offset=0&amp;query=any,contains,991000547789702656","Catalog Record")</f>
        <v/>
      </c>
      <c r="AT569">
        <f>HYPERLINK("http://www.worldcat.org/oclc/11519663","WorldCat Record")</f>
        <v/>
      </c>
      <c r="AU569" t="inlineStr">
        <is>
          <t>5453580833:eng</t>
        </is>
      </c>
      <c r="AV569" t="inlineStr">
        <is>
          <t>11519663</t>
        </is>
      </c>
      <c r="AW569" t="inlineStr">
        <is>
          <t>991000547789702656</t>
        </is>
      </c>
      <c r="AX569" t="inlineStr">
        <is>
          <t>991000547789702656</t>
        </is>
      </c>
      <c r="AY569" t="inlineStr">
        <is>
          <t>2269973630002656</t>
        </is>
      </c>
      <c r="AZ569" t="inlineStr">
        <is>
          <t>BOOK</t>
        </is>
      </c>
      <c r="BB569" t="inlineStr">
        <is>
          <t>9780192891754</t>
        </is>
      </c>
      <c r="BC569" t="inlineStr">
        <is>
          <t>32285001553873</t>
        </is>
      </c>
      <c r="BD569" t="inlineStr">
        <is>
          <t>893626360</t>
        </is>
      </c>
    </row>
    <row r="570">
      <c r="A570" t="inlineStr">
        <is>
          <t>No</t>
        </is>
      </c>
      <c r="B570" t="inlineStr">
        <is>
          <t>QH366.2 .R527 1997</t>
        </is>
      </c>
      <c r="C570" t="inlineStr">
        <is>
          <t>0                      QH 0366200R  527         1997</t>
        </is>
      </c>
      <c r="D570" t="inlineStr">
        <is>
          <t>The origins of virtue : human instincts and the evolution of cooperation / Matt Ridley.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Ridley, Matt.</t>
        </is>
      </c>
      <c r="L570" t="inlineStr">
        <is>
          <t>New York : Viking, 1997.</t>
        </is>
      </c>
      <c r="M570" t="inlineStr">
        <is>
          <t>1997</t>
        </is>
      </c>
      <c r="N570" t="inlineStr">
        <is>
          <t>1st American ed.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QH </t>
        </is>
      </c>
      <c r="S570" t="n">
        <v>12</v>
      </c>
      <c r="T570" t="n">
        <v>12</v>
      </c>
      <c r="U570" t="inlineStr">
        <is>
          <t>2007-07-20</t>
        </is>
      </c>
      <c r="V570" t="inlineStr">
        <is>
          <t>2007-07-20</t>
        </is>
      </c>
      <c r="W570" t="inlineStr">
        <is>
          <t>1997-06-16</t>
        </is>
      </c>
      <c r="X570" t="inlineStr">
        <is>
          <t>1997-06-16</t>
        </is>
      </c>
      <c r="Y570" t="n">
        <v>749</v>
      </c>
      <c r="Z570" t="n">
        <v>687</v>
      </c>
      <c r="AA570" t="n">
        <v>979</v>
      </c>
      <c r="AB570" t="n">
        <v>3</v>
      </c>
      <c r="AC570" t="n">
        <v>3</v>
      </c>
      <c r="AD570" t="n">
        <v>23</v>
      </c>
      <c r="AE570" t="n">
        <v>35</v>
      </c>
      <c r="AF570" t="n">
        <v>6</v>
      </c>
      <c r="AG570" t="n">
        <v>12</v>
      </c>
      <c r="AH570" t="n">
        <v>6</v>
      </c>
      <c r="AI570" t="n">
        <v>8</v>
      </c>
      <c r="AJ570" t="n">
        <v>14</v>
      </c>
      <c r="AK570" t="n">
        <v>19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HYPERLINK("https://creighton-primo.hosted.exlibrisgroup.com/primo-explore/search?tab=default_tab&amp;search_scope=EVERYTHING&amp;vid=01CRU&amp;lang=en_US&amp;offset=0&amp;query=any,contains,991002719099702656","Catalog Record")</f>
        <v/>
      </c>
      <c r="AT570">
        <f>HYPERLINK("http://www.worldcat.org/oclc/35650982","WorldCat Record")</f>
        <v/>
      </c>
      <c r="AU570" t="inlineStr">
        <is>
          <t>1151858892:eng</t>
        </is>
      </c>
      <c r="AV570" t="inlineStr">
        <is>
          <t>35650982</t>
        </is>
      </c>
      <c r="AW570" t="inlineStr">
        <is>
          <t>991002719099702656</t>
        </is>
      </c>
      <c r="AX570" t="inlineStr">
        <is>
          <t>991002719099702656</t>
        </is>
      </c>
      <c r="AY570" t="inlineStr">
        <is>
          <t>2258261630002656</t>
        </is>
      </c>
      <c r="AZ570" t="inlineStr">
        <is>
          <t>BOOK</t>
        </is>
      </c>
      <c r="BB570" t="inlineStr">
        <is>
          <t>9780670874491</t>
        </is>
      </c>
      <c r="BC570" t="inlineStr">
        <is>
          <t>32285002751500</t>
        </is>
      </c>
      <c r="BD570" t="inlineStr">
        <is>
          <t>893867600</t>
        </is>
      </c>
    </row>
    <row r="571">
      <c r="A571" t="inlineStr">
        <is>
          <t>No</t>
        </is>
      </c>
      <c r="B571" t="inlineStr">
        <is>
          <t>QH366.2 .R5313</t>
        </is>
      </c>
      <c r="C571" t="inlineStr">
        <is>
          <t>0                      QH 0366200R  5313</t>
        </is>
      </c>
      <c r="D571" t="inlineStr">
        <is>
          <t>Order in living organisms : a systems analysis of evolution / by Rupert Riedl ; translated by R. P. S. Jefferies.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Riedl, Rupert.</t>
        </is>
      </c>
      <c r="L571" t="inlineStr">
        <is>
          <t>Chichester ; New York : Wiley, c1978.</t>
        </is>
      </c>
      <c r="M571" t="inlineStr">
        <is>
          <t>1978</t>
        </is>
      </c>
      <c r="O571" t="inlineStr">
        <is>
          <t>eng</t>
        </is>
      </c>
      <c r="P571" t="inlineStr">
        <is>
          <t>enk</t>
        </is>
      </c>
      <c r="R571" t="inlineStr">
        <is>
          <t xml:space="preserve">QH </t>
        </is>
      </c>
      <c r="S571" t="n">
        <v>2</v>
      </c>
      <c r="T571" t="n">
        <v>2</v>
      </c>
      <c r="U571" t="inlineStr">
        <is>
          <t>1995-09-19</t>
        </is>
      </c>
      <c r="V571" t="inlineStr">
        <is>
          <t>1995-09-19</t>
        </is>
      </c>
      <c r="W571" t="inlineStr">
        <is>
          <t>1993-03-29</t>
        </is>
      </c>
      <c r="X571" t="inlineStr">
        <is>
          <t>1993-03-29</t>
        </is>
      </c>
      <c r="Y571" t="n">
        <v>350</v>
      </c>
      <c r="Z571" t="n">
        <v>254</v>
      </c>
      <c r="AA571" t="n">
        <v>257</v>
      </c>
      <c r="AB571" t="n">
        <v>2</v>
      </c>
      <c r="AC571" t="n">
        <v>2</v>
      </c>
      <c r="AD571" t="n">
        <v>7</v>
      </c>
      <c r="AE571" t="n">
        <v>7</v>
      </c>
      <c r="AF571" t="n">
        <v>2</v>
      </c>
      <c r="AG571" t="n">
        <v>2</v>
      </c>
      <c r="AH571" t="n">
        <v>3</v>
      </c>
      <c r="AI571" t="n">
        <v>3</v>
      </c>
      <c r="AJ571" t="n">
        <v>3</v>
      </c>
      <c r="AK571" t="n">
        <v>3</v>
      </c>
      <c r="AL571" t="n">
        <v>1</v>
      </c>
      <c r="AM571" t="n">
        <v>1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HYPERLINK("http://catalog.hathitrust.org/Record/000127360","HathiTrust Record")</f>
        <v/>
      </c>
      <c r="AS571">
        <f>HYPERLINK("https://creighton-primo.hosted.exlibrisgroup.com/primo-explore/search?tab=default_tab&amp;search_scope=EVERYTHING&amp;vid=01CRU&amp;lang=en_US&amp;offset=0&amp;query=any,contains,991004476369702656","Catalog Record")</f>
        <v/>
      </c>
      <c r="AT571">
        <f>HYPERLINK("http://www.worldcat.org/oclc/3609461","WorldCat Record")</f>
        <v/>
      </c>
      <c r="AU571" t="inlineStr">
        <is>
          <t>8310576:eng</t>
        </is>
      </c>
      <c r="AV571" t="inlineStr">
        <is>
          <t>3609461</t>
        </is>
      </c>
      <c r="AW571" t="inlineStr">
        <is>
          <t>991004476369702656</t>
        </is>
      </c>
      <c r="AX571" t="inlineStr">
        <is>
          <t>991004476369702656</t>
        </is>
      </c>
      <c r="AY571" t="inlineStr">
        <is>
          <t>2271736780002656</t>
        </is>
      </c>
      <c r="AZ571" t="inlineStr">
        <is>
          <t>BOOK</t>
        </is>
      </c>
      <c r="BB571" t="inlineStr">
        <is>
          <t>9780471996354</t>
        </is>
      </c>
      <c r="BC571" t="inlineStr">
        <is>
          <t>32285001553881</t>
        </is>
      </c>
      <c r="BD571" t="inlineStr">
        <is>
          <t>893788733</t>
        </is>
      </c>
    </row>
    <row r="572">
      <c r="A572" t="inlineStr">
        <is>
          <t>No</t>
        </is>
      </c>
      <c r="B572" t="inlineStr">
        <is>
          <t>QH366.2 .R93 2002</t>
        </is>
      </c>
      <c r="C572" t="inlineStr">
        <is>
          <t>0                      QH 0366200R  93          2002</t>
        </is>
      </c>
      <c r="D572" t="inlineStr">
        <is>
          <t>Darwin's blind spot : evolution beyond natural selection / Frank Ryan.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Ryan, Frank, 1944-</t>
        </is>
      </c>
      <c r="L572" t="inlineStr">
        <is>
          <t>Boston : Houghton Mifflin Company, 2002.</t>
        </is>
      </c>
      <c r="M572" t="inlineStr">
        <is>
          <t>2002</t>
        </is>
      </c>
      <c r="O572" t="inlineStr">
        <is>
          <t>eng</t>
        </is>
      </c>
      <c r="P572" t="inlineStr">
        <is>
          <t>mau</t>
        </is>
      </c>
      <c r="R572" t="inlineStr">
        <is>
          <t xml:space="preserve">QH </t>
        </is>
      </c>
      <c r="S572" t="n">
        <v>1</v>
      </c>
      <c r="T572" t="n">
        <v>1</v>
      </c>
      <c r="U572" t="inlineStr">
        <is>
          <t>2003-02-06</t>
        </is>
      </c>
      <c r="V572" t="inlineStr">
        <is>
          <t>2003-02-06</t>
        </is>
      </c>
      <c r="W572" t="inlineStr">
        <is>
          <t>2003-02-06</t>
        </is>
      </c>
      <c r="X572" t="inlineStr">
        <is>
          <t>2003-02-06</t>
        </is>
      </c>
      <c r="Y572" t="n">
        <v>724</v>
      </c>
      <c r="Z572" t="n">
        <v>667</v>
      </c>
      <c r="AA572" t="n">
        <v>674</v>
      </c>
      <c r="AB572" t="n">
        <v>7</v>
      </c>
      <c r="AC572" t="n">
        <v>7</v>
      </c>
      <c r="AD572" t="n">
        <v>25</v>
      </c>
      <c r="AE572" t="n">
        <v>25</v>
      </c>
      <c r="AF572" t="n">
        <v>8</v>
      </c>
      <c r="AG572" t="n">
        <v>8</v>
      </c>
      <c r="AH572" t="n">
        <v>7</v>
      </c>
      <c r="AI572" t="n">
        <v>7</v>
      </c>
      <c r="AJ572" t="n">
        <v>13</v>
      </c>
      <c r="AK572" t="n">
        <v>13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HYPERLINK("https://creighton-primo.hosted.exlibrisgroup.com/primo-explore/search?tab=default_tab&amp;search_scope=EVERYTHING&amp;vid=01CRU&amp;lang=en_US&amp;offset=0&amp;query=any,contains,991003968359702656","Catalog Record")</f>
        <v/>
      </c>
      <c r="AT572">
        <f>HYPERLINK("http://www.worldcat.org/oclc/50478535","WorldCat Record")</f>
        <v/>
      </c>
      <c r="AU572" t="inlineStr">
        <is>
          <t>839932027:eng</t>
        </is>
      </c>
      <c r="AV572" t="inlineStr">
        <is>
          <t>50478535</t>
        </is>
      </c>
      <c r="AW572" t="inlineStr">
        <is>
          <t>991003968359702656</t>
        </is>
      </c>
      <c r="AX572" t="inlineStr">
        <is>
          <t>991003968359702656</t>
        </is>
      </c>
      <c r="AY572" t="inlineStr">
        <is>
          <t>2258746180002656</t>
        </is>
      </c>
      <c r="AZ572" t="inlineStr">
        <is>
          <t>BOOK</t>
        </is>
      </c>
      <c r="BB572" t="inlineStr">
        <is>
          <t>9780618118120</t>
        </is>
      </c>
      <c r="BC572" t="inlineStr">
        <is>
          <t>32285004697602</t>
        </is>
      </c>
      <c r="BD572" t="inlineStr">
        <is>
          <t>893881894</t>
        </is>
      </c>
    </row>
    <row r="573">
      <c r="A573" t="inlineStr">
        <is>
          <t>No</t>
        </is>
      </c>
      <c r="B573" t="inlineStr">
        <is>
          <t>QH366.2 .S25</t>
        </is>
      </c>
      <c r="C573" t="inlineStr">
        <is>
          <t>0                      QH 0366200S  25</t>
        </is>
      </c>
      <c r="D573" t="inlineStr">
        <is>
          <t>Evolutionary biology / [by] Stanley N. Salthe.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Salthe, Stanley N.</t>
        </is>
      </c>
      <c r="L573" t="inlineStr">
        <is>
          <t>New York : Holt, Rinehart and Winston, [1972]</t>
        </is>
      </c>
      <c r="M573" t="inlineStr">
        <is>
          <t>1972</t>
        </is>
      </c>
      <c r="O573" t="inlineStr">
        <is>
          <t>eng</t>
        </is>
      </c>
      <c r="P573" t="inlineStr">
        <is>
          <t>nyu</t>
        </is>
      </c>
      <c r="R573" t="inlineStr">
        <is>
          <t xml:space="preserve">QH </t>
        </is>
      </c>
      <c r="S573" t="n">
        <v>16</v>
      </c>
      <c r="T573" t="n">
        <v>16</v>
      </c>
      <c r="U573" t="inlineStr">
        <is>
          <t>2001-02-19</t>
        </is>
      </c>
      <c r="V573" t="inlineStr">
        <is>
          <t>2001-02-19</t>
        </is>
      </c>
      <c r="W573" t="inlineStr">
        <is>
          <t>1994-02-24</t>
        </is>
      </c>
      <c r="X573" t="inlineStr">
        <is>
          <t>1994-02-24</t>
        </is>
      </c>
      <c r="Y573" t="n">
        <v>474</v>
      </c>
      <c r="Z573" t="n">
        <v>397</v>
      </c>
      <c r="AA573" t="n">
        <v>402</v>
      </c>
      <c r="AB573" t="n">
        <v>5</v>
      </c>
      <c r="AC573" t="n">
        <v>5</v>
      </c>
      <c r="AD573" t="n">
        <v>11</v>
      </c>
      <c r="AE573" t="n">
        <v>11</v>
      </c>
      <c r="AF573" t="n">
        <v>2</v>
      </c>
      <c r="AG573" t="n">
        <v>2</v>
      </c>
      <c r="AH573" t="n">
        <v>1</v>
      </c>
      <c r="AI573" t="n">
        <v>1</v>
      </c>
      <c r="AJ573" t="n">
        <v>5</v>
      </c>
      <c r="AK573" t="n">
        <v>5</v>
      </c>
      <c r="AL573" t="n">
        <v>4</v>
      </c>
      <c r="AM573" t="n">
        <v>4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HYPERLINK("https://creighton-primo.hosted.exlibrisgroup.com/primo-explore/search?tab=default_tab&amp;search_scope=EVERYTHING&amp;vid=01CRU&amp;lang=en_US&amp;offset=0&amp;query=any,contains,991002465419702656","Catalog Record")</f>
        <v/>
      </c>
      <c r="AT573">
        <f>HYPERLINK("http://www.worldcat.org/oclc/357481","WorldCat Record")</f>
        <v/>
      </c>
      <c r="AU573" t="inlineStr">
        <is>
          <t>1403902:eng</t>
        </is>
      </c>
      <c r="AV573" t="inlineStr">
        <is>
          <t>357481</t>
        </is>
      </c>
      <c r="AW573" t="inlineStr">
        <is>
          <t>991002465419702656</t>
        </is>
      </c>
      <c r="AX573" t="inlineStr">
        <is>
          <t>991002465419702656</t>
        </is>
      </c>
      <c r="AY573" t="inlineStr">
        <is>
          <t>2263035940002656</t>
        </is>
      </c>
      <c r="AZ573" t="inlineStr">
        <is>
          <t>BOOK</t>
        </is>
      </c>
      <c r="BB573" t="inlineStr">
        <is>
          <t>9780030821912</t>
        </is>
      </c>
      <c r="BC573" t="inlineStr">
        <is>
          <t>32285001850113</t>
        </is>
      </c>
      <c r="BD573" t="inlineStr">
        <is>
          <t>893809509</t>
        </is>
      </c>
    </row>
    <row r="574">
      <c r="A574" t="inlineStr">
        <is>
          <t>No</t>
        </is>
      </c>
      <c r="B574" t="inlineStr">
        <is>
          <t>QH366.2 .S35 2008</t>
        </is>
      </c>
      <c r="C574" t="inlineStr">
        <is>
          <t>0                      QH 0366200S  35          2008</t>
        </is>
      </c>
      <c r="D574" t="inlineStr">
        <is>
          <t>Science, evolution, and creationism / National Academy of Sciences, Institute of Medicine.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Washington, D.C. : National Academies Press, c2008.</t>
        </is>
      </c>
      <c r="M574" t="inlineStr">
        <is>
          <t>2008</t>
        </is>
      </c>
      <c r="O574" t="inlineStr">
        <is>
          <t>eng</t>
        </is>
      </c>
      <c r="P574" t="inlineStr">
        <is>
          <t>dcu</t>
        </is>
      </c>
      <c r="R574" t="inlineStr">
        <is>
          <t xml:space="preserve">QH </t>
        </is>
      </c>
      <c r="S574" t="n">
        <v>2</v>
      </c>
      <c r="T574" t="n">
        <v>2</v>
      </c>
      <c r="U574" t="inlineStr">
        <is>
          <t>2009-02-22</t>
        </is>
      </c>
      <c r="V574" t="inlineStr">
        <is>
          <t>2009-02-22</t>
        </is>
      </c>
      <c r="W574" t="inlineStr">
        <is>
          <t>2008-05-13</t>
        </is>
      </c>
      <c r="X574" t="inlineStr">
        <is>
          <t>2008-05-13</t>
        </is>
      </c>
      <c r="Y574" t="n">
        <v>918</v>
      </c>
      <c r="Z574" t="n">
        <v>816</v>
      </c>
      <c r="AA574" t="n">
        <v>1713</v>
      </c>
      <c r="AB574" t="n">
        <v>8</v>
      </c>
      <c r="AC574" t="n">
        <v>16</v>
      </c>
      <c r="AD574" t="n">
        <v>27</v>
      </c>
      <c r="AE574" t="n">
        <v>53</v>
      </c>
      <c r="AF574" t="n">
        <v>11</v>
      </c>
      <c r="AG574" t="n">
        <v>18</v>
      </c>
      <c r="AH574" t="n">
        <v>4</v>
      </c>
      <c r="AI574" t="n">
        <v>11</v>
      </c>
      <c r="AJ574" t="n">
        <v>11</v>
      </c>
      <c r="AK574" t="n">
        <v>18</v>
      </c>
      <c r="AL574" t="n">
        <v>6</v>
      </c>
      <c r="AM574" t="n">
        <v>13</v>
      </c>
      <c r="AN574" t="n">
        <v>0</v>
      </c>
      <c r="AO574" t="n">
        <v>2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HYPERLINK("https://creighton-primo.hosted.exlibrisgroup.com/primo-explore/search?tab=default_tab&amp;search_scope=EVERYTHING&amp;vid=01CRU&amp;lang=en_US&amp;offset=0&amp;query=any,contains,991005213559702656","Catalog Record")</f>
        <v/>
      </c>
      <c r="AT574">
        <f>HYPERLINK("http://www.worldcat.org/oclc/123539346","WorldCat Record")</f>
        <v/>
      </c>
      <c r="AU574" t="inlineStr">
        <is>
          <t>3855286342:eng</t>
        </is>
      </c>
      <c r="AV574" t="inlineStr">
        <is>
          <t>123539346</t>
        </is>
      </c>
      <c r="AW574" t="inlineStr">
        <is>
          <t>991005213559702656</t>
        </is>
      </c>
      <c r="AX574" t="inlineStr">
        <is>
          <t>991005213559702656</t>
        </is>
      </c>
      <c r="AY574" t="inlineStr">
        <is>
          <t>2269171590002656</t>
        </is>
      </c>
      <c r="AZ574" t="inlineStr">
        <is>
          <t>BOOK</t>
        </is>
      </c>
      <c r="BB574" t="inlineStr">
        <is>
          <t>9780309105866</t>
        </is>
      </c>
      <c r="BC574" t="inlineStr">
        <is>
          <t>32285005407191</t>
        </is>
      </c>
      <c r="BD574" t="inlineStr">
        <is>
          <t>893350920</t>
        </is>
      </c>
    </row>
    <row r="575">
      <c r="A575" t="inlineStr">
        <is>
          <t>No</t>
        </is>
      </c>
      <c r="B575" t="inlineStr">
        <is>
          <t>QH366.2 .S43 2007</t>
        </is>
      </c>
      <c r="C575" t="inlineStr">
        <is>
          <t>0                      QH 0366200S  43          2007</t>
        </is>
      </c>
      <c r="D575" t="inlineStr">
        <is>
          <t>Scientists confront intelligent design and creationism / edited by Andrew J. Petto and Laurie R. Godfrey.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W.W. Norton &amp; Co., c2007.</t>
        </is>
      </c>
      <c r="M575" t="inlineStr">
        <is>
          <t>2007</t>
        </is>
      </c>
      <c r="O575" t="inlineStr">
        <is>
          <t>eng</t>
        </is>
      </c>
      <c r="P575" t="inlineStr">
        <is>
          <t>nyu</t>
        </is>
      </c>
      <c r="R575" t="inlineStr">
        <is>
          <t xml:space="preserve">QH </t>
        </is>
      </c>
      <c r="S575" t="n">
        <v>3</v>
      </c>
      <c r="T575" t="n">
        <v>3</v>
      </c>
      <c r="U575" t="inlineStr">
        <is>
          <t>2010-03-19</t>
        </is>
      </c>
      <c r="V575" t="inlineStr">
        <is>
          <t>2010-03-19</t>
        </is>
      </c>
      <c r="W575" t="inlineStr">
        <is>
          <t>2007-05-14</t>
        </is>
      </c>
      <c r="X575" t="inlineStr">
        <is>
          <t>2007-05-14</t>
        </is>
      </c>
      <c r="Y575" t="n">
        <v>1088</v>
      </c>
      <c r="Z575" t="n">
        <v>993</v>
      </c>
      <c r="AA575" t="n">
        <v>994</v>
      </c>
      <c r="AB575" t="n">
        <v>6</v>
      </c>
      <c r="AC575" t="n">
        <v>6</v>
      </c>
      <c r="AD575" t="n">
        <v>29</v>
      </c>
      <c r="AE575" t="n">
        <v>29</v>
      </c>
      <c r="AF575" t="n">
        <v>12</v>
      </c>
      <c r="AG575" t="n">
        <v>12</v>
      </c>
      <c r="AH575" t="n">
        <v>8</v>
      </c>
      <c r="AI575" t="n">
        <v>8</v>
      </c>
      <c r="AJ575" t="n">
        <v>12</v>
      </c>
      <c r="AK575" t="n">
        <v>12</v>
      </c>
      <c r="AL575" t="n">
        <v>4</v>
      </c>
      <c r="AM575" t="n">
        <v>4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HYPERLINK("https://creighton-primo.hosted.exlibrisgroup.com/primo-explore/search?tab=default_tab&amp;search_scope=EVERYTHING&amp;vid=01CRU&amp;lang=en_US&amp;offset=0&amp;query=any,contains,991005078659702656","Catalog Record")</f>
        <v/>
      </c>
      <c r="AT575">
        <f>HYPERLINK("http://www.worldcat.org/oclc/76864457","WorldCat Record")</f>
        <v/>
      </c>
      <c r="AU575" t="inlineStr">
        <is>
          <t>3754688767:eng</t>
        </is>
      </c>
      <c r="AV575" t="inlineStr">
        <is>
          <t>76864457</t>
        </is>
      </c>
      <c r="AW575" t="inlineStr">
        <is>
          <t>991005078659702656</t>
        </is>
      </c>
      <c r="AX575" t="inlineStr">
        <is>
          <t>991005078659702656</t>
        </is>
      </c>
      <c r="AY575" t="inlineStr">
        <is>
          <t>2258003470002656</t>
        </is>
      </c>
      <c r="AZ575" t="inlineStr">
        <is>
          <t>BOOK</t>
        </is>
      </c>
      <c r="BB575" t="inlineStr">
        <is>
          <t>9780393050905</t>
        </is>
      </c>
      <c r="BC575" t="inlineStr">
        <is>
          <t>32285005312433</t>
        </is>
      </c>
      <c r="BD575" t="inlineStr">
        <is>
          <t>893625414</t>
        </is>
      </c>
    </row>
    <row r="576">
      <c r="A576" t="inlineStr">
        <is>
          <t>No</t>
        </is>
      </c>
      <c r="B576" t="inlineStr">
        <is>
          <t>QH366.2 .S68</t>
        </is>
      </c>
      <c r="C576" t="inlineStr">
        <is>
          <t>0                      QH 0366200S  68</t>
        </is>
      </c>
      <c r="D576" t="inlineStr">
        <is>
          <t>Macroevolution, pattern and process / Steven M. Stanley ; [artists, John and Judy Waller].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Stanley, Steven M.</t>
        </is>
      </c>
      <c r="L576" t="inlineStr">
        <is>
          <t>San Francisco : W. H. Freeman, c1979.</t>
        </is>
      </c>
      <c r="M576" t="inlineStr">
        <is>
          <t>1979</t>
        </is>
      </c>
      <c r="O576" t="inlineStr">
        <is>
          <t>eng</t>
        </is>
      </c>
      <c r="P576" t="inlineStr">
        <is>
          <t>cau</t>
        </is>
      </c>
      <c r="R576" t="inlineStr">
        <is>
          <t xml:space="preserve">QH </t>
        </is>
      </c>
      <c r="S576" t="n">
        <v>3</v>
      </c>
      <c r="T576" t="n">
        <v>3</v>
      </c>
      <c r="U576" t="inlineStr">
        <is>
          <t>1997-02-24</t>
        </is>
      </c>
      <c r="V576" t="inlineStr">
        <is>
          <t>1997-02-24</t>
        </is>
      </c>
      <c r="W576" t="inlineStr">
        <is>
          <t>1993-03-29</t>
        </is>
      </c>
      <c r="X576" t="inlineStr">
        <is>
          <t>1993-03-29</t>
        </is>
      </c>
      <c r="Y576" t="n">
        <v>759</v>
      </c>
      <c r="Z576" t="n">
        <v>552</v>
      </c>
      <c r="AA576" t="n">
        <v>637</v>
      </c>
      <c r="AB576" t="n">
        <v>4</v>
      </c>
      <c r="AC576" t="n">
        <v>6</v>
      </c>
      <c r="AD576" t="n">
        <v>19</v>
      </c>
      <c r="AE576" t="n">
        <v>30</v>
      </c>
      <c r="AF576" t="n">
        <v>6</v>
      </c>
      <c r="AG576" t="n">
        <v>10</v>
      </c>
      <c r="AH576" t="n">
        <v>3</v>
      </c>
      <c r="AI576" t="n">
        <v>6</v>
      </c>
      <c r="AJ576" t="n">
        <v>12</v>
      </c>
      <c r="AK576" t="n">
        <v>16</v>
      </c>
      <c r="AL576" t="n">
        <v>3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HYPERLINK("https://creighton-primo.hosted.exlibrisgroup.com/primo-explore/search?tab=default_tab&amp;search_scope=EVERYTHING&amp;vid=01CRU&amp;lang=en_US&amp;offset=0&amp;query=any,contains,991004777169702656","Catalog Record")</f>
        <v/>
      </c>
      <c r="AT576">
        <f>HYPERLINK("http://www.worldcat.org/oclc/5101557","WorldCat Record")</f>
        <v/>
      </c>
      <c r="AU576" t="inlineStr">
        <is>
          <t>447164:eng</t>
        </is>
      </c>
      <c r="AV576" t="inlineStr">
        <is>
          <t>5101557</t>
        </is>
      </c>
      <c r="AW576" t="inlineStr">
        <is>
          <t>991004777169702656</t>
        </is>
      </c>
      <c r="AX576" t="inlineStr">
        <is>
          <t>991004777169702656</t>
        </is>
      </c>
      <c r="AY576" t="inlineStr">
        <is>
          <t>2259048990002656</t>
        </is>
      </c>
      <c r="AZ576" t="inlineStr">
        <is>
          <t>BOOK</t>
        </is>
      </c>
      <c r="BB576" t="inlineStr">
        <is>
          <t>9780716710929</t>
        </is>
      </c>
      <c r="BC576" t="inlineStr">
        <is>
          <t>32285001553899</t>
        </is>
      </c>
      <c r="BD576" t="inlineStr">
        <is>
          <t>893520041</t>
        </is>
      </c>
    </row>
    <row r="577">
      <c r="A577" t="inlineStr">
        <is>
          <t>No</t>
        </is>
      </c>
      <c r="B577" t="inlineStr">
        <is>
          <t>QH366.2 .S714 2001</t>
        </is>
      </c>
      <c r="C577" t="inlineStr">
        <is>
          <t>0                      QH 0366200S  714         2001</t>
        </is>
      </c>
      <c r="D577" t="inlineStr">
        <is>
          <t>Evolution : an introduction / Stephen C. Stearns and Rolf F. Hoekstra.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Stearns, S. C. (Stephen C.), 1946-</t>
        </is>
      </c>
      <c r="L577" t="inlineStr">
        <is>
          <t>Oxford : Oxford University Press, 2001.</t>
        </is>
      </c>
      <c r="M577" t="inlineStr">
        <is>
          <t>2001</t>
        </is>
      </c>
      <c r="N577" t="inlineStr">
        <is>
          <t>Repr., with corrections.</t>
        </is>
      </c>
      <c r="O577" t="inlineStr">
        <is>
          <t>eng</t>
        </is>
      </c>
      <c r="P577" t="inlineStr">
        <is>
          <t>enk</t>
        </is>
      </c>
      <c r="R577" t="inlineStr">
        <is>
          <t xml:space="preserve">QH </t>
        </is>
      </c>
      <c r="S577" t="n">
        <v>2</v>
      </c>
      <c r="T577" t="n">
        <v>2</v>
      </c>
      <c r="U577" t="inlineStr">
        <is>
          <t>2003-11-09</t>
        </is>
      </c>
      <c r="V577" t="inlineStr">
        <is>
          <t>2003-11-09</t>
        </is>
      </c>
      <c r="W577" t="inlineStr">
        <is>
          <t>2003-10-09</t>
        </is>
      </c>
      <c r="X577" t="inlineStr">
        <is>
          <t>2003-10-09</t>
        </is>
      </c>
      <c r="Y577" t="n">
        <v>9</v>
      </c>
      <c r="Z577" t="n">
        <v>4</v>
      </c>
      <c r="AA577" t="n">
        <v>243</v>
      </c>
      <c r="AB577" t="n">
        <v>1</v>
      </c>
      <c r="AC577" t="n">
        <v>4</v>
      </c>
      <c r="AD577" t="n">
        <v>0</v>
      </c>
      <c r="AE577" t="n">
        <v>10</v>
      </c>
      <c r="AF577" t="n">
        <v>0</v>
      </c>
      <c r="AG577" t="n">
        <v>2</v>
      </c>
      <c r="AH577" t="n">
        <v>0</v>
      </c>
      <c r="AI577" t="n">
        <v>3</v>
      </c>
      <c r="AJ577" t="n">
        <v>0</v>
      </c>
      <c r="AK577" t="n">
        <v>4</v>
      </c>
      <c r="AL577" t="n">
        <v>0</v>
      </c>
      <c r="AM577" t="n">
        <v>3</v>
      </c>
      <c r="AN577" t="n">
        <v>0</v>
      </c>
      <c r="AO577" t="n">
        <v>0</v>
      </c>
      <c r="AP577" t="inlineStr">
        <is>
          <t>No</t>
        </is>
      </c>
      <c r="AQ577" t="inlineStr">
        <is>
          <t>No</t>
        </is>
      </c>
      <c r="AS577">
        <f>HYPERLINK("https://creighton-primo.hosted.exlibrisgroup.com/primo-explore/search?tab=default_tab&amp;search_scope=EVERYTHING&amp;vid=01CRU&amp;lang=en_US&amp;offset=0&amp;query=any,contains,991004140809702656","Catalog Record")</f>
        <v/>
      </c>
      <c r="AT577">
        <f>HYPERLINK("http://www.worldcat.org/oclc/50857290","WorldCat Record")</f>
        <v/>
      </c>
      <c r="AU577" t="inlineStr">
        <is>
          <t>366955076:eng</t>
        </is>
      </c>
      <c r="AV577" t="inlineStr">
        <is>
          <t>50857290</t>
        </is>
      </c>
      <c r="AW577" t="inlineStr">
        <is>
          <t>991004140809702656</t>
        </is>
      </c>
      <c r="AX577" t="inlineStr">
        <is>
          <t>991004140809702656</t>
        </is>
      </c>
      <c r="AY577" t="inlineStr">
        <is>
          <t>2267847860002656</t>
        </is>
      </c>
      <c r="AZ577" t="inlineStr">
        <is>
          <t>BOOK</t>
        </is>
      </c>
      <c r="BB577" t="inlineStr">
        <is>
          <t>9780198549680</t>
        </is>
      </c>
      <c r="BC577" t="inlineStr">
        <is>
          <t>32285004787486</t>
        </is>
      </c>
      <c r="BD577" t="inlineStr">
        <is>
          <t>893888339</t>
        </is>
      </c>
    </row>
    <row r="578">
      <c r="A578" t="inlineStr">
        <is>
          <t>No</t>
        </is>
      </c>
      <c r="B578" t="inlineStr">
        <is>
          <t>QH366.2 .S718 1982</t>
        </is>
      </c>
      <c r="C578" t="inlineStr">
        <is>
          <t>0                      QH 0366200S  718         1982</t>
        </is>
      </c>
      <c r="D578" t="inlineStr">
        <is>
          <t>Darwin to DNA, molecules to humanity / G. Ledyard Stebbins.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Stebbins, G. Ledyard (George Ledyard), 1906-2000.</t>
        </is>
      </c>
      <c r="L578" t="inlineStr">
        <is>
          <t>San Francisco : W.H. Freeman, c1982.</t>
        </is>
      </c>
      <c r="M578" t="inlineStr">
        <is>
          <t>1982</t>
        </is>
      </c>
      <c r="O578" t="inlineStr">
        <is>
          <t>eng</t>
        </is>
      </c>
      <c r="P578" t="inlineStr">
        <is>
          <t>cau</t>
        </is>
      </c>
      <c r="R578" t="inlineStr">
        <is>
          <t xml:space="preserve">QH </t>
        </is>
      </c>
      <c r="S578" t="n">
        <v>12</v>
      </c>
      <c r="T578" t="n">
        <v>12</v>
      </c>
      <c r="U578" t="inlineStr">
        <is>
          <t>2002-06-07</t>
        </is>
      </c>
      <c r="V578" t="inlineStr">
        <is>
          <t>2002-06-07</t>
        </is>
      </c>
      <c r="W578" t="inlineStr">
        <is>
          <t>1993-03-29</t>
        </is>
      </c>
      <c r="X578" t="inlineStr">
        <is>
          <t>1993-03-29</t>
        </is>
      </c>
      <c r="Y578" t="n">
        <v>1039</v>
      </c>
      <c r="Z578" t="n">
        <v>868</v>
      </c>
      <c r="AA578" t="n">
        <v>874</v>
      </c>
      <c r="AB578" t="n">
        <v>5</v>
      </c>
      <c r="AC578" t="n">
        <v>5</v>
      </c>
      <c r="AD578" t="n">
        <v>29</v>
      </c>
      <c r="AE578" t="n">
        <v>29</v>
      </c>
      <c r="AF578" t="n">
        <v>11</v>
      </c>
      <c r="AG578" t="n">
        <v>11</v>
      </c>
      <c r="AH578" t="n">
        <v>5</v>
      </c>
      <c r="AI578" t="n">
        <v>5</v>
      </c>
      <c r="AJ578" t="n">
        <v>14</v>
      </c>
      <c r="AK578" t="n">
        <v>14</v>
      </c>
      <c r="AL578" t="n">
        <v>4</v>
      </c>
      <c r="AM578" t="n">
        <v>4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HYPERLINK("https://creighton-primo.hosted.exlibrisgroup.com/primo-explore/search?tab=default_tab&amp;search_scope=EVERYTHING&amp;vid=01CRU&amp;lang=en_US&amp;offset=0&amp;query=any,contains,991005168469702656","Catalog Record")</f>
        <v/>
      </c>
      <c r="AT578">
        <f>HYPERLINK("http://www.worldcat.org/oclc/7837457","WorldCat Record")</f>
        <v/>
      </c>
      <c r="AU578" t="inlineStr">
        <is>
          <t>29774974:eng</t>
        </is>
      </c>
      <c r="AV578" t="inlineStr">
        <is>
          <t>7837457</t>
        </is>
      </c>
      <c r="AW578" t="inlineStr">
        <is>
          <t>991005168469702656</t>
        </is>
      </c>
      <c r="AX578" t="inlineStr">
        <is>
          <t>991005168469702656</t>
        </is>
      </c>
      <c r="AY578" t="inlineStr">
        <is>
          <t>2256920250002656</t>
        </is>
      </c>
      <c r="AZ578" t="inlineStr">
        <is>
          <t>BOOK</t>
        </is>
      </c>
      <c r="BB578" t="inlineStr">
        <is>
          <t>9780716713319</t>
        </is>
      </c>
      <c r="BC578" t="inlineStr">
        <is>
          <t>32285001553907</t>
        </is>
      </c>
      <c r="BD578" t="inlineStr">
        <is>
          <t>893883436</t>
        </is>
      </c>
    </row>
    <row r="579">
      <c r="A579" t="inlineStr">
        <is>
          <t>No</t>
        </is>
      </c>
      <c r="B579" t="inlineStr">
        <is>
          <t>QH366.2 .S78 1990</t>
        </is>
      </c>
      <c r="C579" t="inlineStr">
        <is>
          <t>0                      QH 0366200S  78          1990</t>
        </is>
      </c>
      <c r="D579" t="inlineStr">
        <is>
          <t>Evolution / Monroe W. Strickberger.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Strickberger, Monroe W.</t>
        </is>
      </c>
      <c r="L579" t="inlineStr">
        <is>
          <t>Boston : Jones and Bartlett, c1990.</t>
        </is>
      </c>
      <c r="M579" t="inlineStr">
        <is>
          <t>1990</t>
        </is>
      </c>
      <c r="O579" t="inlineStr">
        <is>
          <t>eng</t>
        </is>
      </c>
      <c r="P579" t="inlineStr">
        <is>
          <t>mau</t>
        </is>
      </c>
      <c r="R579" t="inlineStr">
        <is>
          <t xml:space="preserve">QH </t>
        </is>
      </c>
      <c r="S579" t="n">
        <v>16</v>
      </c>
      <c r="T579" t="n">
        <v>16</v>
      </c>
      <c r="U579" t="inlineStr">
        <is>
          <t>2001-02-19</t>
        </is>
      </c>
      <c r="V579" t="inlineStr">
        <is>
          <t>2001-02-19</t>
        </is>
      </c>
      <c r="W579" t="inlineStr">
        <is>
          <t>1990-01-23</t>
        </is>
      </c>
      <c r="X579" t="inlineStr">
        <is>
          <t>1990-01-23</t>
        </is>
      </c>
      <c r="Y579" t="n">
        <v>295</v>
      </c>
      <c r="Z579" t="n">
        <v>221</v>
      </c>
      <c r="AA579" t="n">
        <v>1350</v>
      </c>
      <c r="AB579" t="n">
        <v>2</v>
      </c>
      <c r="AC579" t="n">
        <v>47</v>
      </c>
      <c r="AD579" t="n">
        <v>8</v>
      </c>
      <c r="AE579" t="n">
        <v>36</v>
      </c>
      <c r="AF579" t="n">
        <v>3</v>
      </c>
      <c r="AG579" t="n">
        <v>13</v>
      </c>
      <c r="AH579" t="n">
        <v>1</v>
      </c>
      <c r="AI579" t="n">
        <v>7</v>
      </c>
      <c r="AJ579" t="n">
        <v>4</v>
      </c>
      <c r="AK579" t="n">
        <v>13</v>
      </c>
      <c r="AL579" t="n">
        <v>1</v>
      </c>
      <c r="AM579" t="n">
        <v>11</v>
      </c>
      <c r="AN579" t="n">
        <v>0</v>
      </c>
      <c r="AO579" t="n">
        <v>0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HYPERLINK("http://catalog.hathitrust.org/Record/001954593","HathiTrust Record")</f>
        <v/>
      </c>
      <c r="AS579">
        <f>HYPERLINK("https://creighton-primo.hosted.exlibrisgroup.com/primo-explore/search?tab=default_tab&amp;search_scope=EVERYTHING&amp;vid=01CRU&amp;lang=en_US&amp;offset=0&amp;query=any,contains,991001551729702656","Catalog Record")</f>
        <v/>
      </c>
      <c r="AT579">
        <f>HYPERLINK("http://www.worldcat.org/oclc/20221094","WorldCat Record")</f>
        <v/>
      </c>
      <c r="AU579" t="inlineStr">
        <is>
          <t>22173540:eng</t>
        </is>
      </c>
      <c r="AV579" t="inlineStr">
        <is>
          <t>20221094</t>
        </is>
      </c>
      <c r="AW579" t="inlineStr">
        <is>
          <t>991001551729702656</t>
        </is>
      </c>
      <c r="AX579" t="inlineStr">
        <is>
          <t>991001551729702656</t>
        </is>
      </c>
      <c r="AY579" t="inlineStr">
        <is>
          <t>2258236550002656</t>
        </is>
      </c>
      <c r="AZ579" t="inlineStr">
        <is>
          <t>BOOK</t>
        </is>
      </c>
      <c r="BB579" t="inlineStr">
        <is>
          <t>9780867201178</t>
        </is>
      </c>
      <c r="BC579" t="inlineStr">
        <is>
          <t>32285000029313</t>
        </is>
      </c>
      <c r="BD579" t="inlineStr">
        <is>
          <t>893778865</t>
        </is>
      </c>
    </row>
    <row r="580">
      <c r="A580" t="inlineStr">
        <is>
          <t>No</t>
        </is>
      </c>
      <c r="B580" t="inlineStr">
        <is>
          <t>QH366.2 .W34 1973</t>
        </is>
      </c>
      <c r="C580" t="inlineStr">
        <is>
          <t>0                      QH 0366200W  34          1973</t>
        </is>
      </c>
      <c r="D580" t="inlineStr">
        <is>
          <t>Contributions to the theory of natural selection : a series of essays / London, New York, Macmillan, 1870.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Wallace, Alfred Russel, 1823-1913.</t>
        </is>
      </c>
      <c r="L580" t="inlineStr">
        <is>
          <t>[New York : AMS Press, 1973]</t>
        </is>
      </c>
      <c r="M580" t="inlineStr">
        <is>
          <t>1973</t>
        </is>
      </c>
      <c r="O580" t="inlineStr">
        <is>
          <t>eng</t>
        </is>
      </c>
      <c r="P580" t="inlineStr">
        <is>
          <t>nyu</t>
        </is>
      </c>
      <c r="R580" t="inlineStr">
        <is>
          <t xml:space="preserve">QH </t>
        </is>
      </c>
      <c r="S580" t="n">
        <v>8</v>
      </c>
      <c r="T580" t="n">
        <v>8</v>
      </c>
      <c r="U580" t="inlineStr">
        <is>
          <t>2009-11-18</t>
        </is>
      </c>
      <c r="V580" t="inlineStr">
        <is>
          <t>2009-11-18</t>
        </is>
      </c>
      <c r="W580" t="inlineStr">
        <is>
          <t>1994-08-12</t>
        </is>
      </c>
      <c r="X580" t="inlineStr">
        <is>
          <t>1994-08-12</t>
        </is>
      </c>
      <c r="Y580" t="n">
        <v>101</v>
      </c>
      <c r="Z580" t="n">
        <v>89</v>
      </c>
      <c r="AA580" t="n">
        <v>310</v>
      </c>
      <c r="AB580" t="n">
        <v>1</v>
      </c>
      <c r="AC580" t="n">
        <v>3</v>
      </c>
      <c r="AD580" t="n">
        <v>2</v>
      </c>
      <c r="AE580" t="n">
        <v>9</v>
      </c>
      <c r="AF580" t="n">
        <v>0</v>
      </c>
      <c r="AG580" t="n">
        <v>1</v>
      </c>
      <c r="AH580" t="n">
        <v>1</v>
      </c>
      <c r="AI580" t="n">
        <v>4</v>
      </c>
      <c r="AJ580" t="n">
        <v>1</v>
      </c>
      <c r="AK580" t="n">
        <v>4</v>
      </c>
      <c r="AL580" t="n">
        <v>0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HYPERLINK("http://catalog.hathitrust.org/Record/007980155","HathiTrust Record")</f>
        <v/>
      </c>
      <c r="AS580">
        <f>HYPERLINK("https://creighton-primo.hosted.exlibrisgroup.com/primo-explore/search?tab=default_tab&amp;search_scope=EVERYTHING&amp;vid=01CRU&amp;lang=en_US&amp;offset=0&amp;query=any,contains,991002936449702656","Catalog Record")</f>
        <v/>
      </c>
      <c r="AT580">
        <f>HYPERLINK("http://www.worldcat.org/oclc/533491","WorldCat Record")</f>
        <v/>
      </c>
      <c r="AU580" t="inlineStr">
        <is>
          <t>1552528:eng</t>
        </is>
      </c>
      <c r="AV580" t="inlineStr">
        <is>
          <t>533491</t>
        </is>
      </c>
      <c r="AW580" t="inlineStr">
        <is>
          <t>991002936449702656</t>
        </is>
      </c>
      <c r="AX580" t="inlineStr">
        <is>
          <t>991002936449702656</t>
        </is>
      </c>
      <c r="AY580" t="inlineStr">
        <is>
          <t>2264371120002656</t>
        </is>
      </c>
      <c r="AZ580" t="inlineStr">
        <is>
          <t>BOOK</t>
        </is>
      </c>
      <c r="BB580" t="inlineStr">
        <is>
          <t>9780404081812</t>
        </is>
      </c>
      <c r="BC580" t="inlineStr">
        <is>
          <t>32285001937951</t>
        </is>
      </c>
      <c r="BD580" t="inlineStr">
        <is>
          <t>893335917</t>
        </is>
      </c>
    </row>
    <row r="581">
      <c r="A581" t="inlineStr">
        <is>
          <t>No</t>
        </is>
      </c>
      <c r="B581" t="inlineStr">
        <is>
          <t>QH366.2 .W45 2000</t>
        </is>
      </c>
      <c r="C581" t="inlineStr">
        <is>
          <t>0                      QH 0366200W  45          2000</t>
        </is>
      </c>
      <c r="D581" t="inlineStr">
        <is>
          <t>Icons of evolution : science or myth? : why much of what we teach about evolution is wrong / Jonathan Wells ; illustrated by Jody F. Sjogren.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Wells, Jonathan, Ph. D.</t>
        </is>
      </c>
      <c r="L581" t="inlineStr">
        <is>
          <t>Washington, DC : Regnery Pub. ; Lanham, MD : Distributed to the trade by National Book Network, c2000.</t>
        </is>
      </c>
      <c r="M581" t="inlineStr">
        <is>
          <t>2000</t>
        </is>
      </c>
      <c r="O581" t="inlineStr">
        <is>
          <t>eng</t>
        </is>
      </c>
      <c r="P581" t="inlineStr">
        <is>
          <t>dcu</t>
        </is>
      </c>
      <c r="R581" t="inlineStr">
        <is>
          <t xml:space="preserve">QH </t>
        </is>
      </c>
      <c r="S581" t="n">
        <v>7</v>
      </c>
      <c r="T581" t="n">
        <v>7</v>
      </c>
      <c r="U581" t="inlineStr">
        <is>
          <t>2007-01-25</t>
        </is>
      </c>
      <c r="V581" t="inlineStr">
        <is>
          <t>2007-01-25</t>
        </is>
      </c>
      <c r="W581" t="inlineStr">
        <is>
          <t>2001-04-09</t>
        </is>
      </c>
      <c r="X581" t="inlineStr">
        <is>
          <t>2001-04-09</t>
        </is>
      </c>
      <c r="Y581" t="n">
        <v>653</v>
      </c>
      <c r="Z581" t="n">
        <v>581</v>
      </c>
      <c r="AA581" t="n">
        <v>708</v>
      </c>
      <c r="AB581" t="n">
        <v>7</v>
      </c>
      <c r="AC581" t="n">
        <v>10</v>
      </c>
      <c r="AD581" t="n">
        <v>16</v>
      </c>
      <c r="AE581" t="n">
        <v>19</v>
      </c>
      <c r="AF581" t="n">
        <v>5</v>
      </c>
      <c r="AG581" t="n">
        <v>5</v>
      </c>
      <c r="AH581" t="n">
        <v>4</v>
      </c>
      <c r="AI581" t="n">
        <v>4</v>
      </c>
      <c r="AJ581" t="n">
        <v>7</v>
      </c>
      <c r="AK581" t="n">
        <v>7</v>
      </c>
      <c r="AL581" t="n">
        <v>4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HYPERLINK("https://creighton-primo.hosted.exlibrisgroup.com/primo-explore/search?tab=default_tab&amp;search_scope=EVERYTHING&amp;vid=01CRU&amp;lang=en_US&amp;offset=0&amp;query=any,contains,991003492869702656","Catalog Record")</f>
        <v/>
      </c>
      <c r="AT581">
        <f>HYPERLINK("http://www.worldcat.org/oclc/44768911","WorldCat Record")</f>
        <v/>
      </c>
      <c r="AU581" t="inlineStr">
        <is>
          <t>364611117:eng</t>
        </is>
      </c>
      <c r="AV581" t="inlineStr">
        <is>
          <t>44768911</t>
        </is>
      </c>
      <c r="AW581" t="inlineStr">
        <is>
          <t>991003492869702656</t>
        </is>
      </c>
      <c r="AX581" t="inlineStr">
        <is>
          <t>991003492869702656</t>
        </is>
      </c>
      <c r="AY581" t="inlineStr">
        <is>
          <t>2258426770002656</t>
        </is>
      </c>
      <c r="AZ581" t="inlineStr">
        <is>
          <t>BOOK</t>
        </is>
      </c>
      <c r="BB581" t="inlineStr">
        <is>
          <t>9780895262769</t>
        </is>
      </c>
      <c r="BC581" t="inlineStr">
        <is>
          <t>32285004310834</t>
        </is>
      </c>
      <c r="BD581" t="inlineStr">
        <is>
          <t>893435044</t>
        </is>
      </c>
    </row>
    <row r="582">
      <c r="A582" t="inlineStr">
        <is>
          <t>No</t>
        </is>
      </c>
      <c r="B582" t="inlineStr">
        <is>
          <t>QH366.2 .W52 1985</t>
        </is>
      </c>
      <c r="C582" t="inlineStr">
        <is>
          <t>0                      QH 0366200W  52          1985</t>
        </is>
      </c>
      <c r="D582" t="inlineStr">
        <is>
          <t>What Darwin began : modern Darwinian and non-Darwinian perspectives on evolution / edited by Laurie Rohde Godfrey.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Boston : Allyn and Bacon, c1985.</t>
        </is>
      </c>
      <c r="M582" t="inlineStr">
        <is>
          <t>1985</t>
        </is>
      </c>
      <c r="O582" t="inlineStr">
        <is>
          <t>eng</t>
        </is>
      </c>
      <c r="P582" t="inlineStr">
        <is>
          <t>mau</t>
        </is>
      </c>
      <c r="R582" t="inlineStr">
        <is>
          <t xml:space="preserve">QH </t>
        </is>
      </c>
      <c r="S582" t="n">
        <v>13</v>
      </c>
      <c r="T582" t="n">
        <v>13</v>
      </c>
      <c r="U582" t="inlineStr">
        <is>
          <t>1996-02-23</t>
        </is>
      </c>
      <c r="V582" t="inlineStr">
        <is>
          <t>1996-02-23</t>
        </is>
      </c>
      <c r="W582" t="inlineStr">
        <is>
          <t>1993-03-29</t>
        </is>
      </c>
      <c r="X582" t="inlineStr">
        <is>
          <t>1993-03-29</t>
        </is>
      </c>
      <c r="Y582" t="n">
        <v>388</v>
      </c>
      <c r="Z582" t="n">
        <v>314</v>
      </c>
      <c r="AA582" t="n">
        <v>318</v>
      </c>
      <c r="AB582" t="n">
        <v>4</v>
      </c>
      <c r="AC582" t="n">
        <v>4</v>
      </c>
      <c r="AD582" t="n">
        <v>15</v>
      </c>
      <c r="AE582" t="n">
        <v>15</v>
      </c>
      <c r="AF582" t="n">
        <v>5</v>
      </c>
      <c r="AG582" t="n">
        <v>5</v>
      </c>
      <c r="AH582" t="n">
        <v>4</v>
      </c>
      <c r="AI582" t="n">
        <v>4</v>
      </c>
      <c r="AJ582" t="n">
        <v>7</v>
      </c>
      <c r="AK582" t="n">
        <v>7</v>
      </c>
      <c r="AL582" t="n">
        <v>3</v>
      </c>
      <c r="AM582" t="n">
        <v>3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HYPERLINK("http://catalog.hathitrust.org/Record/000591659","HathiTrust Record")</f>
        <v/>
      </c>
      <c r="AS582">
        <f>HYPERLINK("https://creighton-primo.hosted.exlibrisgroup.com/primo-explore/search?tab=default_tab&amp;search_scope=EVERYTHING&amp;vid=01CRU&amp;lang=en_US&amp;offset=0&amp;query=any,contains,991000498739702656","Catalog Record")</f>
        <v/>
      </c>
      <c r="AT582">
        <f>HYPERLINK("http://www.worldcat.org/oclc/11159344","WorldCat Record")</f>
        <v/>
      </c>
      <c r="AU582" t="inlineStr">
        <is>
          <t>3849255:eng</t>
        </is>
      </c>
      <c r="AV582" t="inlineStr">
        <is>
          <t>11159344</t>
        </is>
      </c>
      <c r="AW582" t="inlineStr">
        <is>
          <t>991000498739702656</t>
        </is>
      </c>
      <c r="AX582" t="inlineStr">
        <is>
          <t>991000498739702656</t>
        </is>
      </c>
      <c r="AY582" t="inlineStr">
        <is>
          <t>2258066590002656</t>
        </is>
      </c>
      <c r="AZ582" t="inlineStr">
        <is>
          <t>BOOK</t>
        </is>
      </c>
      <c r="BB582" t="inlineStr">
        <is>
          <t>9780205083794</t>
        </is>
      </c>
      <c r="BC582" t="inlineStr">
        <is>
          <t>32285001553923</t>
        </is>
      </c>
      <c r="BD582" t="inlineStr">
        <is>
          <t>893515315</t>
        </is>
      </c>
    </row>
    <row r="583">
      <c r="A583" t="inlineStr">
        <is>
          <t>No</t>
        </is>
      </c>
      <c r="B583" t="inlineStr">
        <is>
          <t>QH366.2 .W55</t>
        </is>
      </c>
      <c r="C583" t="inlineStr">
        <is>
          <t>0                      QH 0366200W  55</t>
        </is>
      </c>
      <c r="D583" t="inlineStr">
        <is>
          <t>Group selection / edited by George C. Williams.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Chicago : Aldine·Atherton, [1971]</t>
        </is>
      </c>
      <c r="M583" t="inlineStr">
        <is>
          <t>1971</t>
        </is>
      </c>
      <c r="O583" t="inlineStr">
        <is>
          <t>eng</t>
        </is>
      </c>
      <c r="P583" t="inlineStr">
        <is>
          <t>ilu</t>
        </is>
      </c>
      <c r="R583" t="inlineStr">
        <is>
          <t xml:space="preserve">QH </t>
        </is>
      </c>
      <c r="S583" t="n">
        <v>6</v>
      </c>
      <c r="T583" t="n">
        <v>6</v>
      </c>
      <c r="U583" t="inlineStr">
        <is>
          <t>1995-09-26</t>
        </is>
      </c>
      <c r="V583" t="inlineStr">
        <is>
          <t>1995-09-26</t>
        </is>
      </c>
      <c r="W583" t="inlineStr">
        <is>
          <t>1995-03-10</t>
        </is>
      </c>
      <c r="X583" t="inlineStr">
        <is>
          <t>1995-03-10</t>
        </is>
      </c>
      <c r="Y583" t="n">
        <v>318</v>
      </c>
      <c r="Z583" t="n">
        <v>248</v>
      </c>
      <c r="AA583" t="n">
        <v>282</v>
      </c>
      <c r="AB583" t="n">
        <v>4</v>
      </c>
      <c r="AC583" t="n">
        <v>4</v>
      </c>
      <c r="AD583" t="n">
        <v>10</v>
      </c>
      <c r="AE583" t="n">
        <v>10</v>
      </c>
      <c r="AF583" t="n">
        <v>0</v>
      </c>
      <c r="AG583" t="n">
        <v>0</v>
      </c>
      <c r="AH583" t="n">
        <v>2</v>
      </c>
      <c r="AI583" t="n">
        <v>2</v>
      </c>
      <c r="AJ583" t="n">
        <v>6</v>
      </c>
      <c r="AK583" t="n">
        <v>6</v>
      </c>
      <c r="AL583" t="n">
        <v>3</v>
      </c>
      <c r="AM583" t="n">
        <v>3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HYPERLINK("http://catalog.hathitrust.org/Record/001491768","HathiTrust Record")</f>
        <v/>
      </c>
      <c r="AS583">
        <f>HYPERLINK("https://creighton-primo.hosted.exlibrisgroup.com/primo-explore/search?tab=default_tab&amp;search_scope=EVERYTHING&amp;vid=01CRU&amp;lang=en_US&amp;offset=0&amp;query=any,contains,991001230419702656","Catalog Record")</f>
        <v/>
      </c>
      <c r="AT583">
        <f>HYPERLINK("http://www.worldcat.org/oclc/203080","WorldCat Record")</f>
        <v/>
      </c>
      <c r="AU583" t="inlineStr">
        <is>
          <t>649499192:eng</t>
        </is>
      </c>
      <c r="AV583" t="inlineStr">
        <is>
          <t>203080</t>
        </is>
      </c>
      <c r="AW583" t="inlineStr">
        <is>
          <t>991001230419702656</t>
        </is>
      </c>
      <c r="AX583" t="inlineStr">
        <is>
          <t>991001230419702656</t>
        </is>
      </c>
      <c r="AY583" t="inlineStr">
        <is>
          <t>2256040930002656</t>
        </is>
      </c>
      <c r="AZ583" t="inlineStr">
        <is>
          <t>BOOK</t>
        </is>
      </c>
      <c r="BB583" t="inlineStr">
        <is>
          <t>9780202040097</t>
        </is>
      </c>
      <c r="BC583" t="inlineStr">
        <is>
          <t>32285002011822</t>
        </is>
      </c>
      <c r="BD583" t="inlineStr">
        <is>
          <t>893803463</t>
        </is>
      </c>
    </row>
    <row r="584">
      <c r="A584" t="inlineStr">
        <is>
          <t>No</t>
        </is>
      </c>
      <c r="B584" t="inlineStr">
        <is>
          <t>QH366.2 .W64 1976</t>
        </is>
      </c>
      <c r="C584" t="inlineStr">
        <is>
          <t>0                      QH 0366200W  64          1976</t>
        </is>
      </c>
      <c r="D584" t="inlineStr">
        <is>
          <t>The mechanism of evolution : a new look at old ideas / Maria de Issekutz Wolsky and Alexander Wolsky.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Wolsky, Maria de Issekutz.</t>
        </is>
      </c>
      <c r="L584" t="inlineStr">
        <is>
          <t>Basel ; New York : S. Karger, 1976.</t>
        </is>
      </c>
      <c r="M584" t="inlineStr">
        <is>
          <t>1976</t>
        </is>
      </c>
      <c r="O584" t="inlineStr">
        <is>
          <t>eng</t>
        </is>
      </c>
      <c r="P584" t="inlineStr">
        <is>
          <t xml:space="preserve">sz </t>
        </is>
      </c>
      <c r="Q584" t="inlineStr">
        <is>
          <t>Contributions to human development ; v. 4</t>
        </is>
      </c>
      <c r="R584" t="inlineStr">
        <is>
          <t xml:space="preserve">QH </t>
        </is>
      </c>
      <c r="S584" t="n">
        <v>7</v>
      </c>
      <c r="T584" t="n">
        <v>7</v>
      </c>
      <c r="U584" t="inlineStr">
        <is>
          <t>1996-02-18</t>
        </is>
      </c>
      <c r="V584" t="inlineStr">
        <is>
          <t>1996-02-18</t>
        </is>
      </c>
      <c r="W584" t="inlineStr">
        <is>
          <t>1993-03-29</t>
        </is>
      </c>
      <c r="X584" t="inlineStr">
        <is>
          <t>1993-03-29</t>
        </is>
      </c>
      <c r="Y584" t="n">
        <v>253</v>
      </c>
      <c r="Z584" t="n">
        <v>184</v>
      </c>
      <c r="AA584" t="n">
        <v>196</v>
      </c>
      <c r="AB584" t="n">
        <v>3</v>
      </c>
      <c r="AC584" t="n">
        <v>3</v>
      </c>
      <c r="AD584" t="n">
        <v>8</v>
      </c>
      <c r="AE584" t="n">
        <v>8</v>
      </c>
      <c r="AF584" t="n">
        <v>2</v>
      </c>
      <c r="AG584" t="n">
        <v>2</v>
      </c>
      <c r="AH584" t="n">
        <v>2</v>
      </c>
      <c r="AI584" t="n">
        <v>2</v>
      </c>
      <c r="AJ584" t="n">
        <v>4</v>
      </c>
      <c r="AK584" t="n">
        <v>4</v>
      </c>
      <c r="AL584" t="n">
        <v>2</v>
      </c>
      <c r="AM584" t="n">
        <v>2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HYPERLINK("https://creighton-primo.hosted.exlibrisgroup.com/primo-explore/search?tab=default_tab&amp;search_scope=EVERYTHING&amp;vid=01CRU&amp;lang=en_US&amp;offset=0&amp;query=any,contains,991004188179702656","Catalog Record")</f>
        <v/>
      </c>
      <c r="AT584">
        <f>HYPERLINK("http://www.worldcat.org/oclc/2621357","WorldCat Record")</f>
        <v/>
      </c>
      <c r="AU584" t="inlineStr">
        <is>
          <t>5644650:eng</t>
        </is>
      </c>
      <c r="AV584" t="inlineStr">
        <is>
          <t>2621357</t>
        </is>
      </c>
      <c r="AW584" t="inlineStr">
        <is>
          <t>991004188179702656</t>
        </is>
      </c>
      <c r="AX584" t="inlineStr">
        <is>
          <t>991004188179702656</t>
        </is>
      </c>
      <c r="AY584" t="inlineStr">
        <is>
          <t>2267366930002656</t>
        </is>
      </c>
      <c r="AZ584" t="inlineStr">
        <is>
          <t>BOOK</t>
        </is>
      </c>
      <c r="BB584" t="inlineStr">
        <is>
          <t>9783805523479</t>
        </is>
      </c>
      <c r="BC584" t="inlineStr">
        <is>
          <t>32285001553931</t>
        </is>
      </c>
      <c r="BD584" t="inlineStr">
        <is>
          <t>893788387</t>
        </is>
      </c>
    </row>
    <row r="585">
      <c r="A585" t="inlineStr">
        <is>
          <t>No</t>
        </is>
      </c>
      <c r="B585" t="inlineStr">
        <is>
          <t>QH366.A1 I5 1970</t>
        </is>
      </c>
      <c r="C585" t="inlineStr">
        <is>
          <t>0                      QH 0366000A  1                  I  5           1970</t>
        </is>
      </c>
      <c r="D585" t="inlineStr">
        <is>
          <t>Biochemical evolution and the origin of life; proceedings of the International Conference on Biochemical Evolution. Edited by E. Schoffeniels.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International Conference on Biochemical Evolution (1970 : Liège, Belgium)</t>
        </is>
      </c>
      <c r="L585" t="inlineStr">
        <is>
          <t>Amsterdam, North Holland Pub. Co., 1971.</t>
        </is>
      </c>
      <c r="M585" t="inlineStr">
        <is>
          <t>1971</t>
        </is>
      </c>
      <c r="O585" t="inlineStr">
        <is>
          <t>eng</t>
        </is>
      </c>
      <c r="P585" t="inlineStr">
        <is>
          <t xml:space="preserve">ne </t>
        </is>
      </c>
      <c r="Q585" t="inlineStr">
        <is>
          <t>Molecular evolution ; 2</t>
        </is>
      </c>
      <c r="R585" t="inlineStr">
        <is>
          <t xml:space="preserve">QH </t>
        </is>
      </c>
      <c r="S585" t="n">
        <v>2</v>
      </c>
      <c r="T585" t="n">
        <v>2</v>
      </c>
      <c r="U585" t="inlineStr">
        <is>
          <t>1998-10-03</t>
        </is>
      </c>
      <c r="V585" t="inlineStr">
        <is>
          <t>1998-10-03</t>
        </is>
      </c>
      <c r="W585" t="inlineStr">
        <is>
          <t>1997-07-01</t>
        </is>
      </c>
      <c r="X585" t="inlineStr">
        <is>
          <t>1997-07-01</t>
        </is>
      </c>
      <c r="Y585" t="n">
        <v>373</v>
      </c>
      <c r="Z585" t="n">
        <v>267</v>
      </c>
      <c r="AA585" t="n">
        <v>273</v>
      </c>
      <c r="AB585" t="n">
        <v>4</v>
      </c>
      <c r="AC585" t="n">
        <v>4</v>
      </c>
      <c r="AD585" t="n">
        <v>8</v>
      </c>
      <c r="AE585" t="n">
        <v>8</v>
      </c>
      <c r="AF585" t="n">
        <v>1</v>
      </c>
      <c r="AG585" t="n">
        <v>1</v>
      </c>
      <c r="AH585" t="n">
        <v>4</v>
      </c>
      <c r="AI585" t="n">
        <v>4</v>
      </c>
      <c r="AJ585" t="n">
        <v>2</v>
      </c>
      <c r="AK585" t="n">
        <v>2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HYPERLINK("http://catalog.hathitrust.org/Record/001491629","HathiTrust Record")</f>
        <v/>
      </c>
      <c r="AS585">
        <f>HYPERLINK("https://creighton-primo.hosted.exlibrisgroup.com/primo-explore/search?tab=default_tab&amp;search_scope=EVERYTHING&amp;vid=01CRU&amp;lang=en_US&amp;offset=0&amp;query=any,contains,991000922739702656","Catalog Record")</f>
        <v/>
      </c>
      <c r="AT585">
        <f>HYPERLINK("http://www.worldcat.org/oclc/162274","WorldCat Record")</f>
        <v/>
      </c>
      <c r="AU585" t="inlineStr">
        <is>
          <t>314847157:eng</t>
        </is>
      </c>
      <c r="AV585" t="inlineStr">
        <is>
          <t>162274</t>
        </is>
      </c>
      <c r="AW585" t="inlineStr">
        <is>
          <t>991000922739702656</t>
        </is>
      </c>
      <c r="AX585" t="inlineStr">
        <is>
          <t>991000922739702656</t>
        </is>
      </c>
      <c r="AY585" t="inlineStr">
        <is>
          <t>2268993340002656</t>
        </is>
      </c>
      <c r="AZ585" t="inlineStr">
        <is>
          <t>BOOK</t>
        </is>
      </c>
      <c r="BB585" t="inlineStr">
        <is>
          <t>9780720440843</t>
        </is>
      </c>
      <c r="BC585" t="inlineStr">
        <is>
          <t>32285002869518</t>
        </is>
      </c>
      <c r="BD585" t="inlineStr">
        <is>
          <t>893496683</t>
        </is>
      </c>
    </row>
    <row r="586">
      <c r="A586" t="inlineStr">
        <is>
          <t>No</t>
        </is>
      </c>
      <c r="B586" t="inlineStr">
        <is>
          <t>QH367 .B68</t>
        </is>
      </c>
      <c r="C586" t="inlineStr">
        <is>
          <t>0                      QH 0367000B  68</t>
        </is>
      </c>
      <c r="D586" t="inlineStr">
        <is>
          <t>A Book that shook the world : anniversary essays on Charles Darwin's Origin of species / [by] Julian S. Huxley [and others.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Pittsburgh] : University of Pittsburgh Press, [1958]</t>
        </is>
      </c>
      <c r="M586" t="inlineStr">
        <is>
          <t>1958</t>
        </is>
      </c>
      <c r="O586" t="inlineStr">
        <is>
          <t>eng</t>
        </is>
      </c>
      <c r="P586" t="inlineStr">
        <is>
          <t>pau</t>
        </is>
      </c>
      <c r="R586" t="inlineStr">
        <is>
          <t xml:space="preserve">QH </t>
        </is>
      </c>
      <c r="S586" t="n">
        <v>9</v>
      </c>
      <c r="T586" t="n">
        <v>9</v>
      </c>
      <c r="U586" t="inlineStr">
        <is>
          <t>2002-12-08</t>
        </is>
      </c>
      <c r="V586" t="inlineStr">
        <is>
          <t>2002-12-08</t>
        </is>
      </c>
      <c r="W586" t="inlineStr">
        <is>
          <t>1994-10-12</t>
        </is>
      </c>
      <c r="X586" t="inlineStr">
        <is>
          <t>1994-10-12</t>
        </is>
      </c>
      <c r="Y586" t="n">
        <v>386</v>
      </c>
      <c r="Z586" t="n">
        <v>358</v>
      </c>
      <c r="AA586" t="n">
        <v>399</v>
      </c>
      <c r="AB586" t="n">
        <v>3</v>
      </c>
      <c r="AC586" t="n">
        <v>3</v>
      </c>
      <c r="AD586" t="n">
        <v>12</v>
      </c>
      <c r="AE586" t="n">
        <v>12</v>
      </c>
      <c r="AF586" t="n">
        <v>5</v>
      </c>
      <c r="AG586" t="n">
        <v>5</v>
      </c>
      <c r="AH586" t="n">
        <v>4</v>
      </c>
      <c r="AI586" t="n">
        <v>4</v>
      </c>
      <c r="AJ586" t="n">
        <v>4</v>
      </c>
      <c r="AK586" t="n">
        <v>4</v>
      </c>
      <c r="AL586" t="n">
        <v>2</v>
      </c>
      <c r="AM586" t="n">
        <v>2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HYPERLINK("http://catalog.hathitrust.org/Record/001491773","HathiTrust Record")</f>
        <v/>
      </c>
      <c r="AS586">
        <f>HYPERLINK("https://creighton-primo.hosted.exlibrisgroup.com/primo-explore/search?tab=default_tab&amp;search_scope=EVERYTHING&amp;vid=01CRU&amp;lang=en_US&amp;offset=0&amp;query=any,contains,991002976029702656","Catalog Record")</f>
        <v/>
      </c>
      <c r="AT586">
        <f>HYPERLINK("http://www.worldcat.org/oclc/551784","WorldCat Record")</f>
        <v/>
      </c>
      <c r="AU586" t="inlineStr">
        <is>
          <t>53983657:eng</t>
        </is>
      </c>
      <c r="AV586" t="inlineStr">
        <is>
          <t>551784</t>
        </is>
      </c>
      <c r="AW586" t="inlineStr">
        <is>
          <t>991002976029702656</t>
        </is>
      </c>
      <c r="AX586" t="inlineStr">
        <is>
          <t>991002976029702656</t>
        </is>
      </c>
      <c r="AY586" t="inlineStr">
        <is>
          <t>2257738000002656</t>
        </is>
      </c>
      <c r="AZ586" t="inlineStr">
        <is>
          <t>BOOK</t>
        </is>
      </c>
      <c r="BC586" t="inlineStr">
        <is>
          <t>32285001961324</t>
        </is>
      </c>
      <c r="BD586" t="inlineStr">
        <is>
          <t>893348183</t>
        </is>
      </c>
    </row>
    <row r="587">
      <c r="A587" t="inlineStr">
        <is>
          <t>No</t>
        </is>
      </c>
      <c r="B587" t="inlineStr">
        <is>
          <t>QH367 .C64 1904</t>
        </is>
      </c>
      <c r="C587" t="inlineStr">
        <is>
          <t>0                      QH 0367000C  64          1904</t>
        </is>
      </c>
      <c r="D587" t="inlineStr">
        <is>
          <t>The story of creation: a plain account of evolution / Edward Clodd.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Clodd, Edward, 1840-1930.</t>
        </is>
      </c>
      <c r="L587" t="inlineStr">
        <is>
          <t>London, New York, Longmans, Green, 1904.</t>
        </is>
      </c>
      <c r="M587" t="inlineStr">
        <is>
          <t>1904</t>
        </is>
      </c>
      <c r="N587" t="inlineStr">
        <is>
          <t>New ed.</t>
        </is>
      </c>
      <c r="O587" t="inlineStr">
        <is>
          <t>eng</t>
        </is>
      </c>
      <c r="P587" t="inlineStr">
        <is>
          <t>enk</t>
        </is>
      </c>
      <c r="R587" t="inlineStr">
        <is>
          <t xml:space="preserve">QH </t>
        </is>
      </c>
      <c r="S587" t="n">
        <v>6</v>
      </c>
      <c r="T587" t="n">
        <v>6</v>
      </c>
      <c r="U587" t="inlineStr">
        <is>
          <t>2001-11-08</t>
        </is>
      </c>
      <c r="V587" t="inlineStr">
        <is>
          <t>2001-11-08</t>
        </is>
      </c>
      <c r="W587" t="inlineStr">
        <is>
          <t>1993-04-05</t>
        </is>
      </c>
      <c r="X587" t="inlineStr">
        <is>
          <t>1993-04-05</t>
        </is>
      </c>
      <c r="Y587" t="n">
        <v>25</v>
      </c>
      <c r="Z587" t="n">
        <v>18</v>
      </c>
      <c r="AA587" t="n">
        <v>132</v>
      </c>
      <c r="AB587" t="n">
        <v>1</v>
      </c>
      <c r="AC587" t="n">
        <v>5</v>
      </c>
      <c r="AD587" t="n">
        <v>0</v>
      </c>
      <c r="AE587" t="n">
        <v>8</v>
      </c>
      <c r="AF587" t="n">
        <v>0</v>
      </c>
      <c r="AG587" t="n">
        <v>0</v>
      </c>
      <c r="AH587" t="n">
        <v>0</v>
      </c>
      <c r="AI587" t="n">
        <v>1</v>
      </c>
      <c r="AJ587" t="n">
        <v>0</v>
      </c>
      <c r="AK587" t="n">
        <v>4</v>
      </c>
      <c r="AL587" t="n">
        <v>0</v>
      </c>
      <c r="AM587" t="n">
        <v>4</v>
      </c>
      <c r="AN587" t="n">
        <v>0</v>
      </c>
      <c r="AO587" t="n">
        <v>0</v>
      </c>
      <c r="AP587" t="inlineStr">
        <is>
          <t>Yes</t>
        </is>
      </c>
      <c r="AQ587" t="inlineStr">
        <is>
          <t>No</t>
        </is>
      </c>
      <c r="AR587">
        <f>HYPERLINK("http://catalog.hathitrust.org/Record/100605563","HathiTrust Record")</f>
        <v/>
      </c>
      <c r="AS587">
        <f>HYPERLINK("https://creighton-primo.hosted.exlibrisgroup.com/primo-explore/search?tab=default_tab&amp;search_scope=EVERYTHING&amp;vid=01CRU&amp;lang=en_US&amp;offset=0&amp;query=any,contains,991003174039702656","Catalog Record")</f>
        <v/>
      </c>
      <c r="AT587">
        <f>HYPERLINK("http://www.worldcat.org/oclc/709455","WorldCat Record")</f>
        <v/>
      </c>
      <c r="AU587" t="inlineStr">
        <is>
          <t>1649377:eng</t>
        </is>
      </c>
      <c r="AV587" t="inlineStr">
        <is>
          <t>709455</t>
        </is>
      </c>
      <c r="AW587" t="inlineStr">
        <is>
          <t>991003174039702656</t>
        </is>
      </c>
      <c r="AX587" t="inlineStr">
        <is>
          <t>991003174039702656</t>
        </is>
      </c>
      <c r="AY587" t="inlineStr">
        <is>
          <t>2269999960002656</t>
        </is>
      </c>
      <c r="AZ587" t="inlineStr">
        <is>
          <t>BOOK</t>
        </is>
      </c>
      <c r="BC587" t="inlineStr">
        <is>
          <t>32285001553949</t>
        </is>
      </c>
      <c r="BD587" t="inlineStr">
        <is>
          <t>893258127</t>
        </is>
      </c>
    </row>
    <row r="588">
      <c r="A588" t="inlineStr">
        <is>
          <t>No</t>
        </is>
      </c>
      <c r="B588" t="inlineStr">
        <is>
          <t>QH367 .E87 2001</t>
        </is>
      </c>
      <c r="C588" t="inlineStr">
        <is>
          <t>0                      QH 0367000E  87          2001</t>
        </is>
      </c>
      <c r="D588" t="inlineStr">
        <is>
          <t>An evolving dialogue : theological and scientific perspectives on evolution / James B. Miller, editor.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Harrisburg, Pa. : Trinity Press International, c2001.</t>
        </is>
      </c>
      <c r="M588" t="inlineStr">
        <is>
          <t>2001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QH </t>
        </is>
      </c>
      <c r="S588" t="n">
        <v>2</v>
      </c>
      <c r="T588" t="n">
        <v>2</v>
      </c>
      <c r="U588" t="inlineStr">
        <is>
          <t>2006-02-20</t>
        </is>
      </c>
      <c r="V588" t="inlineStr">
        <is>
          <t>2006-02-20</t>
        </is>
      </c>
      <c r="W588" t="inlineStr">
        <is>
          <t>2002-12-02</t>
        </is>
      </c>
      <c r="X588" t="inlineStr">
        <is>
          <t>2002-12-02</t>
        </is>
      </c>
      <c r="Y588" t="n">
        <v>459</v>
      </c>
      <c r="Z588" t="n">
        <v>410</v>
      </c>
      <c r="AA588" t="n">
        <v>433</v>
      </c>
      <c r="AB588" t="n">
        <v>1</v>
      </c>
      <c r="AC588" t="n">
        <v>1</v>
      </c>
      <c r="AD588" t="n">
        <v>23</v>
      </c>
      <c r="AE588" t="n">
        <v>23</v>
      </c>
      <c r="AF588" t="n">
        <v>12</v>
      </c>
      <c r="AG588" t="n">
        <v>12</v>
      </c>
      <c r="AH588" t="n">
        <v>3</v>
      </c>
      <c r="AI588" t="n">
        <v>3</v>
      </c>
      <c r="AJ588" t="n">
        <v>15</v>
      </c>
      <c r="AK588" t="n">
        <v>15</v>
      </c>
      <c r="AL588" t="n">
        <v>0</v>
      </c>
      <c r="AM588" t="n">
        <v>0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HYPERLINK("http://catalog.hathitrust.org/Record/004198265","HathiTrust Record")</f>
        <v/>
      </c>
      <c r="AS588">
        <f>HYPERLINK("https://creighton-primo.hosted.exlibrisgroup.com/primo-explore/search?tab=default_tab&amp;search_scope=EVERYTHING&amp;vid=01CRU&amp;lang=en_US&amp;offset=0&amp;query=any,contains,991003940919702656","Catalog Record")</f>
        <v/>
      </c>
      <c r="AT588">
        <f>HYPERLINK("http://www.worldcat.org/oclc/45668855","WorldCat Record")</f>
        <v/>
      </c>
      <c r="AU588" t="inlineStr">
        <is>
          <t>35445268:eng</t>
        </is>
      </c>
      <c r="AV588" t="inlineStr">
        <is>
          <t>45668855</t>
        </is>
      </c>
      <c r="AW588" t="inlineStr">
        <is>
          <t>991003940919702656</t>
        </is>
      </c>
      <c r="AX588" t="inlineStr">
        <is>
          <t>991003940919702656</t>
        </is>
      </c>
      <c r="AY588" t="inlineStr">
        <is>
          <t>2271630560002656</t>
        </is>
      </c>
      <c r="AZ588" t="inlineStr">
        <is>
          <t>BOOK</t>
        </is>
      </c>
      <c r="BB588" t="inlineStr">
        <is>
          <t>9781563383496</t>
        </is>
      </c>
      <c r="BC588" t="inlineStr">
        <is>
          <t>32285004666326</t>
        </is>
      </c>
      <c r="BD588" t="inlineStr">
        <is>
          <t>893519067</t>
        </is>
      </c>
    </row>
    <row r="589">
      <c r="A589" t="inlineStr">
        <is>
          <t>No</t>
        </is>
      </c>
      <c r="B589" t="inlineStr">
        <is>
          <t>QH367 .H89 1958</t>
        </is>
      </c>
      <c r="C589" t="inlineStr">
        <is>
          <t>0                      QH 0367000H  89          1958</t>
        </is>
      </c>
      <c r="D589" t="inlineStr">
        <is>
          <t>Evolution as a process / ed. by Julian Huxley, A.C. Hardy, E.B. Ford.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Huxley, Julian, 1887-1975.</t>
        </is>
      </c>
      <c r="L589" t="inlineStr">
        <is>
          <t>London : G. Allen &amp; Unwin, [c1958]</t>
        </is>
      </c>
      <c r="M589" t="inlineStr">
        <is>
          <t>1958</t>
        </is>
      </c>
      <c r="N589" t="inlineStr">
        <is>
          <t>[2d ed.]</t>
        </is>
      </c>
      <c r="O589" t="inlineStr">
        <is>
          <t>eng</t>
        </is>
      </c>
      <c r="P589" t="inlineStr">
        <is>
          <t>enk</t>
        </is>
      </c>
      <c r="R589" t="inlineStr">
        <is>
          <t xml:space="preserve">QH </t>
        </is>
      </c>
      <c r="S589" t="n">
        <v>5</v>
      </c>
      <c r="T589" t="n">
        <v>5</v>
      </c>
      <c r="U589" t="inlineStr">
        <is>
          <t>2009-12-07</t>
        </is>
      </c>
      <c r="V589" t="inlineStr">
        <is>
          <t>2009-12-07</t>
        </is>
      </c>
      <c r="W589" t="inlineStr">
        <is>
          <t>1995-03-10</t>
        </is>
      </c>
      <c r="X589" t="inlineStr">
        <is>
          <t>1995-03-10</t>
        </is>
      </c>
      <c r="Y589" t="n">
        <v>249</v>
      </c>
      <c r="Z589" t="n">
        <v>192</v>
      </c>
      <c r="AA589" t="n">
        <v>607</v>
      </c>
      <c r="AB589" t="n">
        <v>3</v>
      </c>
      <c r="AC589" t="n">
        <v>3</v>
      </c>
      <c r="AD589" t="n">
        <v>5</v>
      </c>
      <c r="AE589" t="n">
        <v>21</v>
      </c>
      <c r="AF589" t="n">
        <v>2</v>
      </c>
      <c r="AG589" t="n">
        <v>5</v>
      </c>
      <c r="AH589" t="n">
        <v>0</v>
      </c>
      <c r="AI589" t="n">
        <v>5</v>
      </c>
      <c r="AJ589" t="n">
        <v>1</v>
      </c>
      <c r="AK589" t="n">
        <v>12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HYPERLINK("http://catalog.hathitrust.org/Record/009074306","HathiTrust Record")</f>
        <v/>
      </c>
      <c r="AS589">
        <f>HYPERLINK("https://creighton-primo.hosted.exlibrisgroup.com/primo-explore/search?tab=default_tab&amp;search_scope=EVERYTHING&amp;vid=01CRU&amp;lang=en_US&amp;offset=0&amp;query=any,contains,991003754889702656","Catalog Record")</f>
        <v/>
      </c>
      <c r="AT589">
        <f>HYPERLINK("http://www.worldcat.org/oclc/1434718","WorldCat Record")</f>
        <v/>
      </c>
      <c r="AU589" t="inlineStr">
        <is>
          <t>1598691:eng</t>
        </is>
      </c>
      <c r="AV589" t="inlineStr">
        <is>
          <t>1434718</t>
        </is>
      </c>
      <c r="AW589" t="inlineStr">
        <is>
          <t>991003754889702656</t>
        </is>
      </c>
      <c r="AX589" t="inlineStr">
        <is>
          <t>991003754889702656</t>
        </is>
      </c>
      <c r="AY589" t="inlineStr">
        <is>
          <t>2267517740002656</t>
        </is>
      </c>
      <c r="AZ589" t="inlineStr">
        <is>
          <t>BOOK</t>
        </is>
      </c>
      <c r="BC589" t="inlineStr">
        <is>
          <t>32285002011814</t>
        </is>
      </c>
      <c r="BD589" t="inlineStr">
        <is>
          <t>893605163</t>
        </is>
      </c>
    </row>
    <row r="590">
      <c r="A590" t="inlineStr">
        <is>
          <t>No</t>
        </is>
      </c>
      <c r="B590" t="inlineStr">
        <is>
          <t>QH367 .H986</t>
        </is>
      </c>
      <c r="C590" t="inlineStr">
        <is>
          <t>0                      QH 0367000H  986</t>
        </is>
      </c>
      <c r="D590" t="inlineStr">
        <is>
          <t>On the origin of species ; or, The causes of the phenomena of organic nature : a course of six lectures to working men / by Thomas H. Huxley.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Huxley, Thomas Henry, 1825-1895.</t>
        </is>
      </c>
      <c r="L590" t="inlineStr">
        <is>
          <t>New York : D. Appleton, 1863.</t>
        </is>
      </c>
      <c r="M590" t="inlineStr">
        <is>
          <t>1863</t>
        </is>
      </c>
      <c r="O590" t="inlineStr">
        <is>
          <t>eng</t>
        </is>
      </c>
      <c r="P590" t="inlineStr">
        <is>
          <t>nyu</t>
        </is>
      </c>
      <c r="R590" t="inlineStr">
        <is>
          <t xml:space="preserve">QH </t>
        </is>
      </c>
      <c r="S590" t="n">
        <v>7</v>
      </c>
      <c r="T590" t="n">
        <v>7</v>
      </c>
      <c r="U590" t="inlineStr">
        <is>
          <t>2009-12-07</t>
        </is>
      </c>
      <c r="V590" t="inlineStr">
        <is>
          <t>2009-12-07</t>
        </is>
      </c>
      <c r="W590" t="inlineStr">
        <is>
          <t>1993-10-07</t>
        </is>
      </c>
      <c r="X590" t="inlineStr">
        <is>
          <t>1993-10-07</t>
        </is>
      </c>
      <c r="Y590" t="n">
        <v>150</v>
      </c>
      <c r="Z590" t="n">
        <v>140</v>
      </c>
      <c r="AA590" t="n">
        <v>690</v>
      </c>
      <c r="AB590" t="n">
        <v>1</v>
      </c>
      <c r="AC590" t="n">
        <v>5</v>
      </c>
      <c r="AD590" t="n">
        <v>5</v>
      </c>
      <c r="AE590" t="n">
        <v>31</v>
      </c>
      <c r="AF590" t="n">
        <v>1</v>
      </c>
      <c r="AG590" t="n">
        <v>10</v>
      </c>
      <c r="AH590" t="n">
        <v>1</v>
      </c>
      <c r="AI590" t="n">
        <v>5</v>
      </c>
      <c r="AJ590" t="n">
        <v>5</v>
      </c>
      <c r="AK590" t="n">
        <v>16</v>
      </c>
      <c r="AL590" t="n">
        <v>0</v>
      </c>
      <c r="AM590" t="n">
        <v>4</v>
      </c>
      <c r="AN590" t="n">
        <v>0</v>
      </c>
      <c r="AO590" t="n">
        <v>1</v>
      </c>
      <c r="AP590" t="inlineStr">
        <is>
          <t>Yes</t>
        </is>
      </c>
      <c r="AQ590" t="inlineStr">
        <is>
          <t>No</t>
        </is>
      </c>
      <c r="AR590">
        <f>HYPERLINK("http://catalog.hathitrust.org/Record/001491794","HathiTrust Record")</f>
        <v/>
      </c>
      <c r="AS590">
        <f>HYPERLINK("https://creighton-primo.hosted.exlibrisgroup.com/primo-explore/search?tab=default_tab&amp;search_scope=EVERYTHING&amp;vid=01CRU&amp;lang=en_US&amp;offset=0&amp;query=any,contains,991003974139702656","Catalog Record")</f>
        <v/>
      </c>
      <c r="AT590">
        <f>HYPERLINK("http://www.worldcat.org/oclc/1997529","WorldCat Record")</f>
        <v/>
      </c>
      <c r="AU590" t="inlineStr">
        <is>
          <t>1543353:eng</t>
        </is>
      </c>
      <c r="AV590" t="inlineStr">
        <is>
          <t>1997529</t>
        </is>
      </c>
      <c r="AW590" t="inlineStr">
        <is>
          <t>991003974139702656</t>
        </is>
      </c>
      <c r="AX590" t="inlineStr">
        <is>
          <t>991003974139702656</t>
        </is>
      </c>
      <c r="AY590" t="inlineStr">
        <is>
          <t>2261216230002656</t>
        </is>
      </c>
      <c r="AZ590" t="inlineStr">
        <is>
          <t>BOOK</t>
        </is>
      </c>
      <c r="BC590" t="inlineStr">
        <is>
          <t>32285001774966</t>
        </is>
      </c>
      <c r="BD590" t="inlineStr">
        <is>
          <t>893259154</t>
        </is>
      </c>
    </row>
    <row r="591">
      <c r="A591" t="inlineStr">
        <is>
          <t>No</t>
        </is>
      </c>
      <c r="B591" t="inlineStr">
        <is>
          <t>QH367 .L4 1960</t>
        </is>
      </c>
      <c r="C591" t="inlineStr">
        <is>
          <t>0                      QH 0367000L  4           1960</t>
        </is>
      </c>
      <c r="D591" t="inlineStr">
        <is>
          <t>Adam's ancestors : the evolution of man and his culture / L.S.B. Leakey.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Leakey, L. S. B. (Louis Seymour Bazett), 1903-1972.</t>
        </is>
      </c>
      <c r="L591" t="inlineStr">
        <is>
          <t>New York : Harper &amp; Row, 1960.</t>
        </is>
      </c>
      <c r="M591" t="inlineStr">
        <is>
          <t>1960</t>
        </is>
      </c>
      <c r="N591" t="inlineStr">
        <is>
          <t>4th ed.</t>
        </is>
      </c>
      <c r="O591" t="inlineStr">
        <is>
          <t>eng</t>
        </is>
      </c>
      <c r="P591" t="inlineStr">
        <is>
          <t>nyu</t>
        </is>
      </c>
      <c r="Q591" t="inlineStr">
        <is>
          <t>Harper torchbook ; TB 1019</t>
        </is>
      </c>
      <c r="R591" t="inlineStr">
        <is>
          <t xml:space="preserve">QH </t>
        </is>
      </c>
      <c r="S591" t="n">
        <v>5</v>
      </c>
      <c r="T591" t="n">
        <v>5</v>
      </c>
      <c r="U591" t="inlineStr">
        <is>
          <t>1996-02-03</t>
        </is>
      </c>
      <c r="V591" t="inlineStr">
        <is>
          <t>1996-02-03</t>
        </is>
      </c>
      <c r="W591" t="inlineStr">
        <is>
          <t>1994-03-01</t>
        </is>
      </c>
      <c r="X591" t="inlineStr">
        <is>
          <t>1994-03-01</t>
        </is>
      </c>
      <c r="Y591" t="n">
        <v>834</v>
      </c>
      <c r="Z591" t="n">
        <v>766</v>
      </c>
      <c r="AA591" t="n">
        <v>794</v>
      </c>
      <c r="AB591" t="n">
        <v>5</v>
      </c>
      <c r="AC591" t="n">
        <v>5</v>
      </c>
      <c r="AD591" t="n">
        <v>28</v>
      </c>
      <c r="AE591" t="n">
        <v>28</v>
      </c>
      <c r="AF591" t="n">
        <v>12</v>
      </c>
      <c r="AG591" t="n">
        <v>12</v>
      </c>
      <c r="AH591" t="n">
        <v>6</v>
      </c>
      <c r="AI591" t="n">
        <v>6</v>
      </c>
      <c r="AJ591" t="n">
        <v>15</v>
      </c>
      <c r="AK591" t="n">
        <v>15</v>
      </c>
      <c r="AL591" t="n">
        <v>3</v>
      </c>
      <c r="AM591" t="n">
        <v>3</v>
      </c>
      <c r="AN591" t="n">
        <v>0</v>
      </c>
      <c r="AO591" t="n">
        <v>0</v>
      </c>
      <c r="AP591" t="inlineStr">
        <is>
          <t>No</t>
        </is>
      </c>
      <c r="AQ591" t="inlineStr">
        <is>
          <t>No</t>
        </is>
      </c>
      <c r="AR591">
        <f>HYPERLINK("http://catalog.hathitrust.org/Record/002000951","HathiTrust Record")</f>
        <v/>
      </c>
      <c r="AS591">
        <f>HYPERLINK("https://creighton-primo.hosted.exlibrisgroup.com/primo-explore/search?tab=default_tab&amp;search_scope=EVERYTHING&amp;vid=01CRU&amp;lang=en_US&amp;offset=0&amp;query=any,contains,991003499769702656","Catalog Record")</f>
        <v/>
      </c>
      <c r="AT591">
        <f>HYPERLINK("http://www.worldcat.org/oclc/1052066","WorldCat Record")</f>
        <v/>
      </c>
      <c r="AU591" t="inlineStr">
        <is>
          <t>4092414854:eng</t>
        </is>
      </c>
      <c r="AV591" t="inlineStr">
        <is>
          <t>1052066</t>
        </is>
      </c>
      <c r="AW591" t="inlineStr">
        <is>
          <t>991003499769702656</t>
        </is>
      </c>
      <c r="AX591" t="inlineStr">
        <is>
          <t>991003499769702656</t>
        </is>
      </c>
      <c r="AY591" t="inlineStr">
        <is>
          <t>2270178030002656</t>
        </is>
      </c>
      <c r="AZ591" t="inlineStr">
        <is>
          <t>BOOK</t>
        </is>
      </c>
      <c r="BC591" t="inlineStr">
        <is>
          <t>32285001850832</t>
        </is>
      </c>
      <c r="BD591" t="inlineStr">
        <is>
          <t>893721959</t>
        </is>
      </c>
    </row>
    <row r="592">
      <c r="A592" t="inlineStr">
        <is>
          <t>No</t>
        </is>
      </c>
      <c r="B592" t="inlineStr">
        <is>
          <t>QH367 .L525 1998</t>
        </is>
      </c>
      <c r="C592" t="inlineStr">
        <is>
          <t>0                      QH 0367000L  525         1998</t>
        </is>
      </c>
      <c r="D592" t="inlineStr">
        <is>
          <t>A walk through time : from stardust to us : the evolution of life on earth / Sidney Liebes, Elisabet Sahtouris &amp; Brian Swimme ; with Hewlett-Packard "Walk" exhibit text by Lois Brynes.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Liebes, Sidney.</t>
        </is>
      </c>
      <c r="L592" t="inlineStr">
        <is>
          <t>New York : Wiley, c1998.</t>
        </is>
      </c>
      <c r="M592" t="inlineStr">
        <is>
          <t>1998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QH </t>
        </is>
      </c>
      <c r="S592" t="n">
        <v>2</v>
      </c>
      <c r="T592" t="n">
        <v>2</v>
      </c>
      <c r="U592" t="inlineStr">
        <is>
          <t>2002-10-08</t>
        </is>
      </c>
      <c r="V592" t="inlineStr">
        <is>
          <t>2002-10-08</t>
        </is>
      </c>
      <c r="W592" t="inlineStr">
        <is>
          <t>2000-07-25</t>
        </is>
      </c>
      <c r="X592" t="inlineStr">
        <is>
          <t>2000-07-25</t>
        </is>
      </c>
      <c r="Y592" t="n">
        <v>854</v>
      </c>
      <c r="Z592" t="n">
        <v>761</v>
      </c>
      <c r="AA592" t="n">
        <v>770</v>
      </c>
      <c r="AB592" t="n">
        <v>6</v>
      </c>
      <c r="AC592" t="n">
        <v>6</v>
      </c>
      <c r="AD592" t="n">
        <v>25</v>
      </c>
      <c r="AE592" t="n">
        <v>25</v>
      </c>
      <c r="AF592" t="n">
        <v>10</v>
      </c>
      <c r="AG592" t="n">
        <v>10</v>
      </c>
      <c r="AH592" t="n">
        <v>4</v>
      </c>
      <c r="AI592" t="n">
        <v>4</v>
      </c>
      <c r="AJ592" t="n">
        <v>14</v>
      </c>
      <c r="AK592" t="n">
        <v>14</v>
      </c>
      <c r="AL592" t="n">
        <v>4</v>
      </c>
      <c r="AM592" t="n">
        <v>4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HYPERLINK("https://creighton-primo.hosted.exlibrisgroup.com/primo-explore/search?tab=default_tab&amp;search_scope=EVERYTHING&amp;vid=01CRU&amp;lang=en_US&amp;offset=0&amp;query=any,contains,991003216019702656","Catalog Record")</f>
        <v/>
      </c>
      <c r="AT592">
        <f>HYPERLINK("http://www.worldcat.org/oclc/39532830","WorldCat Record")</f>
        <v/>
      </c>
      <c r="AU592" t="inlineStr">
        <is>
          <t>795158894:eng</t>
        </is>
      </c>
      <c r="AV592" t="inlineStr">
        <is>
          <t>39532830</t>
        </is>
      </c>
      <c r="AW592" t="inlineStr">
        <is>
          <t>991003216019702656</t>
        </is>
      </c>
      <c r="AX592" t="inlineStr">
        <is>
          <t>991003216019702656</t>
        </is>
      </c>
      <c r="AY592" t="inlineStr">
        <is>
          <t>2256406150002656</t>
        </is>
      </c>
      <c r="AZ592" t="inlineStr">
        <is>
          <t>BOOK</t>
        </is>
      </c>
      <c r="BB592" t="inlineStr">
        <is>
          <t>9780471317005</t>
        </is>
      </c>
      <c r="BC592" t="inlineStr">
        <is>
          <t>32285003712923</t>
        </is>
      </c>
      <c r="BD592" t="inlineStr">
        <is>
          <t>893499058</t>
        </is>
      </c>
    </row>
    <row r="593">
      <c r="A593" t="inlineStr">
        <is>
          <t>No</t>
        </is>
      </c>
      <c r="B593" t="inlineStr">
        <is>
          <t>QH367 .M82</t>
        </is>
      </c>
      <c r="C593" t="inlineStr">
        <is>
          <t>0                      QH 0367000M  82</t>
        </is>
      </c>
      <c r="D593" t="inlineStr">
        <is>
          <t>Evolution, by Ruth Moore and the editors of Life.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Moore, Ruth E., 1908-1989.</t>
        </is>
      </c>
      <c r="L593" t="inlineStr">
        <is>
          <t>New York, Time Incorporated [1962]</t>
        </is>
      </c>
      <c r="M593" t="inlineStr">
        <is>
          <t>1962</t>
        </is>
      </c>
      <c r="O593" t="inlineStr">
        <is>
          <t>eng</t>
        </is>
      </c>
      <c r="P593" t="inlineStr">
        <is>
          <t>nyu</t>
        </is>
      </c>
      <c r="Q593" t="inlineStr">
        <is>
          <t>Life nature library</t>
        </is>
      </c>
      <c r="R593" t="inlineStr">
        <is>
          <t xml:space="preserve">QH </t>
        </is>
      </c>
      <c r="S593" t="n">
        <v>1</v>
      </c>
      <c r="T593" t="n">
        <v>1</v>
      </c>
      <c r="U593" t="inlineStr">
        <is>
          <t>2006-04-11</t>
        </is>
      </c>
      <c r="V593" t="inlineStr">
        <is>
          <t>2006-04-11</t>
        </is>
      </c>
      <c r="W593" t="inlineStr">
        <is>
          <t>1997-07-01</t>
        </is>
      </c>
      <c r="X593" t="inlineStr">
        <is>
          <t>1997-07-01</t>
        </is>
      </c>
      <c r="Y593" t="n">
        <v>1085</v>
      </c>
      <c r="Z593" t="n">
        <v>1036</v>
      </c>
      <c r="AA593" t="n">
        <v>1798</v>
      </c>
      <c r="AB593" t="n">
        <v>13</v>
      </c>
      <c r="AC593" t="n">
        <v>20</v>
      </c>
      <c r="AD593" t="n">
        <v>16</v>
      </c>
      <c r="AE593" t="n">
        <v>27</v>
      </c>
      <c r="AF593" t="n">
        <v>6</v>
      </c>
      <c r="AG593" t="n">
        <v>10</v>
      </c>
      <c r="AH593" t="n">
        <v>1</v>
      </c>
      <c r="AI593" t="n">
        <v>1</v>
      </c>
      <c r="AJ593" t="n">
        <v>11</v>
      </c>
      <c r="AK593" t="n">
        <v>19</v>
      </c>
      <c r="AL593" t="n">
        <v>4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HYPERLINK("http://catalog.hathitrust.org/Record/001491809","HathiTrust Record")</f>
        <v/>
      </c>
      <c r="AS593">
        <f>HYPERLINK("https://creighton-primo.hosted.exlibrisgroup.com/primo-explore/search?tab=default_tab&amp;search_scope=EVERYTHING&amp;vid=01CRU&amp;lang=en_US&amp;offset=0&amp;query=any,contains,991003457789702656","Catalog Record")</f>
        <v/>
      </c>
      <c r="AT593">
        <f>HYPERLINK("http://www.worldcat.org/oclc/997917","WorldCat Record")</f>
        <v/>
      </c>
      <c r="AU593" t="inlineStr">
        <is>
          <t>4663578646:eng</t>
        </is>
      </c>
      <c r="AV593" t="inlineStr">
        <is>
          <t>997917</t>
        </is>
      </c>
      <c r="AW593" t="inlineStr">
        <is>
          <t>991003457789702656</t>
        </is>
      </c>
      <c r="AX593" t="inlineStr">
        <is>
          <t>991003457789702656</t>
        </is>
      </c>
      <c r="AY593" t="inlineStr">
        <is>
          <t>2271607170002656</t>
        </is>
      </c>
      <c r="AZ593" t="inlineStr">
        <is>
          <t>BOOK</t>
        </is>
      </c>
      <c r="BC593" t="inlineStr">
        <is>
          <t>32285002869799</t>
        </is>
      </c>
      <c r="BD593" t="inlineStr">
        <is>
          <t>893793619</t>
        </is>
      </c>
    </row>
    <row r="594">
      <c r="A594" t="inlineStr">
        <is>
          <t>No</t>
        </is>
      </c>
      <c r="B594" t="inlineStr">
        <is>
          <t>QH367.5 .B76 1991</t>
        </is>
      </c>
      <c r="C594" t="inlineStr">
        <is>
          <t>0                      QH 0367500B  76          1991</t>
        </is>
      </c>
      <c r="D594" t="inlineStr">
        <is>
          <t>Phylogeny, ecology, and behavior : a research program in comparative biology / Daniel R. Brooks and Deborah A. McLennan.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Brooks, D. R. (Daniel R.), 1951-</t>
        </is>
      </c>
      <c r="L594" t="inlineStr">
        <is>
          <t>Chicago : University of Chicago Press, 1991.</t>
        </is>
      </c>
      <c r="M594" t="inlineStr">
        <is>
          <t>1991</t>
        </is>
      </c>
      <c r="O594" t="inlineStr">
        <is>
          <t>eng</t>
        </is>
      </c>
      <c r="P594" t="inlineStr">
        <is>
          <t>ilu</t>
        </is>
      </c>
      <c r="R594" t="inlineStr">
        <is>
          <t xml:space="preserve">QH </t>
        </is>
      </c>
      <c r="S594" t="n">
        <v>3</v>
      </c>
      <c r="T594" t="n">
        <v>3</v>
      </c>
      <c r="U594" t="inlineStr">
        <is>
          <t>2000-05-01</t>
        </is>
      </c>
      <c r="V594" t="inlineStr">
        <is>
          <t>2000-05-01</t>
        </is>
      </c>
      <c r="W594" t="inlineStr">
        <is>
          <t>1991-06-11</t>
        </is>
      </c>
      <c r="X594" t="inlineStr">
        <is>
          <t>1991-06-11</t>
        </is>
      </c>
      <c r="Y594" t="n">
        <v>556</v>
      </c>
      <c r="Z594" t="n">
        <v>437</v>
      </c>
      <c r="AA594" t="n">
        <v>442</v>
      </c>
      <c r="AB594" t="n">
        <v>4</v>
      </c>
      <c r="AC594" t="n">
        <v>4</v>
      </c>
      <c r="AD594" t="n">
        <v>21</v>
      </c>
      <c r="AE594" t="n">
        <v>21</v>
      </c>
      <c r="AF594" t="n">
        <v>11</v>
      </c>
      <c r="AG594" t="n">
        <v>11</v>
      </c>
      <c r="AH594" t="n">
        <v>4</v>
      </c>
      <c r="AI594" t="n">
        <v>4</v>
      </c>
      <c r="AJ594" t="n">
        <v>10</v>
      </c>
      <c r="AK594" t="n">
        <v>10</v>
      </c>
      <c r="AL594" t="n">
        <v>3</v>
      </c>
      <c r="AM594" t="n">
        <v>3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HYPERLINK("https://creighton-primo.hosted.exlibrisgroup.com/primo-explore/search?tab=default_tab&amp;search_scope=EVERYTHING&amp;vid=01CRU&amp;lang=en_US&amp;offset=0&amp;query=any,contains,991001705089702656","Catalog Record")</f>
        <v/>
      </c>
      <c r="AT594">
        <f>HYPERLINK("http://www.worldcat.org/oclc/21560961","WorldCat Record")</f>
        <v/>
      </c>
      <c r="AU594" t="inlineStr">
        <is>
          <t>836702702:eng</t>
        </is>
      </c>
      <c r="AV594" t="inlineStr">
        <is>
          <t>21560961</t>
        </is>
      </c>
      <c r="AW594" t="inlineStr">
        <is>
          <t>991001705089702656</t>
        </is>
      </c>
      <c r="AX594" t="inlineStr">
        <is>
          <t>991001705089702656</t>
        </is>
      </c>
      <c r="AY594" t="inlineStr">
        <is>
          <t>2262809900002656</t>
        </is>
      </c>
      <c r="AZ594" t="inlineStr">
        <is>
          <t>BOOK</t>
        </is>
      </c>
      <c r="BB594" t="inlineStr">
        <is>
          <t>9780226075723</t>
        </is>
      </c>
      <c r="BC594" t="inlineStr">
        <is>
          <t>32285000594787</t>
        </is>
      </c>
      <c r="BD594" t="inlineStr">
        <is>
          <t>893244323</t>
        </is>
      </c>
    </row>
    <row r="595">
      <c r="A595" t="inlineStr">
        <is>
          <t>No</t>
        </is>
      </c>
      <c r="B595" t="inlineStr">
        <is>
          <t>QH367.5 .E38</t>
        </is>
      </c>
      <c r="C595" t="inlineStr">
        <is>
          <t>0                      QH 0367500E  38</t>
        </is>
      </c>
      <c r="D595" t="inlineStr">
        <is>
          <t>Phylogenetic patterns and the evolutionary process : method and theory in comparative biology / Niles Eldredge, Joel Cracraft.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Eldredge, Niles.</t>
        </is>
      </c>
      <c r="L595" t="inlineStr">
        <is>
          <t>New York : Columbia University Press, 1980.</t>
        </is>
      </c>
      <c r="M595" t="inlineStr">
        <is>
          <t>1980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QH </t>
        </is>
      </c>
      <c r="S595" t="n">
        <v>4</v>
      </c>
      <c r="T595" t="n">
        <v>4</v>
      </c>
      <c r="U595" t="inlineStr">
        <is>
          <t>1997-05-27</t>
        </is>
      </c>
      <c r="V595" t="inlineStr">
        <is>
          <t>1997-05-27</t>
        </is>
      </c>
      <c r="W595" t="inlineStr">
        <is>
          <t>1993-04-05</t>
        </is>
      </c>
      <c r="X595" t="inlineStr">
        <is>
          <t>1993-04-05</t>
        </is>
      </c>
      <c r="Y595" t="n">
        <v>658</v>
      </c>
      <c r="Z595" t="n">
        <v>474</v>
      </c>
      <c r="AA595" t="n">
        <v>480</v>
      </c>
      <c r="AB595" t="n">
        <v>4</v>
      </c>
      <c r="AC595" t="n">
        <v>4</v>
      </c>
      <c r="AD595" t="n">
        <v>15</v>
      </c>
      <c r="AE595" t="n">
        <v>15</v>
      </c>
      <c r="AF595" t="n">
        <v>1</v>
      </c>
      <c r="AG595" t="n">
        <v>1</v>
      </c>
      <c r="AH595" t="n">
        <v>5</v>
      </c>
      <c r="AI595" t="n">
        <v>5</v>
      </c>
      <c r="AJ595" t="n">
        <v>8</v>
      </c>
      <c r="AK595" t="n">
        <v>8</v>
      </c>
      <c r="AL595" t="n">
        <v>3</v>
      </c>
      <c r="AM595" t="n">
        <v>3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HYPERLINK("http://catalog.hathitrust.org/Record/000707225","HathiTrust Record")</f>
        <v/>
      </c>
      <c r="AS595">
        <f>HYPERLINK("https://creighton-primo.hosted.exlibrisgroup.com/primo-explore/search?tab=default_tab&amp;search_scope=EVERYTHING&amp;vid=01CRU&amp;lang=en_US&amp;offset=0&amp;query=any,contains,991004905549702656","Catalog Record")</f>
        <v/>
      </c>
      <c r="AT595">
        <f>HYPERLINK("http://www.worldcat.org/oclc/5946556","WorldCat Record")</f>
        <v/>
      </c>
      <c r="AU595" t="inlineStr">
        <is>
          <t>822237799:eng</t>
        </is>
      </c>
      <c r="AV595" t="inlineStr">
        <is>
          <t>5946556</t>
        </is>
      </c>
      <c r="AW595" t="inlineStr">
        <is>
          <t>991004905549702656</t>
        </is>
      </c>
      <c r="AX595" t="inlineStr">
        <is>
          <t>991004905549702656</t>
        </is>
      </c>
      <c r="AY595" t="inlineStr">
        <is>
          <t>2257601570002656</t>
        </is>
      </c>
      <c r="AZ595" t="inlineStr">
        <is>
          <t>BOOK</t>
        </is>
      </c>
      <c r="BB595" t="inlineStr">
        <is>
          <t>9780231038027</t>
        </is>
      </c>
      <c r="BC595" t="inlineStr">
        <is>
          <t>32285001553956</t>
        </is>
      </c>
      <c r="BD595" t="inlineStr">
        <is>
          <t>893325920</t>
        </is>
      </c>
    </row>
    <row r="596">
      <c r="A596" t="inlineStr">
        <is>
          <t>No</t>
        </is>
      </c>
      <c r="B596" t="inlineStr">
        <is>
          <t>QH367.5 .V26 2004</t>
        </is>
      </c>
      <c r="C596" t="inlineStr">
        <is>
          <t>0                      QH 0367500V  26          2004</t>
        </is>
      </c>
      <c r="D596" t="inlineStr">
        <is>
          <t>On the origin of phyla / James W. Valentine.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Valentine, James W.</t>
        </is>
      </c>
      <c r="L596" t="inlineStr">
        <is>
          <t>Chicago : University of Chicago Press, c2004.</t>
        </is>
      </c>
      <c r="M596" t="inlineStr">
        <is>
          <t>2004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QH </t>
        </is>
      </c>
      <c r="S596" t="n">
        <v>1</v>
      </c>
      <c r="T596" t="n">
        <v>1</v>
      </c>
      <c r="U596" t="inlineStr">
        <is>
          <t>2005-05-12</t>
        </is>
      </c>
      <c r="V596" t="inlineStr">
        <is>
          <t>2005-05-12</t>
        </is>
      </c>
      <c r="W596" t="inlineStr">
        <is>
          <t>2005-05-12</t>
        </is>
      </c>
      <c r="X596" t="inlineStr">
        <is>
          <t>2005-05-12</t>
        </is>
      </c>
      <c r="Y596" t="n">
        <v>777</v>
      </c>
      <c r="Z596" t="n">
        <v>645</v>
      </c>
      <c r="AA596" t="n">
        <v>651</v>
      </c>
      <c r="AB596" t="n">
        <v>6</v>
      </c>
      <c r="AC596" t="n">
        <v>6</v>
      </c>
      <c r="AD596" t="n">
        <v>33</v>
      </c>
      <c r="AE596" t="n">
        <v>33</v>
      </c>
      <c r="AF596" t="n">
        <v>15</v>
      </c>
      <c r="AG596" t="n">
        <v>15</v>
      </c>
      <c r="AH596" t="n">
        <v>4</v>
      </c>
      <c r="AI596" t="n">
        <v>4</v>
      </c>
      <c r="AJ596" t="n">
        <v>16</v>
      </c>
      <c r="AK596" t="n">
        <v>16</v>
      </c>
      <c r="AL596" t="n">
        <v>5</v>
      </c>
      <c r="AM596" t="n">
        <v>5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HYPERLINK("https://creighton-primo.hosted.exlibrisgroup.com/primo-explore/search?tab=default_tab&amp;search_scope=EVERYTHING&amp;vid=01CRU&amp;lang=en_US&amp;offset=0&amp;query=any,contains,991004518589702656","Catalog Record")</f>
        <v/>
      </c>
      <c r="AT596">
        <f>HYPERLINK("http://www.worldcat.org/oclc/52821100","WorldCat Record")</f>
        <v/>
      </c>
      <c r="AU596" t="inlineStr">
        <is>
          <t>667074:eng</t>
        </is>
      </c>
      <c r="AV596" t="inlineStr">
        <is>
          <t>52821100</t>
        </is>
      </c>
      <c r="AW596" t="inlineStr">
        <is>
          <t>991004518589702656</t>
        </is>
      </c>
      <c r="AX596" t="inlineStr">
        <is>
          <t>991004518589702656</t>
        </is>
      </c>
      <c r="AY596" t="inlineStr">
        <is>
          <t>2271106950002656</t>
        </is>
      </c>
      <c r="AZ596" t="inlineStr">
        <is>
          <t>BOOK</t>
        </is>
      </c>
      <c r="BB596" t="inlineStr">
        <is>
          <t>9780226845487</t>
        </is>
      </c>
      <c r="BC596" t="inlineStr">
        <is>
          <t>32285005037337</t>
        </is>
      </c>
      <c r="BD596" t="inlineStr">
        <is>
          <t>893436369</t>
        </is>
      </c>
    </row>
    <row r="597">
      <c r="A597" t="inlineStr">
        <is>
          <t>No</t>
        </is>
      </c>
      <c r="B597" t="inlineStr">
        <is>
          <t>QH368 .A32</t>
        </is>
      </c>
      <c r="C597" t="inlineStr">
        <is>
          <t>0                      QH 0368000A  32</t>
        </is>
      </c>
      <c r="D597" t="inlineStr">
        <is>
          <t>The way to modern man : an introduction to human evolution / [by] Fred T. Adams.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Adams, Fred T.</t>
        </is>
      </c>
      <c r="L597" t="inlineStr">
        <is>
          <t>New York : Teachers College Press, [1968]</t>
        </is>
      </c>
      <c r="M597" t="inlineStr">
        <is>
          <t>1968</t>
        </is>
      </c>
      <c r="O597" t="inlineStr">
        <is>
          <t>eng</t>
        </is>
      </c>
      <c r="P597" t="inlineStr">
        <is>
          <t>nyu</t>
        </is>
      </c>
      <c r="Q597" t="inlineStr">
        <is>
          <t>Anthropology &amp; education</t>
        </is>
      </c>
      <c r="R597" t="inlineStr">
        <is>
          <t xml:space="preserve">QH </t>
        </is>
      </c>
      <c r="S597" t="n">
        <v>3</v>
      </c>
      <c r="T597" t="n">
        <v>3</v>
      </c>
      <c r="U597" t="inlineStr">
        <is>
          <t>1996-01-31</t>
        </is>
      </c>
      <c r="V597" t="inlineStr">
        <is>
          <t>1996-01-31</t>
        </is>
      </c>
      <c r="W597" t="inlineStr">
        <is>
          <t>1995-03-19</t>
        </is>
      </c>
      <c r="X597" t="inlineStr">
        <is>
          <t>1995-03-19</t>
        </is>
      </c>
      <c r="Y597" t="n">
        <v>492</v>
      </c>
      <c r="Z597" t="n">
        <v>439</v>
      </c>
      <c r="AA597" t="n">
        <v>444</v>
      </c>
      <c r="AB597" t="n">
        <v>4</v>
      </c>
      <c r="AC597" t="n">
        <v>4</v>
      </c>
      <c r="AD597" t="n">
        <v>18</v>
      </c>
      <c r="AE597" t="n">
        <v>18</v>
      </c>
      <c r="AF597" t="n">
        <v>5</v>
      </c>
      <c r="AG597" t="n">
        <v>5</v>
      </c>
      <c r="AH597" t="n">
        <v>3</v>
      </c>
      <c r="AI597" t="n">
        <v>3</v>
      </c>
      <c r="AJ597" t="n">
        <v>12</v>
      </c>
      <c r="AK597" t="n">
        <v>12</v>
      </c>
      <c r="AL597" t="n">
        <v>3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HYPERLINK("https://creighton-primo.hosted.exlibrisgroup.com/primo-explore/search?tab=default_tab&amp;search_scope=EVERYTHING&amp;vid=01CRU&amp;lang=en_US&amp;offset=0&amp;query=any,contains,991000960169702656","Catalog Record")</f>
        <v/>
      </c>
      <c r="AT597">
        <f>HYPERLINK("http://www.worldcat.org/oclc/169114","WorldCat Record")</f>
        <v/>
      </c>
      <c r="AU597" t="inlineStr">
        <is>
          <t>292690982:eng</t>
        </is>
      </c>
      <c r="AV597" t="inlineStr">
        <is>
          <t>169114</t>
        </is>
      </c>
      <c r="AW597" t="inlineStr">
        <is>
          <t>991000960169702656</t>
        </is>
      </c>
      <c r="AX597" t="inlineStr">
        <is>
          <t>991000960169702656</t>
        </is>
      </c>
      <c r="AY597" t="inlineStr">
        <is>
          <t>2261892180002656</t>
        </is>
      </c>
      <c r="AZ597" t="inlineStr">
        <is>
          <t>BOOK</t>
        </is>
      </c>
      <c r="BC597" t="inlineStr">
        <is>
          <t>32285002012143</t>
        </is>
      </c>
      <c r="BD597" t="inlineStr">
        <is>
          <t>893620967</t>
        </is>
      </c>
    </row>
    <row r="598">
      <c r="A598" t="inlineStr">
        <is>
          <t>No</t>
        </is>
      </c>
      <c r="B598" t="inlineStr">
        <is>
          <t>QH368 .A683 1970</t>
        </is>
      </c>
      <c r="C598" t="inlineStr">
        <is>
          <t>0                      QH 0368000A  683         1970</t>
        </is>
      </c>
      <c r="D598" t="inlineStr">
        <is>
          <t>The social contract; a personal inquiry into the evolutionary sources of order and disorder. Drawings by Berdine Ardrey.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Ardrey, Robert.</t>
        </is>
      </c>
      <c r="L598" t="inlineStr">
        <is>
          <t>New York, Atheneum, 1970.</t>
        </is>
      </c>
      <c r="M598" t="inlineStr">
        <is>
          <t>1970</t>
        </is>
      </c>
      <c r="N598" t="inlineStr">
        <is>
          <t>[1st ed.]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QH </t>
        </is>
      </c>
      <c r="S598" t="n">
        <v>1</v>
      </c>
      <c r="T598" t="n">
        <v>1</v>
      </c>
      <c r="U598" t="inlineStr">
        <is>
          <t>2000-11-26</t>
        </is>
      </c>
      <c r="V598" t="inlineStr">
        <is>
          <t>2000-11-26</t>
        </is>
      </c>
      <c r="W598" t="inlineStr">
        <is>
          <t>1997-07-01</t>
        </is>
      </c>
      <c r="X598" t="inlineStr">
        <is>
          <t>1997-07-01</t>
        </is>
      </c>
      <c r="Y598" t="n">
        <v>1455</v>
      </c>
      <c r="Z598" t="n">
        <v>1350</v>
      </c>
      <c r="AA598" t="n">
        <v>1572</v>
      </c>
      <c r="AB598" t="n">
        <v>10</v>
      </c>
      <c r="AC598" t="n">
        <v>10</v>
      </c>
      <c r="AD598" t="n">
        <v>30</v>
      </c>
      <c r="AE598" t="n">
        <v>33</v>
      </c>
      <c r="AF598" t="n">
        <v>7</v>
      </c>
      <c r="AG598" t="n">
        <v>7</v>
      </c>
      <c r="AH598" t="n">
        <v>5</v>
      </c>
      <c r="AI598" t="n">
        <v>6</v>
      </c>
      <c r="AJ598" t="n">
        <v>11</v>
      </c>
      <c r="AK598" t="n">
        <v>13</v>
      </c>
      <c r="AL598" t="n">
        <v>6</v>
      </c>
      <c r="AM598" t="n">
        <v>6</v>
      </c>
      <c r="AN598" t="n">
        <v>3</v>
      </c>
      <c r="AO598" t="n">
        <v>3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HYPERLINK("http://catalog.hathitrust.org/Record/001491831","HathiTrust Record")</f>
        <v/>
      </c>
      <c r="AS598">
        <f>HYPERLINK("https://creighton-primo.hosted.exlibrisgroup.com/primo-explore/search?tab=default_tab&amp;search_scope=EVERYTHING&amp;vid=01CRU&amp;lang=en_US&amp;offset=0&amp;query=any,contains,991000559009702656","Catalog Record")</f>
        <v/>
      </c>
      <c r="AT598">
        <f>HYPERLINK("http://www.worldcat.org/oclc/93379","WorldCat Record")</f>
        <v/>
      </c>
      <c r="AU598" t="inlineStr">
        <is>
          <t>502786052:eng</t>
        </is>
      </c>
      <c r="AV598" t="inlineStr">
        <is>
          <t>93379</t>
        </is>
      </c>
      <c r="AW598" t="inlineStr">
        <is>
          <t>991000559009702656</t>
        </is>
      </c>
      <c r="AX598" t="inlineStr">
        <is>
          <t>991000559009702656</t>
        </is>
      </c>
      <c r="AY598" t="inlineStr">
        <is>
          <t>2263018300002656</t>
        </is>
      </c>
      <c r="AZ598" t="inlineStr">
        <is>
          <t>BOOK</t>
        </is>
      </c>
      <c r="BC598" t="inlineStr">
        <is>
          <t>32285002869849</t>
        </is>
      </c>
      <c r="BD598" t="inlineStr">
        <is>
          <t>893243378</t>
        </is>
      </c>
    </row>
    <row r="599">
      <c r="A599" t="inlineStr">
        <is>
          <t>No</t>
        </is>
      </c>
      <c r="B599" t="inlineStr">
        <is>
          <t>QH368 .B315 1971</t>
        </is>
      </c>
      <c r="C599" t="inlineStr">
        <is>
          <t>0                      QH 0368000B  315         1971</t>
        </is>
      </c>
      <c r="D599" t="inlineStr">
        <is>
          <t>Natural selection in human populations : the measurement of ongoing genetic evolution in contemporary societies.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Bajema, Carl Jay, 1937- compiler.</t>
        </is>
      </c>
      <c r="L599" t="inlineStr">
        <is>
          <t>New York : Wiley, [1971]</t>
        </is>
      </c>
      <c r="M599" t="inlineStr">
        <is>
          <t>1971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QH </t>
        </is>
      </c>
      <c r="S599" t="n">
        <v>8</v>
      </c>
      <c r="T599" t="n">
        <v>8</v>
      </c>
      <c r="U599" t="inlineStr">
        <is>
          <t>1995-02-04</t>
        </is>
      </c>
      <c r="V599" t="inlineStr">
        <is>
          <t>1995-02-04</t>
        </is>
      </c>
      <c r="W599" t="inlineStr">
        <is>
          <t>1990-09-04</t>
        </is>
      </c>
      <c r="X599" t="inlineStr">
        <is>
          <t>1990-09-04</t>
        </is>
      </c>
      <c r="Y599" t="n">
        <v>560</v>
      </c>
      <c r="Z599" t="n">
        <v>434</v>
      </c>
      <c r="AA599" t="n">
        <v>499</v>
      </c>
      <c r="AB599" t="n">
        <v>5</v>
      </c>
      <c r="AC599" t="n">
        <v>5</v>
      </c>
      <c r="AD599" t="n">
        <v>16</v>
      </c>
      <c r="AE599" t="n">
        <v>17</v>
      </c>
      <c r="AF599" t="n">
        <v>3</v>
      </c>
      <c r="AG599" t="n">
        <v>4</v>
      </c>
      <c r="AH599" t="n">
        <v>2</v>
      </c>
      <c r="AI599" t="n">
        <v>2</v>
      </c>
      <c r="AJ599" t="n">
        <v>9</v>
      </c>
      <c r="AK599" t="n">
        <v>10</v>
      </c>
      <c r="AL599" t="n">
        <v>4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HYPERLINK("http://catalog.hathitrust.org/Record/001491834","HathiTrust Record")</f>
        <v/>
      </c>
      <c r="AS599">
        <f>HYPERLINK("https://creighton-primo.hosted.exlibrisgroup.com/primo-explore/search?tab=default_tab&amp;search_scope=EVERYTHING&amp;vid=01CRU&amp;lang=en_US&amp;offset=0&amp;query=any,contains,991000905249702656","Catalog Record")</f>
        <v/>
      </c>
      <c r="AT599">
        <f>HYPERLINK("http://www.worldcat.org/oclc/156721","WorldCat Record")</f>
        <v/>
      </c>
      <c r="AU599" t="inlineStr">
        <is>
          <t>797755152:eng</t>
        </is>
      </c>
      <c r="AV599" t="inlineStr">
        <is>
          <t>156721</t>
        </is>
      </c>
      <c r="AW599" t="inlineStr">
        <is>
          <t>991000905249702656</t>
        </is>
      </c>
      <c r="AX599" t="inlineStr">
        <is>
          <t>991000905249702656</t>
        </is>
      </c>
      <c r="AY599" t="inlineStr">
        <is>
          <t>2255572980002656</t>
        </is>
      </c>
      <c r="AZ599" t="inlineStr">
        <is>
          <t>BOOK</t>
        </is>
      </c>
      <c r="BB599" t="inlineStr">
        <is>
          <t>9780471043805</t>
        </is>
      </c>
      <c r="BC599" t="inlineStr">
        <is>
          <t>32285000284207</t>
        </is>
      </c>
      <c r="BD599" t="inlineStr">
        <is>
          <t>893237714</t>
        </is>
      </c>
    </row>
    <row r="600">
      <c r="A600" t="inlineStr">
        <is>
          <t>No</t>
        </is>
      </c>
      <c r="B600" t="inlineStr">
        <is>
          <t>QH368 .B334 1964</t>
        </is>
      </c>
      <c r="C600" t="inlineStr">
        <is>
          <t>0                      QH 0368000B  334         1964</t>
        </is>
      </c>
      <c r="D600" t="inlineStr">
        <is>
          <t>Man in nature.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Bates, Marston, 1906-1974.</t>
        </is>
      </c>
      <c r="L600" t="inlineStr">
        <is>
          <t>Englewood Cliffs, N.J. : Prentice-Hall, [1964]</t>
        </is>
      </c>
      <c r="M600" t="inlineStr">
        <is>
          <t>1964</t>
        </is>
      </c>
      <c r="N600" t="inlineStr">
        <is>
          <t>2d ed.</t>
        </is>
      </c>
      <c r="O600" t="inlineStr">
        <is>
          <t>eng</t>
        </is>
      </c>
      <c r="P600" t="inlineStr">
        <is>
          <t>nju</t>
        </is>
      </c>
      <c r="Q600" t="inlineStr">
        <is>
          <t>Foundations of modern biology series</t>
        </is>
      </c>
      <c r="R600" t="inlineStr">
        <is>
          <t xml:space="preserve">QH </t>
        </is>
      </c>
      <c r="S600" t="n">
        <v>2</v>
      </c>
      <c r="T600" t="n">
        <v>2</v>
      </c>
      <c r="U600" t="inlineStr">
        <is>
          <t>2005-03-28</t>
        </is>
      </c>
      <c r="V600" t="inlineStr">
        <is>
          <t>2005-03-28</t>
        </is>
      </c>
      <c r="W600" t="inlineStr">
        <is>
          <t>1993-11-22</t>
        </is>
      </c>
      <c r="X600" t="inlineStr">
        <is>
          <t>1993-11-22</t>
        </is>
      </c>
      <c r="Y600" t="n">
        <v>907</v>
      </c>
      <c r="Z600" t="n">
        <v>760</v>
      </c>
      <c r="AA600" t="n">
        <v>1082</v>
      </c>
      <c r="AB600" t="n">
        <v>7</v>
      </c>
      <c r="AC600" t="n">
        <v>8</v>
      </c>
      <c r="AD600" t="n">
        <v>19</v>
      </c>
      <c r="AE600" t="n">
        <v>26</v>
      </c>
      <c r="AF600" t="n">
        <v>7</v>
      </c>
      <c r="AG600" t="n">
        <v>8</v>
      </c>
      <c r="AH600" t="n">
        <v>3</v>
      </c>
      <c r="AI600" t="n">
        <v>4</v>
      </c>
      <c r="AJ600" t="n">
        <v>8</v>
      </c>
      <c r="AK600" t="n">
        <v>13</v>
      </c>
      <c r="AL600" t="n">
        <v>6</v>
      </c>
      <c r="AM600" t="n">
        <v>7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HYPERLINK("http://catalog.hathitrust.org/Record/001491835","HathiTrust Record")</f>
        <v/>
      </c>
      <c r="AS600">
        <f>HYPERLINK("https://creighton-primo.hosted.exlibrisgroup.com/primo-explore/search?tab=default_tab&amp;search_scope=EVERYTHING&amp;vid=01CRU&amp;lang=en_US&amp;offset=0&amp;query=any,contains,991002382379702656","Catalog Record")</f>
        <v/>
      </c>
      <c r="AT600">
        <f>HYPERLINK("http://www.worldcat.org/oclc/328652","WorldCat Record")</f>
        <v/>
      </c>
      <c r="AU600" t="inlineStr">
        <is>
          <t>1422269:eng</t>
        </is>
      </c>
      <c r="AV600" t="inlineStr">
        <is>
          <t>328652</t>
        </is>
      </c>
      <c r="AW600" t="inlineStr">
        <is>
          <t>991002382379702656</t>
        </is>
      </c>
      <c r="AX600" t="inlineStr">
        <is>
          <t>991002382379702656</t>
        </is>
      </c>
      <c r="AY600" t="inlineStr">
        <is>
          <t>2271441440002656</t>
        </is>
      </c>
      <c r="AZ600" t="inlineStr">
        <is>
          <t>BOOK</t>
        </is>
      </c>
      <c r="BC600" t="inlineStr">
        <is>
          <t>32285001688042</t>
        </is>
      </c>
      <c r="BD600" t="inlineStr">
        <is>
          <t>893597385</t>
        </is>
      </c>
    </row>
    <row r="601">
      <c r="A601" t="inlineStr">
        <is>
          <t>No</t>
        </is>
      </c>
      <c r="B601" t="inlineStr">
        <is>
          <t>QH368 .C15</t>
        </is>
      </c>
      <c r="C601" t="inlineStr">
        <is>
          <t>0                      QH 0368000C  15</t>
        </is>
      </c>
      <c r="D601" t="inlineStr">
        <is>
          <t>Human evolution : an introduction to man's adaptations / by Bernard G. Campbell.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Campbell, Bernard Grant.</t>
        </is>
      </c>
      <c r="L601" t="inlineStr">
        <is>
          <t>Chicago : Aldine Pub. Co., [1966]</t>
        </is>
      </c>
      <c r="M601" t="inlineStr">
        <is>
          <t>1966</t>
        </is>
      </c>
      <c r="O601" t="inlineStr">
        <is>
          <t>eng</t>
        </is>
      </c>
      <c r="P601" t="inlineStr">
        <is>
          <t>ilu</t>
        </is>
      </c>
      <c r="R601" t="inlineStr">
        <is>
          <t xml:space="preserve">QH </t>
        </is>
      </c>
      <c r="S601" t="n">
        <v>8</v>
      </c>
      <c r="T601" t="n">
        <v>8</v>
      </c>
      <c r="U601" t="inlineStr">
        <is>
          <t>1995-02-11</t>
        </is>
      </c>
      <c r="V601" t="inlineStr">
        <is>
          <t>1995-02-11</t>
        </is>
      </c>
      <c r="W601" t="inlineStr">
        <is>
          <t>1993-11-19</t>
        </is>
      </c>
      <c r="X601" t="inlineStr">
        <is>
          <t>1993-11-19</t>
        </is>
      </c>
      <c r="Y601" t="n">
        <v>703</v>
      </c>
      <c r="Z601" t="n">
        <v>653</v>
      </c>
      <c r="AA601" t="n">
        <v>1313</v>
      </c>
      <c r="AB601" t="n">
        <v>5</v>
      </c>
      <c r="AC601" t="n">
        <v>7</v>
      </c>
      <c r="AD601" t="n">
        <v>25</v>
      </c>
      <c r="AE601" t="n">
        <v>47</v>
      </c>
      <c r="AF601" t="n">
        <v>10</v>
      </c>
      <c r="AG601" t="n">
        <v>21</v>
      </c>
      <c r="AH601" t="n">
        <v>3</v>
      </c>
      <c r="AI601" t="n">
        <v>10</v>
      </c>
      <c r="AJ601" t="n">
        <v>15</v>
      </c>
      <c r="AK601" t="n">
        <v>23</v>
      </c>
      <c r="AL601" t="n">
        <v>4</v>
      </c>
      <c r="AM601" t="n">
        <v>6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HYPERLINK("http://catalog.hathitrust.org/Record/001274403","HathiTrust Record")</f>
        <v/>
      </c>
      <c r="AS601">
        <f>HYPERLINK("https://creighton-primo.hosted.exlibrisgroup.com/primo-explore/search?tab=default_tab&amp;search_scope=EVERYTHING&amp;vid=01CRU&amp;lang=en_US&amp;offset=0&amp;query=any,contains,991002975459702656","Catalog Record")</f>
        <v/>
      </c>
      <c r="AT601">
        <f>HYPERLINK("http://www.worldcat.org/oclc/551584","WorldCat Record")</f>
        <v/>
      </c>
      <c r="AU601" t="inlineStr">
        <is>
          <t>1597997:eng</t>
        </is>
      </c>
      <c r="AV601" t="inlineStr">
        <is>
          <t>551584</t>
        </is>
      </c>
      <c r="AW601" t="inlineStr">
        <is>
          <t>991002975459702656</t>
        </is>
      </c>
      <c r="AX601" t="inlineStr">
        <is>
          <t>991002975459702656</t>
        </is>
      </c>
      <c r="AY601" t="inlineStr">
        <is>
          <t>2257636490002656</t>
        </is>
      </c>
      <c r="AZ601" t="inlineStr">
        <is>
          <t>BOOK</t>
        </is>
      </c>
      <c r="BC601" t="inlineStr">
        <is>
          <t>32285001687861</t>
        </is>
      </c>
      <c r="BD601" t="inlineStr">
        <is>
          <t>893329789</t>
        </is>
      </c>
    </row>
    <row r="602">
      <c r="A602" t="inlineStr">
        <is>
          <t>No</t>
        </is>
      </c>
      <c r="B602" t="inlineStr">
        <is>
          <t>QH368 .C49</t>
        </is>
      </c>
      <c r="C602" t="inlineStr">
        <is>
          <t>0                      QH 0368000C  49</t>
        </is>
      </c>
      <c r="D602" t="inlineStr">
        <is>
          <t>The fossil evidence for human evolution : an introduction to the study of paleoanthropology.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Clark, Wilfrid E. Le Gros (Wilfrid Edward Le Gros), 1895-1971.</t>
        </is>
      </c>
      <c r="L602" t="inlineStr">
        <is>
          <t>Chicago : University of Chicago Press, [1955]</t>
        </is>
      </c>
      <c r="M602" t="inlineStr">
        <is>
          <t>1955</t>
        </is>
      </c>
      <c r="O602" t="inlineStr">
        <is>
          <t>eng</t>
        </is>
      </c>
      <c r="P602" t="inlineStr">
        <is>
          <t>ilu</t>
        </is>
      </c>
      <c r="Q602" t="inlineStr">
        <is>
          <t>The Scientist's library. Biology and medicine</t>
        </is>
      </c>
      <c r="R602" t="inlineStr">
        <is>
          <t xml:space="preserve">QH </t>
        </is>
      </c>
      <c r="S602" t="n">
        <v>2</v>
      </c>
      <c r="T602" t="n">
        <v>2</v>
      </c>
      <c r="U602" t="inlineStr">
        <is>
          <t>1996-01-31</t>
        </is>
      </c>
      <c r="V602" t="inlineStr">
        <is>
          <t>1996-01-31</t>
        </is>
      </c>
      <c r="W602" t="inlineStr">
        <is>
          <t>1993-11-19</t>
        </is>
      </c>
      <c r="X602" t="inlineStr">
        <is>
          <t>1993-11-19</t>
        </is>
      </c>
      <c r="Y602" t="n">
        <v>514</v>
      </c>
      <c r="Z602" t="n">
        <v>428</v>
      </c>
      <c r="AA602" t="n">
        <v>1143</v>
      </c>
      <c r="AB602" t="n">
        <v>5</v>
      </c>
      <c r="AC602" t="n">
        <v>10</v>
      </c>
      <c r="AD602" t="n">
        <v>19</v>
      </c>
      <c r="AE602" t="n">
        <v>38</v>
      </c>
      <c r="AF602" t="n">
        <v>3</v>
      </c>
      <c r="AG602" t="n">
        <v>12</v>
      </c>
      <c r="AH602" t="n">
        <v>4</v>
      </c>
      <c r="AI602" t="n">
        <v>8</v>
      </c>
      <c r="AJ602" t="n">
        <v>11</v>
      </c>
      <c r="AK602" t="n">
        <v>20</v>
      </c>
      <c r="AL602" t="n">
        <v>4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HYPERLINK("http://catalog.hathitrust.org/Record/001491840","HathiTrust Record")</f>
        <v/>
      </c>
      <c r="AS602">
        <f>HYPERLINK("https://creighton-primo.hosted.exlibrisgroup.com/primo-explore/search?tab=default_tab&amp;search_scope=EVERYTHING&amp;vid=01CRU&amp;lang=en_US&amp;offset=0&amp;query=any,contains,991005257489702656","Catalog Record")</f>
        <v/>
      </c>
      <c r="AT602">
        <f>HYPERLINK("http://www.worldcat.org/oclc/1227267","WorldCat Record")</f>
        <v/>
      </c>
      <c r="AU602" t="inlineStr">
        <is>
          <t>418025:eng</t>
        </is>
      </c>
      <c r="AV602" t="inlineStr">
        <is>
          <t>1227267</t>
        </is>
      </c>
      <c r="AW602" t="inlineStr">
        <is>
          <t>991005257489702656</t>
        </is>
      </c>
      <c r="AX602" t="inlineStr">
        <is>
          <t>991005257489702656</t>
        </is>
      </c>
      <c r="AY602" t="inlineStr">
        <is>
          <t>2268415690002656</t>
        </is>
      </c>
      <c r="AZ602" t="inlineStr">
        <is>
          <t>BOOK</t>
        </is>
      </c>
      <c r="BC602" t="inlineStr">
        <is>
          <t>32285001687853</t>
        </is>
      </c>
      <c r="BD602" t="inlineStr">
        <is>
          <t>893625713</t>
        </is>
      </c>
    </row>
    <row r="603">
      <c r="A603" t="inlineStr">
        <is>
          <t>No</t>
        </is>
      </c>
      <c r="B603" t="inlineStr">
        <is>
          <t>QH368 .D59 1969a</t>
        </is>
      </c>
      <c r="C603" t="inlineStr">
        <is>
          <t>0                      QH 0368000D  59          1969a</t>
        </is>
      </c>
      <c r="D603" t="inlineStr">
        <is>
          <t>The biology of ultimate concern / [by] Theodosius Dobzhansky.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Dobzhansky, Theodosius, 1900-1975.</t>
        </is>
      </c>
      <c r="L603" t="inlineStr">
        <is>
          <t>[New York] : World Publishing, [1969, c1967]</t>
        </is>
      </c>
      <c r="M603" t="inlineStr">
        <is>
          <t>1969</t>
        </is>
      </c>
      <c r="O603" t="inlineStr">
        <is>
          <t>eng</t>
        </is>
      </c>
      <c r="P603" t="inlineStr">
        <is>
          <t>nyu</t>
        </is>
      </c>
      <c r="Q603" t="inlineStr">
        <is>
          <t>A Meridian book</t>
        </is>
      </c>
      <c r="R603" t="inlineStr">
        <is>
          <t xml:space="preserve">QH </t>
        </is>
      </c>
      <c r="S603" t="n">
        <v>1</v>
      </c>
      <c r="T603" t="n">
        <v>1</v>
      </c>
      <c r="U603" t="inlineStr">
        <is>
          <t>2002-06-06</t>
        </is>
      </c>
      <c r="V603" t="inlineStr">
        <is>
          <t>2002-06-06</t>
        </is>
      </c>
      <c r="W603" t="inlineStr">
        <is>
          <t>1995-03-07</t>
        </is>
      </c>
      <c r="X603" t="inlineStr">
        <is>
          <t>1995-03-07</t>
        </is>
      </c>
      <c r="Y603" t="n">
        <v>58</v>
      </c>
      <c r="Z603" t="n">
        <v>54</v>
      </c>
      <c r="AA603" t="n">
        <v>841</v>
      </c>
      <c r="AB603" t="n">
        <v>2</v>
      </c>
      <c r="AC603" t="n">
        <v>8</v>
      </c>
      <c r="AD603" t="n">
        <v>3</v>
      </c>
      <c r="AE603" t="n">
        <v>38</v>
      </c>
      <c r="AF603" t="n">
        <v>0</v>
      </c>
      <c r="AG603" t="n">
        <v>14</v>
      </c>
      <c r="AH603" t="n">
        <v>0</v>
      </c>
      <c r="AI603" t="n">
        <v>6</v>
      </c>
      <c r="AJ603" t="n">
        <v>2</v>
      </c>
      <c r="AK603" t="n">
        <v>20</v>
      </c>
      <c r="AL603" t="n">
        <v>1</v>
      </c>
      <c r="AM603" t="n">
        <v>6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HYPERLINK("http://catalog.hathitrust.org/Record/002001037","HathiTrust Record")</f>
        <v/>
      </c>
      <c r="AS603">
        <f>HYPERLINK("https://creighton-primo.hosted.exlibrisgroup.com/primo-explore/search?tab=default_tab&amp;search_scope=EVERYTHING&amp;vid=01CRU&amp;lang=en_US&amp;offset=0&amp;query=any,contains,991003160389702656","Catalog Record")</f>
        <v/>
      </c>
      <c r="AT603">
        <f>HYPERLINK("http://www.worldcat.org/oclc/699592","WorldCat Record")</f>
        <v/>
      </c>
      <c r="AU603" t="inlineStr">
        <is>
          <t>835843616:eng</t>
        </is>
      </c>
      <c r="AV603" t="inlineStr">
        <is>
          <t>699592</t>
        </is>
      </c>
      <c r="AW603" t="inlineStr">
        <is>
          <t>991003160389702656</t>
        </is>
      </c>
      <c r="AX603" t="inlineStr">
        <is>
          <t>991003160389702656</t>
        </is>
      </c>
      <c r="AY603" t="inlineStr">
        <is>
          <t>2263052410002656</t>
        </is>
      </c>
      <c r="AZ603" t="inlineStr">
        <is>
          <t>BOOK</t>
        </is>
      </c>
      <c r="BB603" t="inlineStr">
        <is>
          <t>9780853911197</t>
        </is>
      </c>
      <c r="BC603" t="inlineStr">
        <is>
          <t>32285002011483</t>
        </is>
      </c>
      <c r="BD603" t="inlineStr">
        <is>
          <t>893780664</t>
        </is>
      </c>
    </row>
    <row r="604">
      <c r="A604" t="inlineStr">
        <is>
          <t>No</t>
        </is>
      </c>
      <c r="B604" t="inlineStr">
        <is>
          <t>QH368 .D6</t>
        </is>
      </c>
      <c r="C604" t="inlineStr">
        <is>
          <t>0                      QH 0368000D  6</t>
        </is>
      </c>
      <c r="D604" t="inlineStr">
        <is>
          <t>Mankind evolving : the evolution of the human species.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Dobzhansky, Theodosius, 1900-1975.</t>
        </is>
      </c>
      <c r="L604" t="inlineStr">
        <is>
          <t>New Haven : Yale University Press, 1962.</t>
        </is>
      </c>
      <c r="M604" t="inlineStr">
        <is>
          <t>1962</t>
        </is>
      </c>
      <c r="O604" t="inlineStr">
        <is>
          <t>eng</t>
        </is>
      </c>
      <c r="P604" t="inlineStr">
        <is>
          <t>ctu</t>
        </is>
      </c>
      <c r="Q604" t="inlineStr">
        <is>
          <t>Yale University. Mrs. Hepsa Ely Silliman memorial lectures</t>
        </is>
      </c>
      <c r="R604" t="inlineStr">
        <is>
          <t xml:space="preserve">QH </t>
        </is>
      </c>
      <c r="S604" t="n">
        <v>6</v>
      </c>
      <c r="T604" t="n">
        <v>6</v>
      </c>
      <c r="U604" t="inlineStr">
        <is>
          <t>2009-11-06</t>
        </is>
      </c>
      <c r="V604" t="inlineStr">
        <is>
          <t>2009-11-06</t>
        </is>
      </c>
      <c r="W604" t="inlineStr">
        <is>
          <t>1995-02-24</t>
        </is>
      </c>
      <c r="X604" t="inlineStr">
        <is>
          <t>1995-02-24</t>
        </is>
      </c>
      <c r="Y604" t="n">
        <v>1554</v>
      </c>
      <c r="Z604" t="n">
        <v>1334</v>
      </c>
      <c r="AA604" t="n">
        <v>1371</v>
      </c>
      <c r="AB604" t="n">
        <v>9</v>
      </c>
      <c r="AC604" t="n">
        <v>9</v>
      </c>
      <c r="AD604" t="n">
        <v>40</v>
      </c>
      <c r="AE604" t="n">
        <v>40</v>
      </c>
      <c r="AF604" t="n">
        <v>16</v>
      </c>
      <c r="AG604" t="n">
        <v>16</v>
      </c>
      <c r="AH604" t="n">
        <v>7</v>
      </c>
      <c r="AI604" t="n">
        <v>7</v>
      </c>
      <c r="AJ604" t="n">
        <v>21</v>
      </c>
      <c r="AK604" t="n">
        <v>21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No</t>
        </is>
      </c>
      <c r="AR604">
        <f>HYPERLINK("http://catalog.hathitrust.org/Record/001491847","HathiTrust Record")</f>
        <v/>
      </c>
      <c r="AS604">
        <f>HYPERLINK("https://creighton-primo.hosted.exlibrisgroup.com/primo-explore/search?tab=default_tab&amp;search_scope=EVERYTHING&amp;vid=01CRU&amp;lang=en_US&amp;offset=0&amp;query=any,contains,991002377859702656","Catalog Record")</f>
        <v/>
      </c>
      <c r="AT604">
        <f>HYPERLINK("http://www.worldcat.org/oclc/327651","WorldCat Record")</f>
        <v/>
      </c>
      <c r="AU604" t="inlineStr">
        <is>
          <t>1954239:eng</t>
        </is>
      </c>
      <c r="AV604" t="inlineStr">
        <is>
          <t>327651</t>
        </is>
      </c>
      <c r="AW604" t="inlineStr">
        <is>
          <t>991002377859702656</t>
        </is>
      </c>
      <c r="AX604" t="inlineStr">
        <is>
          <t>991002377859702656</t>
        </is>
      </c>
      <c r="AY604" t="inlineStr">
        <is>
          <t>2272743840002656</t>
        </is>
      </c>
      <c r="AZ604" t="inlineStr">
        <is>
          <t>BOOK</t>
        </is>
      </c>
      <c r="BC604" t="inlineStr">
        <is>
          <t>32285002010303</t>
        </is>
      </c>
      <c r="BD604" t="inlineStr">
        <is>
          <t>893892478</t>
        </is>
      </c>
    </row>
    <row r="605">
      <c r="A605" t="inlineStr">
        <is>
          <t>No</t>
        </is>
      </c>
      <c r="B605" t="inlineStr">
        <is>
          <t>QH368 .H638</t>
        </is>
      </c>
      <c r="C605" t="inlineStr">
        <is>
          <t>0                      QH 0368000H  638</t>
        </is>
      </c>
      <c r="D605" t="inlineStr">
        <is>
          <t>Early man / by F. Clark Howell and the editors of Life.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Howell, F. Clark (Francis Clark)</t>
        </is>
      </c>
      <c r="L605" t="inlineStr">
        <is>
          <t>New York : Time, inc., [1965]</t>
        </is>
      </c>
      <c r="M605" t="inlineStr">
        <is>
          <t>1965</t>
        </is>
      </c>
      <c r="O605" t="inlineStr">
        <is>
          <t>eng</t>
        </is>
      </c>
      <c r="P605" t="inlineStr">
        <is>
          <t>nyu</t>
        </is>
      </c>
      <c r="Q605" t="inlineStr">
        <is>
          <t>Life nature library</t>
        </is>
      </c>
      <c r="R605" t="inlineStr">
        <is>
          <t xml:space="preserve">QH </t>
        </is>
      </c>
      <c r="S605" t="n">
        <v>16</v>
      </c>
      <c r="T605" t="n">
        <v>16</v>
      </c>
      <c r="U605" t="inlineStr">
        <is>
          <t>1996-04-03</t>
        </is>
      </c>
      <c r="V605" t="inlineStr">
        <is>
          <t>1996-04-03</t>
        </is>
      </c>
      <c r="W605" t="inlineStr">
        <is>
          <t>1992-03-03</t>
        </is>
      </c>
      <c r="X605" t="inlineStr">
        <is>
          <t>1992-03-03</t>
        </is>
      </c>
      <c r="Y605" t="n">
        <v>1241</v>
      </c>
      <c r="Z605" t="n">
        <v>1162</v>
      </c>
      <c r="AA605" t="n">
        <v>1906</v>
      </c>
      <c r="AB605" t="n">
        <v>14</v>
      </c>
      <c r="AC605" t="n">
        <v>19</v>
      </c>
      <c r="AD605" t="n">
        <v>21</v>
      </c>
      <c r="AE605" t="n">
        <v>30</v>
      </c>
      <c r="AF605" t="n">
        <v>8</v>
      </c>
      <c r="AG605" t="n">
        <v>12</v>
      </c>
      <c r="AH605" t="n">
        <v>1</v>
      </c>
      <c r="AI605" t="n">
        <v>4</v>
      </c>
      <c r="AJ605" t="n">
        <v>13</v>
      </c>
      <c r="AK605" t="n">
        <v>15</v>
      </c>
      <c r="AL605" t="n">
        <v>4</v>
      </c>
      <c r="AM605" t="n">
        <v>5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HYPERLINK("http://catalog.hathitrust.org/Record/001286566","HathiTrust Record")</f>
        <v/>
      </c>
      <c r="AS605">
        <f>HYPERLINK("https://creighton-primo.hosted.exlibrisgroup.com/primo-explore/search?tab=default_tab&amp;search_scope=EVERYTHING&amp;vid=01CRU&amp;lang=en_US&amp;offset=0&amp;query=any,contains,991001919989702656","Catalog Record")</f>
        <v/>
      </c>
      <c r="AT605">
        <f>HYPERLINK("http://www.worldcat.org/oclc/244797","WorldCat Record")</f>
        <v/>
      </c>
      <c r="AU605" t="inlineStr">
        <is>
          <t>448297:eng</t>
        </is>
      </c>
      <c r="AV605" t="inlineStr">
        <is>
          <t>244797</t>
        </is>
      </c>
      <c r="AW605" t="inlineStr">
        <is>
          <t>991001919989702656</t>
        </is>
      </c>
      <c r="AX605" t="inlineStr">
        <is>
          <t>991001919989702656</t>
        </is>
      </c>
      <c r="AY605" t="inlineStr">
        <is>
          <t>2270146910002656</t>
        </is>
      </c>
      <c r="AZ605" t="inlineStr">
        <is>
          <t>BOOK</t>
        </is>
      </c>
      <c r="BC605" t="inlineStr">
        <is>
          <t>32285000979657</t>
        </is>
      </c>
      <c r="BD605" t="inlineStr">
        <is>
          <t>893346893</t>
        </is>
      </c>
    </row>
    <row r="606">
      <c r="A606" t="inlineStr">
        <is>
          <t>No</t>
        </is>
      </c>
      <c r="B606" t="inlineStr">
        <is>
          <t>QH368 .L48</t>
        </is>
      </c>
      <c r="C606" t="inlineStr">
        <is>
          <t>0                      QH 0368000L  48</t>
        </is>
      </c>
      <c r="D606" t="inlineStr">
        <is>
          <t>Unveiling man's origins : ten decades of thought about human evolution / by L. S. B. Leakey and Vanne Morris Goodall.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Leakey, L. S. B. (Louis Seymour Bazett), 1903-1972.</t>
        </is>
      </c>
      <c r="L606" t="inlineStr">
        <is>
          <t>Cambridge, Mass. : Schenkman Pub. Co., [1969]</t>
        </is>
      </c>
      <c r="M606" t="inlineStr">
        <is>
          <t>1969</t>
        </is>
      </c>
      <c r="O606" t="inlineStr">
        <is>
          <t>eng</t>
        </is>
      </c>
      <c r="P606" t="inlineStr">
        <is>
          <t>mau</t>
        </is>
      </c>
      <c r="R606" t="inlineStr">
        <is>
          <t xml:space="preserve">QH </t>
        </is>
      </c>
      <c r="S606" t="n">
        <v>13</v>
      </c>
      <c r="T606" t="n">
        <v>13</v>
      </c>
      <c r="U606" t="inlineStr">
        <is>
          <t>1998-12-16</t>
        </is>
      </c>
      <c r="V606" t="inlineStr">
        <is>
          <t>1998-12-16</t>
        </is>
      </c>
      <c r="W606" t="inlineStr">
        <is>
          <t>1993-11-19</t>
        </is>
      </c>
      <c r="X606" t="inlineStr">
        <is>
          <t>1993-11-19</t>
        </is>
      </c>
      <c r="Y606" t="n">
        <v>640</v>
      </c>
      <c r="Z606" t="n">
        <v>583</v>
      </c>
      <c r="AA606" t="n">
        <v>629</v>
      </c>
      <c r="AB606" t="n">
        <v>6</v>
      </c>
      <c r="AC606" t="n">
        <v>6</v>
      </c>
      <c r="AD606" t="n">
        <v>22</v>
      </c>
      <c r="AE606" t="n">
        <v>22</v>
      </c>
      <c r="AF606" t="n">
        <v>7</v>
      </c>
      <c r="AG606" t="n">
        <v>7</v>
      </c>
      <c r="AH606" t="n">
        <v>5</v>
      </c>
      <c r="AI606" t="n">
        <v>5</v>
      </c>
      <c r="AJ606" t="n">
        <v>10</v>
      </c>
      <c r="AK606" t="n">
        <v>10</v>
      </c>
      <c r="AL606" t="n">
        <v>4</v>
      </c>
      <c r="AM606" t="n">
        <v>4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HYPERLINK("http://catalog.hathitrust.org/Record/001491867","HathiTrust Record")</f>
        <v/>
      </c>
      <c r="AS606">
        <f>HYPERLINK("https://creighton-primo.hosted.exlibrisgroup.com/primo-explore/search?tab=default_tab&amp;search_scope=EVERYTHING&amp;vid=01CRU&amp;lang=en_US&amp;offset=0&amp;query=any,contains,991000099299702656","Catalog Record")</f>
        <v/>
      </c>
      <c r="AT606">
        <f>HYPERLINK("http://www.worldcat.org/oclc/44344","WorldCat Record")</f>
        <v/>
      </c>
      <c r="AU606" t="inlineStr">
        <is>
          <t>855402791:eng</t>
        </is>
      </c>
      <c r="AV606" t="inlineStr">
        <is>
          <t>44344</t>
        </is>
      </c>
      <c r="AW606" t="inlineStr">
        <is>
          <t>991000099299702656</t>
        </is>
      </c>
      <c r="AX606" t="inlineStr">
        <is>
          <t>991000099299702656</t>
        </is>
      </c>
      <c r="AY606" t="inlineStr">
        <is>
          <t>2260990200002656</t>
        </is>
      </c>
      <c r="AZ606" t="inlineStr">
        <is>
          <t>BOOK</t>
        </is>
      </c>
      <c r="BC606" t="inlineStr">
        <is>
          <t>32285001687838</t>
        </is>
      </c>
      <c r="BD606" t="inlineStr">
        <is>
          <t>893796405</t>
        </is>
      </c>
    </row>
    <row r="607">
      <c r="A607" t="inlineStr">
        <is>
          <t>No</t>
        </is>
      </c>
      <c r="B607" t="inlineStr">
        <is>
          <t>QH368 .P43 1969</t>
        </is>
      </c>
      <c r="C607" t="inlineStr">
        <is>
          <t>0                      QH 0368000P  43          1969</t>
        </is>
      </c>
      <c r="D607" t="inlineStr">
        <is>
          <t>The emergence of man / [by] John E. Pfeiffer.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Pfeiffer, John E., 1914-1999.</t>
        </is>
      </c>
      <c r="L607" t="inlineStr">
        <is>
          <t>New York : Harper &amp; Row, [1969]</t>
        </is>
      </c>
      <c r="M607" t="inlineStr">
        <is>
          <t>1969</t>
        </is>
      </c>
      <c r="N607" t="inlineStr">
        <is>
          <t>[1st ed.]</t>
        </is>
      </c>
      <c r="O607" t="inlineStr">
        <is>
          <t>eng</t>
        </is>
      </c>
      <c r="P607" t="inlineStr">
        <is>
          <t>nyu</t>
        </is>
      </c>
      <c r="R607" t="inlineStr">
        <is>
          <t xml:space="preserve">QH </t>
        </is>
      </c>
      <c r="S607" t="n">
        <v>13</v>
      </c>
      <c r="T607" t="n">
        <v>13</v>
      </c>
      <c r="U607" t="inlineStr">
        <is>
          <t>1996-04-03</t>
        </is>
      </c>
      <c r="V607" t="inlineStr">
        <is>
          <t>1996-04-03</t>
        </is>
      </c>
      <c r="W607" t="inlineStr">
        <is>
          <t>1993-10-18</t>
        </is>
      </c>
      <c r="X607" t="inlineStr">
        <is>
          <t>1993-10-18</t>
        </is>
      </c>
      <c r="Y607" t="n">
        <v>1085</v>
      </c>
      <c r="Z607" t="n">
        <v>982</v>
      </c>
      <c r="AA607" t="n">
        <v>1481</v>
      </c>
      <c r="AB607" t="n">
        <v>7</v>
      </c>
      <c r="AC607" t="n">
        <v>11</v>
      </c>
      <c r="AD607" t="n">
        <v>29</v>
      </c>
      <c r="AE607" t="n">
        <v>43</v>
      </c>
      <c r="AF607" t="n">
        <v>11</v>
      </c>
      <c r="AG607" t="n">
        <v>19</v>
      </c>
      <c r="AH607" t="n">
        <v>7</v>
      </c>
      <c r="AI607" t="n">
        <v>9</v>
      </c>
      <c r="AJ607" t="n">
        <v>15</v>
      </c>
      <c r="AK607" t="n">
        <v>19</v>
      </c>
      <c r="AL607" t="n">
        <v>4</v>
      </c>
      <c r="AM607" t="n">
        <v>7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HYPERLINK("http://catalog.hathitrust.org/Record/000818661","HathiTrust Record")</f>
        <v/>
      </c>
      <c r="AS607">
        <f>HYPERLINK("https://creighton-primo.hosted.exlibrisgroup.com/primo-explore/search?tab=default_tab&amp;search_scope=EVERYTHING&amp;vid=01CRU&amp;lang=en_US&amp;offset=0&amp;query=any,contains,991000064689702656","Catalog Record")</f>
        <v/>
      </c>
      <c r="AT607">
        <f>HYPERLINK("http://www.worldcat.org/oclc/26199","WorldCat Record")</f>
        <v/>
      </c>
      <c r="AU607" t="inlineStr">
        <is>
          <t>1165676:eng</t>
        </is>
      </c>
      <c r="AV607" t="inlineStr">
        <is>
          <t>26199</t>
        </is>
      </c>
      <c r="AW607" t="inlineStr">
        <is>
          <t>991000064689702656</t>
        </is>
      </c>
      <c r="AX607" t="inlineStr">
        <is>
          <t>991000064689702656</t>
        </is>
      </c>
      <c r="AY607" t="inlineStr">
        <is>
          <t>2265637690002656</t>
        </is>
      </c>
      <c r="AZ607" t="inlineStr">
        <is>
          <t>BOOK</t>
        </is>
      </c>
      <c r="BC607" t="inlineStr">
        <is>
          <t>32285001793644</t>
        </is>
      </c>
      <c r="BD607" t="inlineStr">
        <is>
          <t>893896586</t>
        </is>
      </c>
    </row>
    <row r="608">
      <c r="A608" t="inlineStr">
        <is>
          <t>No</t>
        </is>
      </c>
      <c r="B608" t="inlineStr">
        <is>
          <t>QH368 .Y68</t>
        </is>
      </c>
      <c r="C608" t="inlineStr">
        <is>
          <t>0                      QH 0368000Y  68</t>
        </is>
      </c>
      <c r="D608" t="inlineStr">
        <is>
          <t>Evolution of man / prepared by American Foundation for Continuing Education. Edited by Louise B. Young.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Young, Louise B., compiler.</t>
        </is>
      </c>
      <c r="L608" t="inlineStr">
        <is>
          <t>New York : Oxford University Press, 1970.</t>
        </is>
      </c>
      <c r="M608" t="inlineStr">
        <is>
          <t>1970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QH </t>
        </is>
      </c>
      <c r="S608" t="n">
        <v>7</v>
      </c>
      <c r="T608" t="n">
        <v>7</v>
      </c>
      <c r="U608" t="inlineStr">
        <is>
          <t>2003-06-03</t>
        </is>
      </c>
      <c r="V608" t="inlineStr">
        <is>
          <t>2003-06-03</t>
        </is>
      </c>
      <c r="W608" t="inlineStr">
        <is>
          <t>1995-03-07</t>
        </is>
      </c>
      <c r="X608" t="inlineStr">
        <is>
          <t>1995-03-07</t>
        </is>
      </c>
      <c r="Y608" t="n">
        <v>707</v>
      </c>
      <c r="Z608" t="n">
        <v>650</v>
      </c>
      <c r="AA608" t="n">
        <v>656</v>
      </c>
      <c r="AB608" t="n">
        <v>5</v>
      </c>
      <c r="AC608" t="n">
        <v>5</v>
      </c>
      <c r="AD608" t="n">
        <v>21</v>
      </c>
      <c r="AE608" t="n">
        <v>21</v>
      </c>
      <c r="AF608" t="n">
        <v>7</v>
      </c>
      <c r="AG608" t="n">
        <v>7</v>
      </c>
      <c r="AH608" t="n">
        <v>3</v>
      </c>
      <c r="AI608" t="n">
        <v>3</v>
      </c>
      <c r="AJ608" t="n">
        <v>11</v>
      </c>
      <c r="AK608" t="n">
        <v>11</v>
      </c>
      <c r="AL608" t="n">
        <v>4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HYPERLINK("https://creighton-primo.hosted.exlibrisgroup.com/primo-explore/search?tab=default_tab&amp;search_scope=EVERYTHING&amp;vid=01CRU&amp;lang=en_US&amp;offset=0&amp;query=any,contains,991000200189702656","Catalog Record")</f>
        <v/>
      </c>
      <c r="AT608">
        <f>HYPERLINK("http://www.worldcat.org/oclc/64412","WorldCat Record")</f>
        <v/>
      </c>
      <c r="AU608" t="inlineStr">
        <is>
          <t>3943939648:eng</t>
        </is>
      </c>
      <c r="AV608" t="inlineStr">
        <is>
          <t>64412</t>
        </is>
      </c>
      <c r="AW608" t="inlineStr">
        <is>
          <t>991000200189702656</t>
        </is>
      </c>
      <c r="AX608" t="inlineStr">
        <is>
          <t>991000200189702656</t>
        </is>
      </c>
      <c r="AY608" t="inlineStr">
        <is>
          <t>2255505630002656</t>
        </is>
      </c>
      <c r="AZ608" t="inlineStr">
        <is>
          <t>BOOK</t>
        </is>
      </c>
      <c r="BC608" t="inlineStr">
        <is>
          <t>32285002011475</t>
        </is>
      </c>
      <c r="BD608" t="inlineStr">
        <is>
          <t>893243073</t>
        </is>
      </c>
    </row>
    <row r="609">
      <c r="A609" t="inlineStr">
        <is>
          <t>No</t>
        </is>
      </c>
      <c r="B609" t="inlineStr">
        <is>
          <t>QH369 .G4</t>
        </is>
      </c>
      <c r="C609" t="inlineStr">
        <is>
          <t>0                      QH 0369000G  4</t>
        </is>
      </c>
      <c r="D609" t="inlineStr">
        <is>
          <t>Evolution : the fossils say no! / Duane T. Gish. --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Gish, Duane T.</t>
        </is>
      </c>
      <c r="L609" t="inlineStr">
        <is>
          <t>San Diego, Ca. : Creation-Life Publishers, [1978]</t>
        </is>
      </c>
      <c r="M609" t="inlineStr">
        <is>
          <t>1978</t>
        </is>
      </c>
      <c r="N609" t="inlineStr">
        <is>
          <t>Public school ed.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QH </t>
        </is>
      </c>
      <c r="S609" t="n">
        <v>5</v>
      </c>
      <c r="T609" t="n">
        <v>5</v>
      </c>
      <c r="U609" t="inlineStr">
        <is>
          <t>1997-02-02</t>
        </is>
      </c>
      <c r="V609" t="inlineStr">
        <is>
          <t>1997-02-02</t>
        </is>
      </c>
      <c r="W609" t="inlineStr">
        <is>
          <t>1993-04-05</t>
        </is>
      </c>
      <c r="X609" t="inlineStr">
        <is>
          <t>1993-04-05</t>
        </is>
      </c>
      <c r="Y609" t="n">
        <v>559</v>
      </c>
      <c r="Z609" t="n">
        <v>548</v>
      </c>
      <c r="AA609" t="n">
        <v>810</v>
      </c>
      <c r="AB609" t="n">
        <v>8</v>
      </c>
      <c r="AC609" t="n">
        <v>13</v>
      </c>
      <c r="AD609" t="n">
        <v>14</v>
      </c>
      <c r="AE609" t="n">
        <v>23</v>
      </c>
      <c r="AF609" t="n">
        <v>3</v>
      </c>
      <c r="AG609" t="n">
        <v>5</v>
      </c>
      <c r="AH609" t="n">
        <v>2</v>
      </c>
      <c r="AI609" t="n">
        <v>4</v>
      </c>
      <c r="AJ609" t="n">
        <v>6</v>
      </c>
      <c r="AK609" t="n">
        <v>9</v>
      </c>
      <c r="AL609" t="n">
        <v>5</v>
      </c>
      <c r="AM609" t="n">
        <v>8</v>
      </c>
      <c r="AN609" t="n">
        <v>0</v>
      </c>
      <c r="AO609" t="n">
        <v>1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HYPERLINK("http://catalog.hathitrust.org/Record/004395116","HathiTrust Record")</f>
        <v/>
      </c>
      <c r="AS609">
        <f>HYPERLINK("https://creighton-primo.hosted.exlibrisgroup.com/primo-explore/search?tab=default_tab&amp;search_scope=EVERYTHING&amp;vid=01CRU&amp;lang=en_US&amp;offset=0&amp;query=any,contains,991004619069702656","Catalog Record")</f>
        <v/>
      </c>
      <c r="AT609">
        <f>HYPERLINK("http://www.worldcat.org/oclc/5414666","WorldCat Record")</f>
        <v/>
      </c>
      <c r="AU609" t="inlineStr">
        <is>
          <t>546964:eng</t>
        </is>
      </c>
      <c r="AV609" t="inlineStr">
        <is>
          <t>5414666</t>
        </is>
      </c>
      <c r="AW609" t="inlineStr">
        <is>
          <t>991004619069702656</t>
        </is>
      </c>
      <c r="AX609" t="inlineStr">
        <is>
          <t>991004619069702656</t>
        </is>
      </c>
      <c r="AY609" t="inlineStr">
        <is>
          <t>2263107270002656</t>
        </is>
      </c>
      <c r="AZ609" t="inlineStr">
        <is>
          <t>BOOK</t>
        </is>
      </c>
      <c r="BB609" t="inlineStr">
        <is>
          <t>9780890510469</t>
        </is>
      </c>
      <c r="BC609" t="inlineStr">
        <is>
          <t>32285001553972</t>
        </is>
      </c>
      <c r="BD609" t="inlineStr">
        <is>
          <t>893600038</t>
        </is>
      </c>
    </row>
    <row r="610">
      <c r="A610" t="inlineStr">
        <is>
          <t>No</t>
        </is>
      </c>
      <c r="B610" t="inlineStr">
        <is>
          <t>QH369 .M12</t>
        </is>
      </c>
      <c r="C610" t="inlineStr">
        <is>
          <t>0                      QH 0369000M  12</t>
        </is>
      </c>
      <c r="D610" t="inlineStr">
        <is>
          <t>Darwin retried : an appeal to reason.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Macbeth, Norman, 1910-</t>
        </is>
      </c>
      <c r="L610" t="inlineStr">
        <is>
          <t>Boston : Gambit, 1971.</t>
        </is>
      </c>
      <c r="M610" t="inlineStr">
        <is>
          <t>1971</t>
        </is>
      </c>
      <c r="O610" t="inlineStr">
        <is>
          <t>eng</t>
        </is>
      </c>
      <c r="P610" t="inlineStr">
        <is>
          <t>mau</t>
        </is>
      </c>
      <c r="R610" t="inlineStr">
        <is>
          <t xml:space="preserve">QH </t>
        </is>
      </c>
      <c r="S610" t="n">
        <v>8</v>
      </c>
      <c r="T610" t="n">
        <v>8</v>
      </c>
      <c r="U610" t="inlineStr">
        <is>
          <t>1997-03-17</t>
        </is>
      </c>
      <c r="V610" t="inlineStr">
        <is>
          <t>1997-03-17</t>
        </is>
      </c>
      <c r="W610" t="inlineStr">
        <is>
          <t>1993-10-25</t>
        </is>
      </c>
      <c r="X610" t="inlineStr">
        <is>
          <t>1993-10-25</t>
        </is>
      </c>
      <c r="Y610" t="n">
        <v>565</v>
      </c>
      <c r="Z610" t="n">
        <v>488</v>
      </c>
      <c r="AA610" t="n">
        <v>573</v>
      </c>
      <c r="AB610" t="n">
        <v>7</v>
      </c>
      <c r="AC610" t="n">
        <v>8</v>
      </c>
      <c r="AD610" t="n">
        <v>17</v>
      </c>
      <c r="AE610" t="n">
        <v>18</v>
      </c>
      <c r="AF610" t="n">
        <v>4</v>
      </c>
      <c r="AG610" t="n">
        <v>5</v>
      </c>
      <c r="AH610" t="n">
        <v>2</v>
      </c>
      <c r="AI610" t="n">
        <v>2</v>
      </c>
      <c r="AJ610" t="n">
        <v>9</v>
      </c>
      <c r="AK610" t="n">
        <v>9</v>
      </c>
      <c r="AL610" t="n">
        <v>5</v>
      </c>
      <c r="AM610" t="n">
        <v>5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HYPERLINK("http://catalog.hathitrust.org/Record/001491919","HathiTrust Record")</f>
        <v/>
      </c>
      <c r="AS610">
        <f>HYPERLINK("https://creighton-primo.hosted.exlibrisgroup.com/primo-explore/search?tab=default_tab&amp;search_scope=EVERYTHING&amp;vid=01CRU&amp;lang=en_US&amp;offset=0&amp;query=any,contains,991002111259702656","Catalog Record")</f>
        <v/>
      </c>
      <c r="AT610">
        <f>HYPERLINK("http://www.worldcat.org/oclc/267301","WorldCat Record")</f>
        <v/>
      </c>
      <c r="AU610" t="inlineStr">
        <is>
          <t>574222:eng</t>
        </is>
      </c>
      <c r="AV610" t="inlineStr">
        <is>
          <t>267301</t>
        </is>
      </c>
      <c r="AW610" t="inlineStr">
        <is>
          <t>991002111259702656</t>
        </is>
      </c>
      <c r="AX610" t="inlineStr">
        <is>
          <t>991002111259702656</t>
        </is>
      </c>
      <c r="AY610" t="inlineStr">
        <is>
          <t>2268908970002656</t>
        </is>
      </c>
      <c r="AZ610" t="inlineStr">
        <is>
          <t>BOOK</t>
        </is>
      </c>
      <c r="BB610" t="inlineStr">
        <is>
          <t>9780876450482</t>
        </is>
      </c>
      <c r="BC610" t="inlineStr">
        <is>
          <t>32285001794634</t>
        </is>
      </c>
      <c r="BD610" t="inlineStr">
        <is>
          <t>893256898</t>
        </is>
      </c>
    </row>
    <row r="611">
      <c r="A611" t="inlineStr">
        <is>
          <t>No</t>
        </is>
      </c>
      <c r="B611" t="inlineStr">
        <is>
          <t>QH369 .S5</t>
        </is>
      </c>
      <c r="C611" t="inlineStr">
        <is>
          <t>0                      QH 0369000S  5</t>
        </is>
      </c>
      <c r="D611" t="inlineStr">
        <is>
          <t>This view of life; the world of an evolutionist.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Simpson, George Gaylord, 1902-1984.</t>
        </is>
      </c>
      <c r="L611" t="inlineStr">
        <is>
          <t>New York, Harcourt, Brace &amp; World [1964]</t>
        </is>
      </c>
      <c r="M611" t="inlineStr">
        <is>
          <t>1964</t>
        </is>
      </c>
      <c r="N611" t="inlineStr">
        <is>
          <t>[1st ed.]</t>
        </is>
      </c>
      <c r="O611" t="inlineStr">
        <is>
          <t>eng</t>
        </is>
      </c>
      <c r="P611" t="inlineStr">
        <is>
          <t>nyu</t>
        </is>
      </c>
      <c r="R611" t="inlineStr">
        <is>
          <t xml:space="preserve">QH </t>
        </is>
      </c>
      <c r="S611" t="n">
        <v>1</v>
      </c>
      <c r="T611" t="n">
        <v>1</v>
      </c>
      <c r="U611" t="inlineStr">
        <is>
          <t>2006-11-27</t>
        </is>
      </c>
      <c r="V611" t="inlineStr">
        <is>
          <t>2006-11-27</t>
        </is>
      </c>
      <c r="W611" t="inlineStr">
        <is>
          <t>1997-07-01</t>
        </is>
      </c>
      <c r="X611" t="inlineStr">
        <is>
          <t>1997-07-01</t>
        </is>
      </c>
      <c r="Y611" t="n">
        <v>883</v>
      </c>
      <c r="Z611" t="n">
        <v>779</v>
      </c>
      <c r="AA611" t="n">
        <v>790</v>
      </c>
      <c r="AB611" t="n">
        <v>7</v>
      </c>
      <c r="AC611" t="n">
        <v>7</v>
      </c>
      <c r="AD611" t="n">
        <v>34</v>
      </c>
      <c r="AE611" t="n">
        <v>35</v>
      </c>
      <c r="AF611" t="n">
        <v>12</v>
      </c>
      <c r="AG611" t="n">
        <v>13</v>
      </c>
      <c r="AH611" t="n">
        <v>7</v>
      </c>
      <c r="AI611" t="n">
        <v>7</v>
      </c>
      <c r="AJ611" t="n">
        <v>16</v>
      </c>
      <c r="AK611" t="n">
        <v>16</v>
      </c>
      <c r="AL611" t="n">
        <v>6</v>
      </c>
      <c r="AM611" t="n">
        <v>6</v>
      </c>
      <c r="AN611" t="n">
        <v>1</v>
      </c>
      <c r="AO611" t="n">
        <v>1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HYPERLINK("http://catalog.hathitrust.org/Record/001491923","HathiTrust Record")</f>
        <v/>
      </c>
      <c r="AS611">
        <f>HYPERLINK("https://creighton-primo.hosted.exlibrisgroup.com/primo-explore/search?tab=default_tab&amp;search_scope=EVERYTHING&amp;vid=01CRU&amp;lang=en_US&amp;offset=0&amp;query=any,contains,991001428439702656","Catalog Record")</f>
        <v/>
      </c>
      <c r="AT611">
        <f>HYPERLINK("http://www.worldcat.org/oclc/230986","WorldCat Record")</f>
        <v/>
      </c>
      <c r="AU611" t="inlineStr">
        <is>
          <t>288889141:eng</t>
        </is>
      </c>
      <c r="AV611" t="inlineStr">
        <is>
          <t>230986</t>
        </is>
      </c>
      <c r="AW611" t="inlineStr">
        <is>
          <t>991001428439702656</t>
        </is>
      </c>
      <c r="AX611" t="inlineStr">
        <is>
          <t>991001428439702656</t>
        </is>
      </c>
      <c r="AY611" t="inlineStr">
        <is>
          <t>2269418600002656</t>
        </is>
      </c>
      <c r="AZ611" t="inlineStr">
        <is>
          <t>BOOK</t>
        </is>
      </c>
      <c r="BC611" t="inlineStr">
        <is>
          <t>32285002869955</t>
        </is>
      </c>
      <c r="BD611" t="inlineStr">
        <is>
          <t>893516192</t>
        </is>
      </c>
    </row>
    <row r="612">
      <c r="A612" t="inlineStr">
        <is>
          <t>No</t>
        </is>
      </c>
      <c r="B612" t="inlineStr">
        <is>
          <t>QH369 .W64 1965a</t>
        </is>
      </c>
      <c r="C612" t="inlineStr">
        <is>
          <t>0                      QH 0369000W  64          1965a</t>
        </is>
      </c>
      <c r="D612" t="inlineStr">
        <is>
          <t>Internal factors in evolution.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Whyte, Lancelot Law, 1896-1972.</t>
        </is>
      </c>
      <c r="L612" t="inlineStr">
        <is>
          <t>London : Tavistock Publications, [1965]</t>
        </is>
      </c>
      <c r="M612" t="inlineStr">
        <is>
          <t>1965</t>
        </is>
      </c>
      <c r="O612" t="inlineStr">
        <is>
          <t>eng</t>
        </is>
      </c>
      <c r="P612" t="inlineStr">
        <is>
          <t>enk</t>
        </is>
      </c>
      <c r="Q612" t="inlineStr">
        <is>
          <t>Social science paperbacks</t>
        </is>
      </c>
      <c r="R612" t="inlineStr">
        <is>
          <t xml:space="preserve">QH </t>
        </is>
      </c>
      <c r="S612" t="n">
        <v>6</v>
      </c>
      <c r="T612" t="n">
        <v>6</v>
      </c>
      <c r="U612" t="inlineStr">
        <is>
          <t>1996-03-27</t>
        </is>
      </c>
      <c r="V612" t="inlineStr">
        <is>
          <t>1996-03-27</t>
        </is>
      </c>
      <c r="W612" t="inlineStr">
        <is>
          <t>1994-03-08</t>
        </is>
      </c>
      <c r="X612" t="inlineStr">
        <is>
          <t>1994-03-08</t>
        </is>
      </c>
      <c r="Y612" t="n">
        <v>89</v>
      </c>
      <c r="Z612" t="n">
        <v>17</v>
      </c>
      <c r="AA612" t="n">
        <v>367</v>
      </c>
      <c r="AB612" t="n">
        <v>1</v>
      </c>
      <c r="AC612" t="n">
        <v>3</v>
      </c>
      <c r="AD612" t="n">
        <v>1</v>
      </c>
      <c r="AE612" t="n">
        <v>13</v>
      </c>
      <c r="AF612" t="n">
        <v>0</v>
      </c>
      <c r="AG612" t="n">
        <v>3</v>
      </c>
      <c r="AH612" t="n">
        <v>0</v>
      </c>
      <c r="AI612" t="n">
        <v>3</v>
      </c>
      <c r="AJ612" t="n">
        <v>1</v>
      </c>
      <c r="AK612" t="n">
        <v>7</v>
      </c>
      <c r="AL612" t="n">
        <v>0</v>
      </c>
      <c r="AM612" t="n">
        <v>2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HYPERLINK("https://creighton-primo.hosted.exlibrisgroup.com/primo-explore/search?tab=default_tab&amp;search_scope=EVERYTHING&amp;vid=01CRU&amp;lang=en_US&amp;offset=0&amp;query=any,contains,991000359739702656","Catalog Record")</f>
        <v/>
      </c>
      <c r="AT612">
        <f>HYPERLINK("http://www.worldcat.org/oclc/10351060","WorldCat Record")</f>
        <v/>
      </c>
      <c r="AU612" t="inlineStr">
        <is>
          <t>1964711:eng</t>
        </is>
      </c>
      <c r="AV612" t="inlineStr">
        <is>
          <t>10351060</t>
        </is>
      </c>
      <c r="AW612" t="inlineStr">
        <is>
          <t>991000359739702656</t>
        </is>
      </c>
      <c r="AX612" t="inlineStr">
        <is>
          <t>991000359739702656</t>
        </is>
      </c>
      <c r="AY612" t="inlineStr">
        <is>
          <t>2256524780002656</t>
        </is>
      </c>
      <c r="AZ612" t="inlineStr">
        <is>
          <t>BOOK</t>
        </is>
      </c>
      <c r="BC612" t="inlineStr">
        <is>
          <t>32285001851632</t>
        </is>
      </c>
      <c r="BD612" t="inlineStr">
        <is>
          <t>893720654</t>
        </is>
      </c>
    </row>
    <row r="613">
      <c r="A613" t="inlineStr">
        <is>
          <t>No</t>
        </is>
      </c>
      <c r="B613" t="inlineStr">
        <is>
          <t>QH371 .A77</t>
        </is>
      </c>
      <c r="C613" t="inlineStr">
        <is>
          <t>0                      QH 0371000A  77</t>
        </is>
      </c>
      <c r="D613" t="inlineStr">
        <is>
          <t>Artificial selection and the development of evolutionary theory / edited by Carl Jay Bajema.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L613" t="inlineStr">
        <is>
          <t>Stroudsburg, Pa. : Hutchinson Ross, c1982.</t>
        </is>
      </c>
      <c r="M613" t="inlineStr">
        <is>
          <t>1982</t>
        </is>
      </c>
      <c r="O613" t="inlineStr">
        <is>
          <t>eng</t>
        </is>
      </c>
      <c r="P613" t="inlineStr">
        <is>
          <t>pau</t>
        </is>
      </c>
      <c r="Q613" t="inlineStr">
        <is>
          <t>Benchmark papers in systematic and evolutionary biology ; 4</t>
        </is>
      </c>
      <c r="R613" t="inlineStr">
        <is>
          <t xml:space="preserve">QH </t>
        </is>
      </c>
      <c r="S613" t="n">
        <v>7</v>
      </c>
      <c r="T613" t="n">
        <v>7</v>
      </c>
      <c r="U613" t="inlineStr">
        <is>
          <t>1997-03-31</t>
        </is>
      </c>
      <c r="V613" t="inlineStr">
        <is>
          <t>1997-03-31</t>
        </is>
      </c>
      <c r="W613" t="inlineStr">
        <is>
          <t>1993-04-05</t>
        </is>
      </c>
      <c r="X613" t="inlineStr">
        <is>
          <t>1993-04-05</t>
        </is>
      </c>
      <c r="Y613" t="n">
        <v>237</v>
      </c>
      <c r="Z613" t="n">
        <v>181</v>
      </c>
      <c r="AA613" t="n">
        <v>186</v>
      </c>
      <c r="AB613" t="n">
        <v>4</v>
      </c>
      <c r="AC613" t="n">
        <v>4</v>
      </c>
      <c r="AD613" t="n">
        <v>5</v>
      </c>
      <c r="AE613" t="n">
        <v>5</v>
      </c>
      <c r="AF613" t="n">
        <v>0</v>
      </c>
      <c r="AG613" t="n">
        <v>0</v>
      </c>
      <c r="AH613" t="n">
        <v>2</v>
      </c>
      <c r="AI613" t="n">
        <v>2</v>
      </c>
      <c r="AJ613" t="n">
        <v>1</v>
      </c>
      <c r="AK613" t="n">
        <v>1</v>
      </c>
      <c r="AL613" t="n">
        <v>3</v>
      </c>
      <c r="AM613" t="n">
        <v>3</v>
      </c>
      <c r="AN613" t="n">
        <v>0</v>
      </c>
      <c r="AO613" t="n">
        <v>0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HYPERLINK("https://creighton-primo.hosted.exlibrisgroup.com/primo-explore/search?tab=default_tab&amp;search_scope=EVERYTHING&amp;vid=01CRU&amp;lang=en_US&amp;offset=0&amp;query=any,contains,991004916419702656","Catalog Record")</f>
        <v/>
      </c>
      <c r="AT613">
        <f>HYPERLINK("http://www.worldcat.org/oclc/6016516","WorldCat Record")</f>
        <v/>
      </c>
      <c r="AU613" t="inlineStr">
        <is>
          <t>20688519:eng</t>
        </is>
      </c>
      <c r="AV613" t="inlineStr">
        <is>
          <t>6016516</t>
        </is>
      </c>
      <c r="AW613" t="inlineStr">
        <is>
          <t>991004916419702656</t>
        </is>
      </c>
      <c r="AX613" t="inlineStr">
        <is>
          <t>991004916419702656</t>
        </is>
      </c>
      <c r="AY613" t="inlineStr">
        <is>
          <t>2270638960002656</t>
        </is>
      </c>
      <c r="AZ613" t="inlineStr">
        <is>
          <t>BOOK</t>
        </is>
      </c>
      <c r="BB613" t="inlineStr">
        <is>
          <t>9780879333690</t>
        </is>
      </c>
      <c r="BC613" t="inlineStr">
        <is>
          <t>32285001553980</t>
        </is>
      </c>
      <c r="BD613" t="inlineStr">
        <is>
          <t>893344399</t>
        </is>
      </c>
    </row>
    <row r="614">
      <c r="A614" t="inlineStr">
        <is>
          <t>No</t>
        </is>
      </c>
      <c r="B614" t="inlineStr">
        <is>
          <t>QH371 .B35 1985</t>
        </is>
      </c>
      <c r="C614" t="inlineStr">
        <is>
          <t>0                      QH 0371000B  35          1985</t>
        </is>
      </c>
      <c r="D614" t="inlineStr">
        <is>
          <t>The semantic theory of evolution / Marcello Barbieri ; with a foreword by René Thom.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Barbieri, Marcello.</t>
        </is>
      </c>
      <c r="L614" t="inlineStr">
        <is>
          <t>Chur, Switzerland ; New York : Harwood Academic Publishers, c1985, 1987 printing.</t>
        </is>
      </c>
      <c r="M614" t="inlineStr">
        <is>
          <t>1985</t>
        </is>
      </c>
      <c r="O614" t="inlineStr">
        <is>
          <t>eng</t>
        </is>
      </c>
      <c r="P614" t="inlineStr">
        <is>
          <t xml:space="preserve">sz </t>
        </is>
      </c>
      <c r="Q614" t="inlineStr">
        <is>
          <t>Models of scientific thought, 0736-5268 ; v. 2</t>
        </is>
      </c>
      <c r="R614" t="inlineStr">
        <is>
          <t xml:space="preserve">QH </t>
        </is>
      </c>
      <c r="S614" t="n">
        <v>7</v>
      </c>
      <c r="T614" t="n">
        <v>7</v>
      </c>
      <c r="U614" t="inlineStr">
        <is>
          <t>2002-10-08</t>
        </is>
      </c>
      <c r="V614" t="inlineStr">
        <is>
          <t>2002-10-08</t>
        </is>
      </c>
      <c r="W614" t="inlineStr">
        <is>
          <t>1993-04-05</t>
        </is>
      </c>
      <c r="X614" t="inlineStr">
        <is>
          <t>1993-04-05</t>
        </is>
      </c>
      <c r="Y614" t="n">
        <v>321</v>
      </c>
      <c r="Z614" t="n">
        <v>265</v>
      </c>
      <c r="AA614" t="n">
        <v>283</v>
      </c>
      <c r="AB614" t="n">
        <v>2</v>
      </c>
      <c r="AC614" t="n">
        <v>2</v>
      </c>
      <c r="AD614" t="n">
        <v>11</v>
      </c>
      <c r="AE614" t="n">
        <v>11</v>
      </c>
      <c r="AF614" t="n">
        <v>5</v>
      </c>
      <c r="AG614" t="n">
        <v>5</v>
      </c>
      <c r="AH614" t="n">
        <v>3</v>
      </c>
      <c r="AI614" t="n">
        <v>3</v>
      </c>
      <c r="AJ614" t="n">
        <v>7</v>
      </c>
      <c r="AK614" t="n">
        <v>7</v>
      </c>
      <c r="AL614" t="n">
        <v>1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HYPERLINK("https://creighton-primo.hosted.exlibrisgroup.com/primo-explore/search?tab=default_tab&amp;search_scope=EVERYTHING&amp;vid=01CRU&amp;lang=en_US&amp;offset=0&amp;query=any,contains,991000597379702656","Catalog Record")</f>
        <v/>
      </c>
      <c r="AT614">
        <f>HYPERLINK("http://www.worldcat.org/oclc/11814153","WorldCat Record")</f>
        <v/>
      </c>
      <c r="AU614" t="inlineStr">
        <is>
          <t>61455:eng</t>
        </is>
      </c>
      <c r="AV614" t="inlineStr">
        <is>
          <t>11814153</t>
        </is>
      </c>
      <c r="AW614" t="inlineStr">
        <is>
          <t>991000597379702656</t>
        </is>
      </c>
      <c r="AX614" t="inlineStr">
        <is>
          <t>991000597379702656</t>
        </is>
      </c>
      <c r="AY614" t="inlineStr">
        <is>
          <t>2261166200002656</t>
        </is>
      </c>
      <c r="AZ614" t="inlineStr">
        <is>
          <t>BOOK</t>
        </is>
      </c>
      <c r="BB614" t="inlineStr">
        <is>
          <t>9783718602438</t>
        </is>
      </c>
      <c r="BC614" t="inlineStr">
        <is>
          <t>32285001553998</t>
        </is>
      </c>
      <c r="BD614" t="inlineStr">
        <is>
          <t>893521827</t>
        </is>
      </c>
    </row>
    <row r="615">
      <c r="A615" t="inlineStr">
        <is>
          <t>No</t>
        </is>
      </c>
      <c r="B615" t="inlineStr">
        <is>
          <t>QH371 .B57</t>
        </is>
      </c>
      <c r="C615" t="inlineStr">
        <is>
          <t>0                      QH 0371000B  57</t>
        </is>
      </c>
      <c r="D615" t="inlineStr">
        <is>
          <t>Biochemical evolution / edited by H. Gutfreund.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Cambridge [Eng.] ; New York : Cambridge University Press, 1981.</t>
        </is>
      </c>
      <c r="M615" t="inlineStr">
        <is>
          <t>1981</t>
        </is>
      </c>
      <c r="O615" t="inlineStr">
        <is>
          <t>eng</t>
        </is>
      </c>
      <c r="P615" t="inlineStr">
        <is>
          <t>enk</t>
        </is>
      </c>
      <c r="R615" t="inlineStr">
        <is>
          <t xml:space="preserve">QH </t>
        </is>
      </c>
      <c r="S615" t="n">
        <v>2</v>
      </c>
      <c r="T615" t="n">
        <v>2</v>
      </c>
      <c r="U615" t="inlineStr">
        <is>
          <t>1997-10-05</t>
        </is>
      </c>
      <c r="V615" t="inlineStr">
        <is>
          <t>1997-10-05</t>
        </is>
      </c>
      <c r="W615" t="inlineStr">
        <is>
          <t>1993-04-05</t>
        </is>
      </c>
      <c r="X615" t="inlineStr">
        <is>
          <t>1993-04-05</t>
        </is>
      </c>
      <c r="Y615" t="n">
        <v>429</v>
      </c>
      <c r="Z615" t="n">
        <v>326</v>
      </c>
      <c r="AA615" t="n">
        <v>326</v>
      </c>
      <c r="AB615" t="n">
        <v>2</v>
      </c>
      <c r="AC615" t="n">
        <v>2</v>
      </c>
      <c r="AD615" t="n">
        <v>10</v>
      </c>
      <c r="AE615" t="n">
        <v>10</v>
      </c>
      <c r="AF615" t="n">
        <v>4</v>
      </c>
      <c r="AG615" t="n">
        <v>4</v>
      </c>
      <c r="AH615" t="n">
        <v>3</v>
      </c>
      <c r="AI615" t="n">
        <v>3</v>
      </c>
      <c r="AJ615" t="n">
        <v>6</v>
      </c>
      <c r="AK615" t="n">
        <v>6</v>
      </c>
      <c r="AL615" t="n">
        <v>1</v>
      </c>
      <c r="AM615" t="n">
        <v>1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HYPERLINK("https://creighton-primo.hosted.exlibrisgroup.com/primo-explore/search?tab=default_tab&amp;search_scope=EVERYTHING&amp;vid=01CRU&amp;lang=en_US&amp;offset=0&amp;query=any,contains,991005017449702656","Catalog Record")</f>
        <v/>
      </c>
      <c r="AT615">
        <f>HYPERLINK("http://www.worldcat.org/oclc/6627411","WorldCat Record")</f>
        <v/>
      </c>
      <c r="AU615" t="inlineStr">
        <is>
          <t>504743:eng</t>
        </is>
      </c>
      <c r="AV615" t="inlineStr">
        <is>
          <t>6627411</t>
        </is>
      </c>
      <c r="AW615" t="inlineStr">
        <is>
          <t>991005017449702656</t>
        </is>
      </c>
      <c r="AX615" t="inlineStr">
        <is>
          <t>991005017449702656</t>
        </is>
      </c>
      <c r="AY615" t="inlineStr">
        <is>
          <t>2255240110002656</t>
        </is>
      </c>
      <c r="AZ615" t="inlineStr">
        <is>
          <t>BOOK</t>
        </is>
      </c>
      <c r="BB615" t="inlineStr">
        <is>
          <t>9780521235495</t>
        </is>
      </c>
      <c r="BC615" t="inlineStr">
        <is>
          <t>32285001554004</t>
        </is>
      </c>
      <c r="BD615" t="inlineStr">
        <is>
          <t>893513910</t>
        </is>
      </c>
    </row>
    <row r="616">
      <c r="A616" t="inlineStr">
        <is>
          <t>No</t>
        </is>
      </c>
      <c r="B616" t="inlineStr">
        <is>
          <t>QH371 .B65 1988</t>
        </is>
      </c>
      <c r="C616" t="inlineStr">
        <is>
          <t>0                      QH 0371000B  65          1988</t>
        </is>
      </c>
      <c r="D616" t="inlineStr">
        <is>
          <t>The evolution of complexity by means of natural selection / John Tyler Bonner.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Bonner, John Tyler.</t>
        </is>
      </c>
      <c r="L616" t="inlineStr">
        <is>
          <t>Princeton, N.J. : Princeton University Press, c1988.</t>
        </is>
      </c>
      <c r="M616" t="inlineStr">
        <is>
          <t>1988</t>
        </is>
      </c>
      <c r="O616" t="inlineStr">
        <is>
          <t>eng</t>
        </is>
      </c>
      <c r="P616" t="inlineStr">
        <is>
          <t>nju</t>
        </is>
      </c>
      <c r="R616" t="inlineStr">
        <is>
          <t xml:space="preserve">QH </t>
        </is>
      </c>
      <c r="S616" t="n">
        <v>10</v>
      </c>
      <c r="T616" t="n">
        <v>10</v>
      </c>
      <c r="U616" t="inlineStr">
        <is>
          <t>1999-09-08</t>
        </is>
      </c>
      <c r="V616" t="inlineStr">
        <is>
          <t>1999-09-08</t>
        </is>
      </c>
      <c r="W616" t="inlineStr">
        <is>
          <t>1993-01-21</t>
        </is>
      </c>
      <c r="X616" t="inlineStr">
        <is>
          <t>1993-01-21</t>
        </is>
      </c>
      <c r="Y616" t="n">
        <v>565</v>
      </c>
      <c r="Z616" t="n">
        <v>442</v>
      </c>
      <c r="AA616" t="n">
        <v>447</v>
      </c>
      <c r="AB616" t="n">
        <v>4</v>
      </c>
      <c r="AC616" t="n">
        <v>4</v>
      </c>
      <c r="AD616" t="n">
        <v>16</v>
      </c>
      <c r="AE616" t="n">
        <v>16</v>
      </c>
      <c r="AF616" t="n">
        <v>2</v>
      </c>
      <c r="AG616" t="n">
        <v>2</v>
      </c>
      <c r="AH616" t="n">
        <v>3</v>
      </c>
      <c r="AI616" t="n">
        <v>3</v>
      </c>
      <c r="AJ616" t="n">
        <v>10</v>
      </c>
      <c r="AK616" t="n">
        <v>10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HYPERLINK("https://creighton-primo.hosted.exlibrisgroup.com/primo-explore/search?tab=default_tab&amp;search_scope=EVERYTHING&amp;vid=01CRU&amp;lang=en_US&amp;offset=0&amp;query=any,contains,991001207239702656","Catalog Record")</f>
        <v/>
      </c>
      <c r="AT616">
        <f>HYPERLINK("http://www.worldcat.org/oclc/17354231","WorldCat Record")</f>
        <v/>
      </c>
      <c r="AU616" t="inlineStr">
        <is>
          <t>15457903:eng</t>
        </is>
      </c>
      <c r="AV616" t="inlineStr">
        <is>
          <t>17354231</t>
        </is>
      </c>
      <c r="AW616" t="inlineStr">
        <is>
          <t>991001207239702656</t>
        </is>
      </c>
      <c r="AX616" t="inlineStr">
        <is>
          <t>991001207239702656</t>
        </is>
      </c>
      <c r="AY616" t="inlineStr">
        <is>
          <t>2268249280002656</t>
        </is>
      </c>
      <c r="AZ616" t="inlineStr">
        <is>
          <t>BOOK</t>
        </is>
      </c>
      <c r="BB616" t="inlineStr">
        <is>
          <t>9780691084947</t>
        </is>
      </c>
      <c r="BC616" t="inlineStr">
        <is>
          <t>32285001427466</t>
        </is>
      </c>
      <c r="BD616" t="inlineStr">
        <is>
          <t>893596283</t>
        </is>
      </c>
    </row>
    <row r="617">
      <c r="A617" t="inlineStr">
        <is>
          <t>No</t>
        </is>
      </c>
      <c r="B617" t="inlineStr">
        <is>
          <t>QH371 .B78 1988</t>
        </is>
      </c>
      <c r="C617" t="inlineStr">
        <is>
          <t>0                      QH 0371000B  78          1988</t>
        </is>
      </c>
      <c r="D617" t="inlineStr">
        <is>
          <t>But is it science? : the philosophical question in the creation/evolution controversy / edited by Michael Ruse.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L617" t="inlineStr">
        <is>
          <t>Buffalo, N.Y. : Prometheus Books, 1988.</t>
        </is>
      </c>
      <c r="M617" t="inlineStr">
        <is>
          <t>1988</t>
        </is>
      </c>
      <c r="O617" t="inlineStr">
        <is>
          <t>eng</t>
        </is>
      </c>
      <c r="P617" t="inlineStr">
        <is>
          <t>nyu</t>
        </is>
      </c>
      <c r="Q617" t="inlineStr">
        <is>
          <t>Frontiers of philosophy</t>
        </is>
      </c>
      <c r="R617" t="inlineStr">
        <is>
          <t xml:space="preserve">QH </t>
        </is>
      </c>
      <c r="S617" t="n">
        <v>28</v>
      </c>
      <c r="T617" t="n">
        <v>28</v>
      </c>
      <c r="U617" t="inlineStr">
        <is>
          <t>2005-06-30</t>
        </is>
      </c>
      <c r="V617" t="inlineStr">
        <is>
          <t>2005-06-30</t>
        </is>
      </c>
      <c r="W617" t="inlineStr">
        <is>
          <t>1992-05-11</t>
        </is>
      </c>
      <c r="X617" t="inlineStr">
        <is>
          <t>1992-05-11</t>
        </is>
      </c>
      <c r="Y617" t="n">
        <v>533</v>
      </c>
      <c r="Z617" t="n">
        <v>444</v>
      </c>
      <c r="AA617" t="n">
        <v>713</v>
      </c>
      <c r="AB617" t="n">
        <v>3</v>
      </c>
      <c r="AC617" t="n">
        <v>6</v>
      </c>
      <c r="AD617" t="n">
        <v>20</v>
      </c>
      <c r="AE617" t="n">
        <v>28</v>
      </c>
      <c r="AF617" t="n">
        <v>5</v>
      </c>
      <c r="AG617" t="n">
        <v>6</v>
      </c>
      <c r="AH617" t="n">
        <v>7</v>
      </c>
      <c r="AI617" t="n">
        <v>9</v>
      </c>
      <c r="AJ617" t="n">
        <v>10</v>
      </c>
      <c r="AK617" t="n">
        <v>12</v>
      </c>
      <c r="AL617" t="n">
        <v>2</v>
      </c>
      <c r="AM617" t="n">
        <v>5</v>
      </c>
      <c r="AN617" t="n">
        <v>0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HYPERLINK("http://catalog.hathitrust.org/Record/000926828","HathiTrust Record")</f>
        <v/>
      </c>
      <c r="AS617">
        <f>HYPERLINK("https://creighton-primo.hosted.exlibrisgroup.com/primo-explore/search?tab=default_tab&amp;search_scope=EVERYTHING&amp;vid=01CRU&amp;lang=en_US&amp;offset=0&amp;query=any,contains,991001200189702656","Catalog Record")</f>
        <v/>
      </c>
      <c r="AT617">
        <f>HYPERLINK("http://www.worldcat.org/oclc/17300710","WorldCat Record")</f>
        <v/>
      </c>
      <c r="AU617" t="inlineStr">
        <is>
          <t>55054205:eng</t>
        </is>
      </c>
      <c r="AV617" t="inlineStr">
        <is>
          <t>17300710</t>
        </is>
      </c>
      <c r="AW617" t="inlineStr">
        <is>
          <t>991001200189702656</t>
        </is>
      </c>
      <c r="AX617" t="inlineStr">
        <is>
          <t>991001200189702656</t>
        </is>
      </c>
      <c r="AY617" t="inlineStr">
        <is>
          <t>2267746110002656</t>
        </is>
      </c>
      <c r="AZ617" t="inlineStr">
        <is>
          <t>BOOK</t>
        </is>
      </c>
      <c r="BB617" t="inlineStr">
        <is>
          <t>9780879754396</t>
        </is>
      </c>
      <c r="BC617" t="inlineStr">
        <is>
          <t>32285001107472</t>
        </is>
      </c>
      <c r="BD617" t="inlineStr">
        <is>
          <t>893590101</t>
        </is>
      </c>
    </row>
    <row r="618">
      <c r="A618" t="inlineStr">
        <is>
          <t>No</t>
        </is>
      </c>
      <c r="B618" t="inlineStr">
        <is>
          <t>QH371 .C47</t>
        </is>
      </c>
      <c r="C618" t="inlineStr">
        <is>
          <t>0                      QH 0371000C  47</t>
        </is>
      </c>
      <c r="D618" t="inlineStr">
        <is>
          <t>Genetic evolution / Chen Kang Chai.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Chai, Chen Kang, 1916-</t>
        </is>
      </c>
      <c r="L618" t="inlineStr">
        <is>
          <t>Chicago : University of Chicago Press, 1976.</t>
        </is>
      </c>
      <c r="M618" t="inlineStr">
        <is>
          <t>1976</t>
        </is>
      </c>
      <c r="O618" t="inlineStr">
        <is>
          <t>eng</t>
        </is>
      </c>
      <c r="P618" t="inlineStr">
        <is>
          <t>ilu</t>
        </is>
      </c>
      <c r="R618" t="inlineStr">
        <is>
          <t xml:space="preserve">QH </t>
        </is>
      </c>
      <c r="S618" t="n">
        <v>3</v>
      </c>
      <c r="T618" t="n">
        <v>3</v>
      </c>
      <c r="U618" t="inlineStr">
        <is>
          <t>1995-06-18</t>
        </is>
      </c>
      <c r="V618" t="inlineStr">
        <is>
          <t>1995-06-18</t>
        </is>
      </c>
      <c r="W618" t="inlineStr">
        <is>
          <t>1994-01-27</t>
        </is>
      </c>
      <c r="X618" t="inlineStr">
        <is>
          <t>1994-01-27</t>
        </is>
      </c>
      <c r="Y618" t="n">
        <v>479</v>
      </c>
      <c r="Z618" t="n">
        <v>393</v>
      </c>
      <c r="AA618" t="n">
        <v>398</v>
      </c>
      <c r="AB618" t="n">
        <v>6</v>
      </c>
      <c r="AC618" t="n">
        <v>6</v>
      </c>
      <c r="AD618" t="n">
        <v>17</v>
      </c>
      <c r="AE618" t="n">
        <v>17</v>
      </c>
      <c r="AF618" t="n">
        <v>6</v>
      </c>
      <c r="AG618" t="n">
        <v>6</v>
      </c>
      <c r="AH618" t="n">
        <v>3</v>
      </c>
      <c r="AI618" t="n">
        <v>3</v>
      </c>
      <c r="AJ618" t="n">
        <v>6</v>
      </c>
      <c r="AK618" t="n">
        <v>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HYPERLINK("https://creighton-primo.hosted.exlibrisgroup.com/primo-explore/search?tab=default_tab&amp;search_scope=EVERYTHING&amp;vid=01CRU&amp;lang=en_US&amp;offset=0&amp;query=any,contains,991003959189702656","Catalog Record")</f>
        <v/>
      </c>
      <c r="AT618">
        <f>HYPERLINK("http://www.worldcat.org/oclc/1973893","WorldCat Record")</f>
        <v/>
      </c>
      <c r="AU618" t="inlineStr">
        <is>
          <t>2721580:eng</t>
        </is>
      </c>
      <c r="AV618" t="inlineStr">
        <is>
          <t>1973893</t>
        </is>
      </c>
      <c r="AW618" t="inlineStr">
        <is>
          <t>991003959189702656</t>
        </is>
      </c>
      <c r="AX618" t="inlineStr">
        <is>
          <t>991003959189702656</t>
        </is>
      </c>
      <c r="AY618" t="inlineStr">
        <is>
          <t>2265925770002656</t>
        </is>
      </c>
      <c r="AZ618" t="inlineStr">
        <is>
          <t>BOOK</t>
        </is>
      </c>
      <c r="BB618" t="inlineStr">
        <is>
          <t>9780226100661</t>
        </is>
      </c>
      <c r="BC618" t="inlineStr">
        <is>
          <t>32285001836310</t>
        </is>
      </c>
      <c r="BD618" t="inlineStr">
        <is>
          <t>893410943</t>
        </is>
      </c>
    </row>
    <row r="619">
      <c r="A619" t="inlineStr">
        <is>
          <t>No</t>
        </is>
      </c>
      <c r="B619" t="inlineStr">
        <is>
          <t>QH371 .C5 1983, v...</t>
        </is>
      </c>
      <c r="C619" t="inlineStr">
        <is>
          <t>0                      QH 0371000C  5           1983                                        v...</t>
        </is>
      </c>
      <c r="D619" t="inlineStr">
        <is>
          <t>Chromosomes in evolution of eukaryotic groups / editors, Arun Kumar Sharma, Archana Sharma.</t>
        </is>
      </c>
      <c r="E619" t="inlineStr">
        <is>
          <t>V.2</t>
        </is>
      </c>
      <c r="F619" t="inlineStr">
        <is>
          <t>Yes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Boca Raton, Fla. : CRC Press, c1983-</t>
        </is>
      </c>
      <c r="M619" t="inlineStr">
        <is>
          <t>1983</t>
        </is>
      </c>
      <c r="O619" t="inlineStr">
        <is>
          <t>eng</t>
        </is>
      </c>
      <c r="P619" t="inlineStr">
        <is>
          <t>flu</t>
        </is>
      </c>
      <c r="R619" t="inlineStr">
        <is>
          <t xml:space="preserve">QH </t>
        </is>
      </c>
      <c r="S619" t="n">
        <v>0</v>
      </c>
      <c r="T619" t="n">
        <v>0</v>
      </c>
      <c r="U619" t="inlineStr">
        <is>
          <t>2005-10-07</t>
        </is>
      </c>
      <c r="V619" t="inlineStr">
        <is>
          <t>2005-10-07</t>
        </is>
      </c>
      <c r="W619" t="inlineStr">
        <is>
          <t>1993-04-05</t>
        </is>
      </c>
      <c r="X619" t="inlineStr">
        <is>
          <t>1993-04-05</t>
        </is>
      </c>
      <c r="Y619" t="n">
        <v>243</v>
      </c>
      <c r="Z619" t="n">
        <v>181</v>
      </c>
      <c r="AA619" t="n">
        <v>182</v>
      </c>
      <c r="AB619" t="n">
        <v>2</v>
      </c>
      <c r="AC619" t="n">
        <v>2</v>
      </c>
      <c r="AD619" t="n">
        <v>6</v>
      </c>
      <c r="AE619" t="n">
        <v>6</v>
      </c>
      <c r="AF619" t="n">
        <v>2</v>
      </c>
      <c r="AG619" t="n">
        <v>2</v>
      </c>
      <c r="AH619" t="n">
        <v>2</v>
      </c>
      <c r="AI619" t="n">
        <v>2</v>
      </c>
      <c r="AJ619" t="n">
        <v>3</v>
      </c>
      <c r="AK619" t="n">
        <v>3</v>
      </c>
      <c r="AL619" t="n">
        <v>1</v>
      </c>
      <c r="AM619" t="n">
        <v>1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HYPERLINK("http://catalog.hathitrust.org/Record/000278224","HathiTrust Record")</f>
        <v/>
      </c>
      <c r="AS619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19">
        <f>HYPERLINK("http://www.worldcat.org/oclc/8476330","WorldCat Record")</f>
        <v/>
      </c>
      <c r="AU619" t="inlineStr">
        <is>
          <t>8912688985:eng</t>
        </is>
      </c>
      <c r="AV619" t="inlineStr">
        <is>
          <t>8476330</t>
        </is>
      </c>
      <c r="AW619" t="inlineStr">
        <is>
          <t>991005249259702656</t>
        </is>
      </c>
      <c r="AX619" t="inlineStr">
        <is>
          <t>991005249259702656</t>
        </is>
      </c>
      <c r="AY619" t="inlineStr">
        <is>
          <t>2257642200002656</t>
        </is>
      </c>
      <c r="AZ619" t="inlineStr">
        <is>
          <t>BOOK</t>
        </is>
      </c>
      <c r="BB619" t="inlineStr">
        <is>
          <t>9780849364969</t>
        </is>
      </c>
      <c r="BC619" t="inlineStr">
        <is>
          <t>32285001554020</t>
        </is>
      </c>
      <c r="BD619" t="inlineStr">
        <is>
          <t>893260810</t>
        </is>
      </c>
    </row>
    <row r="620">
      <c r="A620" t="inlineStr">
        <is>
          <t>No</t>
        </is>
      </c>
      <c r="B620" t="inlineStr">
        <is>
          <t>QH371 .C5 1983, v...</t>
        </is>
      </c>
      <c r="C620" t="inlineStr">
        <is>
          <t>0                      QH 0371000C  5           1983                                        v...</t>
        </is>
      </c>
      <c r="D620" t="inlineStr">
        <is>
          <t>Chromosomes in evolution of eukaryotic groups / editors, Arun Kumar Sharma, Archana Sharma.</t>
        </is>
      </c>
      <c r="E620" t="inlineStr">
        <is>
          <t>V.1</t>
        </is>
      </c>
      <c r="F620" t="inlineStr">
        <is>
          <t>Yes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L620" t="inlineStr">
        <is>
          <t>Boca Raton, Fla. : CRC Press, c1983-</t>
        </is>
      </c>
      <c r="M620" t="inlineStr">
        <is>
          <t>1983</t>
        </is>
      </c>
      <c r="O620" t="inlineStr">
        <is>
          <t>eng</t>
        </is>
      </c>
      <c r="P620" t="inlineStr">
        <is>
          <t>flu</t>
        </is>
      </c>
      <c r="R620" t="inlineStr">
        <is>
          <t xml:space="preserve">QH </t>
        </is>
      </c>
      <c r="S620" t="n">
        <v>0</v>
      </c>
      <c r="T620" t="n">
        <v>0</v>
      </c>
      <c r="U620" t="inlineStr">
        <is>
          <t>2005-10-07</t>
        </is>
      </c>
      <c r="V620" t="inlineStr">
        <is>
          <t>2005-10-07</t>
        </is>
      </c>
      <c r="W620" t="inlineStr">
        <is>
          <t>1993-04-05</t>
        </is>
      </c>
      <c r="X620" t="inlineStr">
        <is>
          <t>1993-04-05</t>
        </is>
      </c>
      <c r="Y620" t="n">
        <v>243</v>
      </c>
      <c r="Z620" t="n">
        <v>181</v>
      </c>
      <c r="AA620" t="n">
        <v>182</v>
      </c>
      <c r="AB620" t="n">
        <v>2</v>
      </c>
      <c r="AC620" t="n">
        <v>2</v>
      </c>
      <c r="AD620" t="n">
        <v>6</v>
      </c>
      <c r="AE620" t="n">
        <v>6</v>
      </c>
      <c r="AF620" t="n">
        <v>2</v>
      </c>
      <c r="AG620" t="n">
        <v>2</v>
      </c>
      <c r="AH620" t="n">
        <v>2</v>
      </c>
      <c r="AI620" t="n">
        <v>2</v>
      </c>
      <c r="AJ620" t="n">
        <v>3</v>
      </c>
      <c r="AK620" t="n">
        <v>3</v>
      </c>
      <c r="AL620" t="n">
        <v>1</v>
      </c>
      <c r="AM620" t="n">
        <v>1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HYPERLINK("http://catalog.hathitrust.org/Record/000278224","HathiTrust Record")</f>
        <v/>
      </c>
      <c r="AS620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20">
        <f>HYPERLINK("http://www.worldcat.org/oclc/8476330","WorldCat Record")</f>
        <v/>
      </c>
      <c r="AU620" t="inlineStr">
        <is>
          <t>8912688985:eng</t>
        </is>
      </c>
      <c r="AV620" t="inlineStr">
        <is>
          <t>8476330</t>
        </is>
      </c>
      <c r="AW620" t="inlineStr">
        <is>
          <t>991005249259702656</t>
        </is>
      </c>
      <c r="AX620" t="inlineStr">
        <is>
          <t>991005249259702656</t>
        </is>
      </c>
      <c r="AY620" t="inlineStr">
        <is>
          <t>2257642200002656</t>
        </is>
      </c>
      <c r="AZ620" t="inlineStr">
        <is>
          <t>BOOK</t>
        </is>
      </c>
      <c r="BB620" t="inlineStr">
        <is>
          <t>9780849364969</t>
        </is>
      </c>
      <c r="BC620" t="inlineStr">
        <is>
          <t>32285001554012</t>
        </is>
      </c>
      <c r="BD620" t="inlineStr">
        <is>
          <t>893242436</t>
        </is>
      </c>
    </row>
    <row r="621">
      <c r="A621" t="inlineStr">
        <is>
          <t>No</t>
        </is>
      </c>
      <c r="B621" t="inlineStr">
        <is>
          <t>QH371 .D4 1958</t>
        </is>
      </c>
      <c r="C621" t="inlineStr">
        <is>
          <t>0                      QH 0371000D  4           1958</t>
        </is>
      </c>
      <c r="D621" t="inlineStr">
        <is>
          <t>Embryos and ancestors.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De Beer, Gavin, Sir, 1899-1972.</t>
        </is>
      </c>
      <c r="L621" t="inlineStr">
        <is>
          <t>Oxford, Clarendon Press, 1958.</t>
        </is>
      </c>
      <c r="M621" t="inlineStr">
        <is>
          <t>1958</t>
        </is>
      </c>
      <c r="N621" t="inlineStr">
        <is>
          <t>3d ed.</t>
        </is>
      </c>
      <c r="O621" t="inlineStr">
        <is>
          <t>eng</t>
        </is>
      </c>
      <c r="P621" t="inlineStr">
        <is>
          <t>enk</t>
        </is>
      </c>
      <c r="R621" t="inlineStr">
        <is>
          <t xml:space="preserve">QH </t>
        </is>
      </c>
      <c r="S621" t="n">
        <v>1</v>
      </c>
      <c r="T621" t="n">
        <v>1</v>
      </c>
      <c r="U621" t="inlineStr">
        <is>
          <t>2007-04-09</t>
        </is>
      </c>
      <c r="V621" t="inlineStr">
        <is>
          <t>2007-04-09</t>
        </is>
      </c>
      <c r="W621" t="inlineStr">
        <is>
          <t>1997-07-01</t>
        </is>
      </c>
      <c r="X621" t="inlineStr">
        <is>
          <t>1997-07-01</t>
        </is>
      </c>
      <c r="Y621" t="n">
        <v>601</v>
      </c>
      <c r="Z621" t="n">
        <v>478</v>
      </c>
      <c r="AA621" t="n">
        <v>636</v>
      </c>
      <c r="AB621" t="n">
        <v>5</v>
      </c>
      <c r="AC621" t="n">
        <v>5</v>
      </c>
      <c r="AD621" t="n">
        <v>19</v>
      </c>
      <c r="AE621" t="n">
        <v>26</v>
      </c>
      <c r="AF621" t="n">
        <v>7</v>
      </c>
      <c r="AG621" t="n">
        <v>10</v>
      </c>
      <c r="AH621" t="n">
        <v>3</v>
      </c>
      <c r="AI621" t="n">
        <v>4</v>
      </c>
      <c r="AJ621" t="n">
        <v>9</v>
      </c>
      <c r="AK621" t="n">
        <v>12</v>
      </c>
      <c r="AL621" t="n">
        <v>4</v>
      </c>
      <c r="AM621" t="n">
        <v>4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HYPERLINK("http://catalog.hathitrust.org/Record/001491937","HathiTrust Record")</f>
        <v/>
      </c>
      <c r="AS621">
        <f>HYPERLINK("https://creighton-primo.hosted.exlibrisgroup.com/primo-explore/search?tab=default_tab&amp;search_scope=EVERYTHING&amp;vid=01CRU&amp;lang=en_US&amp;offset=0&amp;query=any,contains,991002975199702656","Catalog Record")</f>
        <v/>
      </c>
      <c r="AT621">
        <f>HYPERLINK("http://www.worldcat.org/oclc/551388","WorldCat Record")</f>
        <v/>
      </c>
      <c r="AU621" t="inlineStr">
        <is>
          <t>1597406:eng</t>
        </is>
      </c>
      <c r="AV621" t="inlineStr">
        <is>
          <t>551388</t>
        </is>
      </c>
      <c r="AW621" t="inlineStr">
        <is>
          <t>991002975199702656</t>
        </is>
      </c>
      <c r="AX621" t="inlineStr">
        <is>
          <t>991002975199702656</t>
        </is>
      </c>
      <c r="AY621" t="inlineStr">
        <is>
          <t>2257699210002656</t>
        </is>
      </c>
      <c r="AZ621" t="inlineStr">
        <is>
          <t>BOOK</t>
        </is>
      </c>
      <c r="BC621" t="inlineStr">
        <is>
          <t>32285002869989</t>
        </is>
      </c>
      <c r="BD621" t="inlineStr">
        <is>
          <t>893799236</t>
        </is>
      </c>
    </row>
    <row r="622">
      <c r="A622" t="inlineStr">
        <is>
          <t>No</t>
        </is>
      </c>
      <c r="B622" t="inlineStr">
        <is>
          <t>QH371 .D46 1986</t>
        </is>
      </c>
      <c r="C622" t="inlineStr">
        <is>
          <t>0                      QH 0371000D  46          1986</t>
        </is>
      </c>
      <c r="D622" t="inlineStr">
        <is>
          <t>Evolution : a theory in crisis / Michael Denton.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Denton, Michael.</t>
        </is>
      </c>
      <c r="L622" t="inlineStr">
        <is>
          <t>Bethesda, Md. : Adler &amp; Adler, 1986, c1985.</t>
        </is>
      </c>
      <c r="M622" t="inlineStr">
        <is>
          <t>1986</t>
        </is>
      </c>
      <c r="O622" t="inlineStr">
        <is>
          <t>eng</t>
        </is>
      </c>
      <c r="P622" t="inlineStr">
        <is>
          <t>mdu</t>
        </is>
      </c>
      <c r="R622" t="inlineStr">
        <is>
          <t xml:space="preserve">QH </t>
        </is>
      </c>
      <c r="S622" t="n">
        <v>12</v>
      </c>
      <c r="T622" t="n">
        <v>12</v>
      </c>
      <c r="U622" t="inlineStr">
        <is>
          <t>1996-10-01</t>
        </is>
      </c>
      <c r="V622" t="inlineStr">
        <is>
          <t>1996-10-01</t>
        </is>
      </c>
      <c r="W622" t="inlineStr">
        <is>
          <t>1992-05-11</t>
        </is>
      </c>
      <c r="X622" t="inlineStr">
        <is>
          <t>1992-05-11</t>
        </is>
      </c>
      <c r="Y622" t="n">
        <v>1145</v>
      </c>
      <c r="Z622" t="n">
        <v>1024</v>
      </c>
      <c r="AA622" t="n">
        <v>1210</v>
      </c>
      <c r="AB622" t="n">
        <v>9</v>
      </c>
      <c r="AC622" t="n">
        <v>10</v>
      </c>
      <c r="AD622" t="n">
        <v>37</v>
      </c>
      <c r="AE622" t="n">
        <v>41</v>
      </c>
      <c r="AF622" t="n">
        <v>16</v>
      </c>
      <c r="AG622" t="n">
        <v>17</v>
      </c>
      <c r="AH622" t="n">
        <v>7</v>
      </c>
      <c r="AI622" t="n">
        <v>7</v>
      </c>
      <c r="AJ622" t="n">
        <v>16</v>
      </c>
      <c r="AK622" t="n">
        <v>18</v>
      </c>
      <c r="AL622" t="n">
        <v>5</v>
      </c>
      <c r="AM622" t="n">
        <v>6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HYPERLINK("http://catalog.hathitrust.org/Record/000588568","HathiTrust Record")</f>
        <v/>
      </c>
      <c r="AS622">
        <f>HYPERLINK("https://creighton-primo.hosted.exlibrisgroup.com/primo-explore/search?tab=default_tab&amp;search_scope=EVERYTHING&amp;vid=01CRU&amp;lang=en_US&amp;offset=0&amp;query=any,contains,991000655119702656","Catalog Record")</f>
        <v/>
      </c>
      <c r="AT622">
        <f>HYPERLINK("http://www.worldcat.org/oclc/12214328","WorldCat Record")</f>
        <v/>
      </c>
      <c r="AU622" t="inlineStr">
        <is>
          <t>22350556:eng</t>
        </is>
      </c>
      <c r="AV622" t="inlineStr">
        <is>
          <t>12214328</t>
        </is>
      </c>
      <c r="AW622" t="inlineStr">
        <is>
          <t>991000655119702656</t>
        </is>
      </c>
      <c r="AX622" t="inlineStr">
        <is>
          <t>991000655119702656</t>
        </is>
      </c>
      <c r="AY622" t="inlineStr">
        <is>
          <t>2266832380002656</t>
        </is>
      </c>
      <c r="AZ622" t="inlineStr">
        <is>
          <t>BOOK</t>
        </is>
      </c>
      <c r="BB622" t="inlineStr">
        <is>
          <t>9780917561054</t>
        </is>
      </c>
      <c r="BC622" t="inlineStr">
        <is>
          <t>32285001107464</t>
        </is>
      </c>
      <c r="BD622" t="inlineStr">
        <is>
          <t>893614378</t>
        </is>
      </c>
    </row>
    <row r="623">
      <c r="A623" t="inlineStr">
        <is>
          <t>No</t>
        </is>
      </c>
      <c r="B623" t="inlineStr">
        <is>
          <t>QH371 .D48 1987</t>
        </is>
      </c>
      <c r="C623" t="inlineStr">
        <is>
          <t>0                      QH 0371000D  48          1987</t>
        </is>
      </c>
      <c r="D623" t="inlineStr">
        <is>
          <t>Development as an evolutionary process : proceedings of a meeting held at the Marine Biological Laboratory in Woods Hole, Massachusetts, August 23 and 24, 1985 / editors, Rudolf A. Raff and Elizabeth C. Raff.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A.R. Liss, 1987.</t>
        </is>
      </c>
      <c r="M623" t="inlineStr">
        <is>
          <t>1986</t>
        </is>
      </c>
      <c r="O623" t="inlineStr">
        <is>
          <t>eng</t>
        </is>
      </c>
      <c r="P623" t="inlineStr">
        <is>
          <t>nyu</t>
        </is>
      </c>
      <c r="Q623" t="inlineStr">
        <is>
          <t>MBL lectures in biology ; v. 8</t>
        </is>
      </c>
      <c r="R623" t="inlineStr">
        <is>
          <t xml:space="preserve">QH </t>
        </is>
      </c>
      <c r="S623" t="n">
        <v>4</v>
      </c>
      <c r="T623" t="n">
        <v>4</v>
      </c>
      <c r="U623" t="inlineStr">
        <is>
          <t>1995-02-19</t>
        </is>
      </c>
      <c r="V623" t="inlineStr">
        <is>
          <t>1995-02-19</t>
        </is>
      </c>
      <c r="W623" t="inlineStr">
        <is>
          <t>1993-04-05</t>
        </is>
      </c>
      <c r="X623" t="inlineStr">
        <is>
          <t>1993-04-05</t>
        </is>
      </c>
      <c r="Y623" t="n">
        <v>261</v>
      </c>
      <c r="Z623" t="n">
        <v>193</v>
      </c>
      <c r="AA623" t="n">
        <v>201</v>
      </c>
      <c r="AB623" t="n">
        <v>2</v>
      </c>
      <c r="AC623" t="n">
        <v>2</v>
      </c>
      <c r="AD623" t="n">
        <v>7</v>
      </c>
      <c r="AE623" t="n">
        <v>7</v>
      </c>
      <c r="AF623" t="n">
        <v>1</v>
      </c>
      <c r="AG623" t="n">
        <v>1</v>
      </c>
      <c r="AH623" t="n">
        <v>3</v>
      </c>
      <c r="AI623" t="n">
        <v>3</v>
      </c>
      <c r="AJ623" t="n">
        <v>5</v>
      </c>
      <c r="AK623" t="n">
        <v>5</v>
      </c>
      <c r="AL623" t="n">
        <v>1</v>
      </c>
      <c r="AM623" t="n">
        <v>1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HYPERLINK("http://catalog.hathitrust.org/Record/000814853","HathiTrust Record")</f>
        <v/>
      </c>
      <c r="AS623">
        <f>HYPERLINK("https://creighton-primo.hosted.exlibrisgroup.com/primo-explore/search?tab=default_tab&amp;search_scope=EVERYTHING&amp;vid=01CRU&amp;lang=en_US&amp;offset=0&amp;query=any,contains,991000921689702656","Catalog Record")</f>
        <v/>
      </c>
      <c r="AT623">
        <f>HYPERLINK("http://www.worldcat.org/oclc/14212775","WorldCat Record")</f>
        <v/>
      </c>
      <c r="AU623" t="inlineStr">
        <is>
          <t>8180780:eng</t>
        </is>
      </c>
      <c r="AV623" t="inlineStr">
        <is>
          <t>14212775</t>
        </is>
      </c>
      <c r="AW623" t="inlineStr">
        <is>
          <t>991000921689702656</t>
        </is>
      </c>
      <c r="AX623" t="inlineStr">
        <is>
          <t>991000921689702656</t>
        </is>
      </c>
      <c r="AY623" t="inlineStr">
        <is>
          <t>2268833800002656</t>
        </is>
      </c>
      <c r="AZ623" t="inlineStr">
        <is>
          <t>BOOK</t>
        </is>
      </c>
      <c r="BB623" t="inlineStr">
        <is>
          <t>9780845122075</t>
        </is>
      </c>
      <c r="BC623" t="inlineStr">
        <is>
          <t>32285001554038</t>
        </is>
      </c>
      <c r="BD623" t="inlineStr">
        <is>
          <t>893225445</t>
        </is>
      </c>
    </row>
    <row r="624">
      <c r="A624" t="inlineStr">
        <is>
          <t>No</t>
        </is>
      </c>
      <c r="B624" t="inlineStr">
        <is>
          <t>QH371 .D52 1983</t>
        </is>
      </c>
      <c r="C624" t="inlineStr">
        <is>
          <t>0                      QH 0371000D  52          1983</t>
        </is>
      </c>
      <c r="D624" t="inlineStr">
        <is>
          <t>Did the Devil make Darwin do it? : modern perspectives on the creation-evolution controversy / edited by David B. Wilson with the assistance of Warren D. Dolphin.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Ames : Iowa State University Press, 1983.</t>
        </is>
      </c>
      <c r="M624" t="inlineStr">
        <is>
          <t>1983</t>
        </is>
      </c>
      <c r="N624" t="inlineStr">
        <is>
          <t>1st ed.</t>
        </is>
      </c>
      <c r="O624" t="inlineStr">
        <is>
          <t>eng</t>
        </is>
      </c>
      <c r="P624" t="inlineStr">
        <is>
          <t>iau</t>
        </is>
      </c>
      <c r="R624" t="inlineStr">
        <is>
          <t xml:space="preserve">QH </t>
        </is>
      </c>
      <c r="S624" t="n">
        <v>15</v>
      </c>
      <c r="T624" t="n">
        <v>15</v>
      </c>
      <c r="U624" t="inlineStr">
        <is>
          <t>2006-12-03</t>
        </is>
      </c>
      <c r="V624" t="inlineStr">
        <is>
          <t>2006-12-03</t>
        </is>
      </c>
      <c r="W624" t="inlineStr">
        <is>
          <t>1993-02-25</t>
        </is>
      </c>
      <c r="X624" t="inlineStr">
        <is>
          <t>1993-02-25</t>
        </is>
      </c>
      <c r="Y624" t="n">
        <v>945</v>
      </c>
      <c r="Z624" t="n">
        <v>845</v>
      </c>
      <c r="AA624" t="n">
        <v>876</v>
      </c>
      <c r="AB624" t="n">
        <v>8</v>
      </c>
      <c r="AC624" t="n">
        <v>8</v>
      </c>
      <c r="AD624" t="n">
        <v>37</v>
      </c>
      <c r="AE624" t="n">
        <v>38</v>
      </c>
      <c r="AF624" t="n">
        <v>16</v>
      </c>
      <c r="AG624" t="n">
        <v>16</v>
      </c>
      <c r="AH624" t="n">
        <v>6</v>
      </c>
      <c r="AI624" t="n">
        <v>7</v>
      </c>
      <c r="AJ624" t="n">
        <v>17</v>
      </c>
      <c r="AK624" t="n">
        <v>18</v>
      </c>
      <c r="AL624" t="n">
        <v>7</v>
      </c>
      <c r="AM624" t="n">
        <v>7</v>
      </c>
      <c r="AN624" t="n">
        <v>1</v>
      </c>
      <c r="AO624" t="n">
        <v>1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HYPERLINK("http://catalog.hathitrust.org/Record/000275356","HathiTrust Record")</f>
        <v/>
      </c>
      <c r="AS624">
        <f>HYPERLINK("https://creighton-primo.hosted.exlibrisgroup.com/primo-explore/search?tab=default_tab&amp;search_scope=EVERYTHING&amp;vid=01CRU&amp;lang=en_US&amp;offset=0&amp;query=any,contains,991000117839702656","Catalog Record")</f>
        <v/>
      </c>
      <c r="AT624">
        <f>HYPERLINK("http://www.worldcat.org/oclc/9044991","WorldCat Record")</f>
        <v/>
      </c>
      <c r="AU624" t="inlineStr">
        <is>
          <t>864457133:eng</t>
        </is>
      </c>
      <c r="AV624" t="inlineStr">
        <is>
          <t>9044991</t>
        </is>
      </c>
      <c r="AW624" t="inlineStr">
        <is>
          <t>991000117839702656</t>
        </is>
      </c>
      <c r="AX624" t="inlineStr">
        <is>
          <t>991000117839702656</t>
        </is>
      </c>
      <c r="AY624" t="inlineStr">
        <is>
          <t>2268271740002656</t>
        </is>
      </c>
      <c r="AZ624" t="inlineStr">
        <is>
          <t>BOOK</t>
        </is>
      </c>
      <c r="BB624" t="inlineStr">
        <is>
          <t>9780813804347</t>
        </is>
      </c>
      <c r="BC624" t="inlineStr">
        <is>
          <t>32285001538247</t>
        </is>
      </c>
      <c r="BD624" t="inlineStr">
        <is>
          <t>893865102</t>
        </is>
      </c>
    </row>
    <row r="625">
      <c r="A625" t="inlineStr">
        <is>
          <t>No</t>
        </is>
      </c>
      <c r="B625" t="inlineStr">
        <is>
          <t>QH371 .D93 1994</t>
        </is>
      </c>
      <c r="C625" t="inlineStr">
        <is>
          <t>0                      QH 0371000D  93          1994</t>
        </is>
      </c>
      <c r="D625" t="inlineStr">
        <is>
          <t>Tracing the history of eukaryotic cells : the enigmatic smile / Betsey Dexter Dyer, Robert Alan Obar.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Dyer, Betsey Dexter.</t>
        </is>
      </c>
      <c r="L625" t="inlineStr">
        <is>
          <t>New York : Columbia University Press, c1994.</t>
        </is>
      </c>
      <c r="M625" t="inlineStr">
        <is>
          <t>1994</t>
        </is>
      </c>
      <c r="O625" t="inlineStr">
        <is>
          <t>eng</t>
        </is>
      </c>
      <c r="P625" t="inlineStr">
        <is>
          <t>nyu</t>
        </is>
      </c>
      <c r="Q625" t="inlineStr">
        <is>
          <t>Critical moments in paleobiology and earth history series</t>
        </is>
      </c>
      <c r="R625" t="inlineStr">
        <is>
          <t xml:space="preserve">QH </t>
        </is>
      </c>
      <c r="S625" t="n">
        <v>13</v>
      </c>
      <c r="T625" t="n">
        <v>13</v>
      </c>
      <c r="U625" t="inlineStr">
        <is>
          <t>1999-06-16</t>
        </is>
      </c>
      <c r="V625" t="inlineStr">
        <is>
          <t>1999-06-16</t>
        </is>
      </c>
      <c r="W625" t="inlineStr">
        <is>
          <t>1995-04-17</t>
        </is>
      </c>
      <c r="X625" t="inlineStr">
        <is>
          <t>1995-04-17</t>
        </is>
      </c>
      <c r="Y625" t="n">
        <v>516</v>
      </c>
      <c r="Z625" t="n">
        <v>461</v>
      </c>
      <c r="AA625" t="n">
        <v>471</v>
      </c>
      <c r="AB625" t="n">
        <v>3</v>
      </c>
      <c r="AC625" t="n">
        <v>3</v>
      </c>
      <c r="AD625" t="n">
        <v>24</v>
      </c>
      <c r="AE625" t="n">
        <v>24</v>
      </c>
      <c r="AF625" t="n">
        <v>10</v>
      </c>
      <c r="AG625" t="n">
        <v>10</v>
      </c>
      <c r="AH625" t="n">
        <v>6</v>
      </c>
      <c r="AI625" t="n">
        <v>6</v>
      </c>
      <c r="AJ625" t="n">
        <v>12</v>
      </c>
      <c r="AK625" t="n">
        <v>12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HYPERLINK("https://creighton-primo.hosted.exlibrisgroup.com/primo-explore/search?tab=default_tab&amp;search_scope=EVERYTHING&amp;vid=01CRU&amp;lang=en_US&amp;offset=0&amp;query=any,contains,991002223289702656","Catalog Record")</f>
        <v/>
      </c>
      <c r="AT625">
        <f>HYPERLINK("http://www.worldcat.org/oclc/28634163","WorldCat Record")</f>
        <v/>
      </c>
      <c r="AU625" t="inlineStr">
        <is>
          <t>309036971:eng</t>
        </is>
      </c>
      <c r="AV625" t="inlineStr">
        <is>
          <t>28634163</t>
        </is>
      </c>
      <c r="AW625" t="inlineStr">
        <is>
          <t>991002223289702656</t>
        </is>
      </c>
      <c r="AX625" t="inlineStr">
        <is>
          <t>991002223289702656</t>
        </is>
      </c>
      <c r="AY625" t="inlineStr">
        <is>
          <t>2257597000002656</t>
        </is>
      </c>
      <c r="AZ625" t="inlineStr">
        <is>
          <t>BOOK</t>
        </is>
      </c>
      <c r="BB625" t="inlineStr">
        <is>
          <t>9780231075923</t>
        </is>
      </c>
      <c r="BC625" t="inlineStr">
        <is>
          <t>32285002018843</t>
        </is>
      </c>
      <c r="BD625" t="inlineStr">
        <is>
          <t>893809367</t>
        </is>
      </c>
    </row>
    <row r="626">
      <c r="A626" t="inlineStr">
        <is>
          <t>No</t>
        </is>
      </c>
      <c r="B626" t="inlineStr">
        <is>
          <t>QH371 .E44 1985</t>
        </is>
      </c>
      <c r="C626" t="inlineStr">
        <is>
          <t>0                      QH 0371000E  44          1985</t>
        </is>
      </c>
      <c r="D626" t="inlineStr">
        <is>
          <t>Time frames : the rethinking of Darwinian evolution and the theory of punctuated equilibria / Niles Eldredge.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Eldredge, Niles.</t>
        </is>
      </c>
      <c r="L626" t="inlineStr">
        <is>
          <t>New York : Simon and Schuster, c1985.</t>
        </is>
      </c>
      <c r="M626" t="inlineStr">
        <is>
          <t>1985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QH </t>
        </is>
      </c>
      <c r="S626" t="n">
        <v>2</v>
      </c>
      <c r="T626" t="n">
        <v>2</v>
      </c>
      <c r="U626" t="inlineStr">
        <is>
          <t>1995-09-26</t>
        </is>
      </c>
      <c r="V626" t="inlineStr">
        <is>
          <t>1995-09-26</t>
        </is>
      </c>
      <c r="W626" t="inlineStr">
        <is>
          <t>1993-04-05</t>
        </is>
      </c>
      <c r="X626" t="inlineStr">
        <is>
          <t>1993-04-05</t>
        </is>
      </c>
      <c r="Y626" t="n">
        <v>950</v>
      </c>
      <c r="Z626" t="n">
        <v>876</v>
      </c>
      <c r="AA626" t="n">
        <v>913</v>
      </c>
      <c r="AB626" t="n">
        <v>3</v>
      </c>
      <c r="AC626" t="n">
        <v>3</v>
      </c>
      <c r="AD626" t="n">
        <v>25</v>
      </c>
      <c r="AE626" t="n">
        <v>26</v>
      </c>
      <c r="AF626" t="n">
        <v>11</v>
      </c>
      <c r="AG626" t="n">
        <v>11</v>
      </c>
      <c r="AH626" t="n">
        <v>5</v>
      </c>
      <c r="AI626" t="n">
        <v>5</v>
      </c>
      <c r="AJ626" t="n">
        <v>13</v>
      </c>
      <c r="AK626" t="n">
        <v>14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HYPERLINK("http://catalog.hathitrust.org/Record/004395113","HathiTrust Record")</f>
        <v/>
      </c>
      <c r="AS626">
        <f>HYPERLINK("https://creighton-primo.hosted.exlibrisgroup.com/primo-explore/search?tab=default_tab&amp;search_scope=EVERYTHING&amp;vid=01CRU&amp;lang=en_US&amp;offset=0&amp;query=any,contains,991000534859702656","Catalog Record")</f>
        <v/>
      </c>
      <c r="AT626">
        <f>HYPERLINK("http://www.worldcat.org/oclc/11443805","WorldCat Record")</f>
        <v/>
      </c>
      <c r="AU626" t="inlineStr">
        <is>
          <t>3855331398:eng</t>
        </is>
      </c>
      <c r="AV626" t="inlineStr">
        <is>
          <t>11443805</t>
        </is>
      </c>
      <c r="AW626" t="inlineStr">
        <is>
          <t>991000534859702656</t>
        </is>
      </c>
      <c r="AX626" t="inlineStr">
        <is>
          <t>991000534859702656</t>
        </is>
      </c>
      <c r="AY626" t="inlineStr">
        <is>
          <t>2267745040002656</t>
        </is>
      </c>
      <c r="AZ626" t="inlineStr">
        <is>
          <t>BOOK</t>
        </is>
      </c>
      <c r="BB626" t="inlineStr">
        <is>
          <t>9780671495558</t>
        </is>
      </c>
      <c r="BC626" t="inlineStr">
        <is>
          <t>32285001554053</t>
        </is>
      </c>
      <c r="BD626" t="inlineStr">
        <is>
          <t>893589539</t>
        </is>
      </c>
    </row>
    <row r="627">
      <c r="A627" t="inlineStr">
        <is>
          <t>No</t>
        </is>
      </c>
      <c r="B627" t="inlineStr">
        <is>
          <t>QH371 .E92 1989</t>
        </is>
      </c>
      <c r="C627" t="inlineStr">
        <is>
          <t>0                      QH 0371000E  92          1989</t>
        </is>
      </c>
      <c r="D627" t="inlineStr">
        <is>
          <t>Evolution and its influence / edited by Alan Grafen.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L627" t="inlineStr">
        <is>
          <t>Oxford [England] : Clarendon Press ; New York : Oxford University Press, c1989.</t>
        </is>
      </c>
      <c r="M627" t="inlineStr">
        <is>
          <t>1989</t>
        </is>
      </c>
      <c r="O627" t="inlineStr">
        <is>
          <t>eng</t>
        </is>
      </c>
      <c r="P627" t="inlineStr">
        <is>
          <t>enk</t>
        </is>
      </c>
      <c r="Q627" t="inlineStr">
        <is>
          <t>The Herbert Spencer lectures ; 1986</t>
        </is>
      </c>
      <c r="R627" t="inlineStr">
        <is>
          <t xml:space="preserve">QH </t>
        </is>
      </c>
      <c r="S627" t="n">
        <v>7</v>
      </c>
      <c r="T627" t="n">
        <v>7</v>
      </c>
      <c r="U627" t="inlineStr">
        <is>
          <t>1996-03-17</t>
        </is>
      </c>
      <c r="V627" t="inlineStr">
        <is>
          <t>1996-03-17</t>
        </is>
      </c>
      <c r="W627" t="inlineStr">
        <is>
          <t>1990-07-25</t>
        </is>
      </c>
      <c r="X627" t="inlineStr">
        <is>
          <t>1990-07-25</t>
        </is>
      </c>
      <c r="Y627" t="n">
        <v>348</v>
      </c>
      <c r="Z627" t="n">
        <v>245</v>
      </c>
      <c r="AA627" t="n">
        <v>246</v>
      </c>
      <c r="AB627" t="n">
        <v>3</v>
      </c>
      <c r="AC627" t="n">
        <v>3</v>
      </c>
      <c r="AD627" t="n">
        <v>11</v>
      </c>
      <c r="AE627" t="n">
        <v>11</v>
      </c>
      <c r="AF627" t="n">
        <v>2</v>
      </c>
      <c r="AG627" t="n">
        <v>2</v>
      </c>
      <c r="AH627" t="n">
        <v>2</v>
      </c>
      <c r="AI627" t="n">
        <v>2</v>
      </c>
      <c r="AJ627" t="n">
        <v>8</v>
      </c>
      <c r="AK627" t="n">
        <v>8</v>
      </c>
      <c r="AL627" t="n">
        <v>2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HYPERLINK("http://catalog.hathitrust.org/Record/002544694","HathiTrust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HYPERLINK("https://creighton-primo.hosted.exlibrisgroup.com/primo-explore/search?tab=default_tab&amp;search_scope=EVERYTHING&amp;vid=01CRU&amp;lang=en_US&amp;offset=0&amp;query=any,contains,991001365389702656","Catalog Record")</f>
        <v/>
      </c>
      <c r="AT627">
        <f>HYPERLINK("http://www.worldcat.org/oclc/18557967","WorldCat Record")</f>
        <v/>
      </c>
      <c r="AU627" t="inlineStr">
        <is>
          <t>17383362:eng</t>
        </is>
      </c>
      <c r="AV627" t="inlineStr">
        <is>
          <t>18557967</t>
        </is>
      </c>
      <c r="AW627" t="inlineStr">
        <is>
          <t>991001365389702656</t>
        </is>
      </c>
      <c r="AX627" t="inlineStr">
        <is>
          <t>991001365389702656</t>
        </is>
      </c>
      <c r="AY627" t="inlineStr">
        <is>
          <t>2264214730002656</t>
        </is>
      </c>
      <c r="AZ627" t="inlineStr">
        <is>
          <t>BOOK</t>
        </is>
      </c>
      <c r="BB627" t="inlineStr">
        <is>
          <t>9780198272755</t>
        </is>
      </c>
      <c r="BC627" t="inlineStr">
        <is>
          <t>32285000240480</t>
        </is>
      </c>
      <c r="BD627" t="inlineStr">
        <is>
          <t>893608793</t>
        </is>
      </c>
    </row>
    <row r="628">
      <c r="A628" t="inlineStr">
        <is>
          <t>No</t>
        </is>
      </c>
      <c r="B628" t="inlineStr">
        <is>
          <t>QH371 .E923 1984</t>
        </is>
      </c>
      <c r="C628" t="inlineStr">
        <is>
          <t>0                      QH 0371000E  923         1984</t>
        </is>
      </c>
      <c r="D628" t="inlineStr">
        <is>
          <t>Evolution by sexual selection theory : prior to 1900 / edited by Carl Jay Bajema.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New York : Van Nostrand Reinhold, c1984.</t>
        </is>
      </c>
      <c r="M628" t="inlineStr">
        <is>
          <t>1984</t>
        </is>
      </c>
      <c r="O628" t="inlineStr">
        <is>
          <t>eng</t>
        </is>
      </c>
      <c r="P628" t="inlineStr">
        <is>
          <t>nyu</t>
        </is>
      </c>
      <c r="Q628" t="inlineStr">
        <is>
          <t>Benchmark papers in systematic and evolutionary biology ; v. 6</t>
        </is>
      </c>
      <c r="R628" t="inlineStr">
        <is>
          <t xml:space="preserve">QH </t>
        </is>
      </c>
      <c r="S628" t="n">
        <v>10</v>
      </c>
      <c r="T628" t="n">
        <v>10</v>
      </c>
      <c r="U628" t="inlineStr">
        <is>
          <t>1997-02-23</t>
        </is>
      </c>
      <c r="V628" t="inlineStr">
        <is>
          <t>1997-02-23</t>
        </is>
      </c>
      <c r="W628" t="inlineStr">
        <is>
          <t>1993-04-05</t>
        </is>
      </c>
      <c r="X628" t="inlineStr">
        <is>
          <t>1993-04-05</t>
        </is>
      </c>
      <c r="Y628" t="n">
        <v>149</v>
      </c>
      <c r="Z628" t="n">
        <v>127</v>
      </c>
      <c r="AA628" t="n">
        <v>127</v>
      </c>
      <c r="AB628" t="n">
        <v>2</v>
      </c>
      <c r="AC628" t="n">
        <v>2</v>
      </c>
      <c r="AD628" t="n">
        <v>4</v>
      </c>
      <c r="AE628" t="n">
        <v>4</v>
      </c>
      <c r="AF628" t="n">
        <v>0</v>
      </c>
      <c r="AG628" t="n">
        <v>0</v>
      </c>
      <c r="AH628" t="n">
        <v>1</v>
      </c>
      <c r="AI628" t="n">
        <v>1</v>
      </c>
      <c r="AJ628" t="n">
        <v>3</v>
      </c>
      <c r="AK628" t="n">
        <v>3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HYPERLINK("https://creighton-primo.hosted.exlibrisgroup.com/primo-explore/search?tab=default_tab&amp;search_scope=EVERYTHING&amp;vid=01CRU&amp;lang=en_US&amp;offset=0&amp;query=any,contains,991000374579702656","Catalog Record")</f>
        <v/>
      </c>
      <c r="AT628">
        <f>HYPERLINK("http://www.worldcat.org/oclc/10457386","WorldCat Record")</f>
        <v/>
      </c>
      <c r="AU628" t="inlineStr">
        <is>
          <t>796101983:eng</t>
        </is>
      </c>
      <c r="AV628" t="inlineStr">
        <is>
          <t>10457386</t>
        </is>
      </c>
      <c r="AW628" t="inlineStr">
        <is>
          <t>991000374579702656</t>
        </is>
      </c>
      <c r="AX628" t="inlineStr">
        <is>
          <t>991000374579702656</t>
        </is>
      </c>
      <c r="AY628" t="inlineStr">
        <is>
          <t>2262950190002656</t>
        </is>
      </c>
      <c r="AZ628" t="inlineStr">
        <is>
          <t>BOOK</t>
        </is>
      </c>
      <c r="BB628" t="inlineStr">
        <is>
          <t>9780442211813</t>
        </is>
      </c>
      <c r="BC628" t="inlineStr">
        <is>
          <t>32285001554061</t>
        </is>
      </c>
      <c r="BD628" t="inlineStr">
        <is>
          <t>893249275</t>
        </is>
      </c>
    </row>
    <row r="629">
      <c r="A629" t="inlineStr">
        <is>
          <t>No</t>
        </is>
      </c>
      <c r="B629" t="inlineStr">
        <is>
          <t>QH371 .E925 1983</t>
        </is>
      </c>
      <c r="C629" t="inlineStr">
        <is>
          <t>0                      QH 0371000E  925         1983</t>
        </is>
      </c>
      <c r="D629" t="inlineStr">
        <is>
          <t>Evolution of genes and proteins / edited by Masatoshi Nei and Richard K. Koehn.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Sunderland, Mass. : Sinauer Associates, c1983.</t>
        </is>
      </c>
      <c r="M629" t="inlineStr">
        <is>
          <t>1983</t>
        </is>
      </c>
      <c r="O629" t="inlineStr">
        <is>
          <t>eng</t>
        </is>
      </c>
      <c r="P629" t="inlineStr">
        <is>
          <t>mau</t>
        </is>
      </c>
      <c r="R629" t="inlineStr">
        <is>
          <t xml:space="preserve">QH </t>
        </is>
      </c>
      <c r="S629" t="n">
        <v>9</v>
      </c>
      <c r="T629" t="n">
        <v>9</v>
      </c>
      <c r="U629" t="inlineStr">
        <is>
          <t>1995-11-26</t>
        </is>
      </c>
      <c r="V629" t="inlineStr">
        <is>
          <t>1995-11-26</t>
        </is>
      </c>
      <c r="W629" t="inlineStr">
        <is>
          <t>1994-01-27</t>
        </is>
      </c>
      <c r="X629" t="inlineStr">
        <is>
          <t>1994-01-27</t>
        </is>
      </c>
      <c r="Y629" t="n">
        <v>514</v>
      </c>
      <c r="Z629" t="n">
        <v>370</v>
      </c>
      <c r="AA629" t="n">
        <v>372</v>
      </c>
      <c r="AB629" t="n">
        <v>3</v>
      </c>
      <c r="AC629" t="n">
        <v>3</v>
      </c>
      <c r="AD629" t="n">
        <v>16</v>
      </c>
      <c r="AE629" t="n">
        <v>16</v>
      </c>
      <c r="AF629" t="n">
        <v>4</v>
      </c>
      <c r="AG629" t="n">
        <v>4</v>
      </c>
      <c r="AH629" t="n">
        <v>4</v>
      </c>
      <c r="AI629" t="n">
        <v>4</v>
      </c>
      <c r="AJ629" t="n">
        <v>10</v>
      </c>
      <c r="AK629" t="n">
        <v>10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HYPERLINK("http://catalog.hathitrust.org/Record/000776082","HathiTrust Record")</f>
        <v/>
      </c>
      <c r="AS629">
        <f>HYPERLINK("https://creighton-primo.hosted.exlibrisgroup.com/primo-explore/search?tab=default_tab&amp;search_scope=EVERYTHING&amp;vid=01CRU&amp;lang=en_US&amp;offset=0&amp;query=any,contains,991000157859702656","Catalog Record")</f>
        <v/>
      </c>
      <c r="AT629">
        <f>HYPERLINK("http://www.worldcat.org/oclc/9254465","WorldCat Record")</f>
        <v/>
      </c>
      <c r="AU629" t="inlineStr">
        <is>
          <t>365171059:eng</t>
        </is>
      </c>
      <c r="AV629" t="inlineStr">
        <is>
          <t>9254465</t>
        </is>
      </c>
      <c r="AW629" t="inlineStr">
        <is>
          <t>991000157859702656</t>
        </is>
      </c>
      <c r="AX629" t="inlineStr">
        <is>
          <t>991000157859702656</t>
        </is>
      </c>
      <c r="AY629" t="inlineStr">
        <is>
          <t>2259108500002656</t>
        </is>
      </c>
      <c r="AZ629" t="inlineStr">
        <is>
          <t>BOOK</t>
        </is>
      </c>
      <c r="BB629" t="inlineStr">
        <is>
          <t>9780878936045</t>
        </is>
      </c>
      <c r="BC629" t="inlineStr">
        <is>
          <t>32285001836302</t>
        </is>
      </c>
      <c r="BD629" t="inlineStr">
        <is>
          <t>893327082</t>
        </is>
      </c>
    </row>
    <row r="630">
      <c r="A630" t="inlineStr">
        <is>
          <t>No</t>
        </is>
      </c>
      <c r="B630" t="inlineStr">
        <is>
          <t>QH371 .E9274 1989</t>
        </is>
      </c>
      <c r="C630" t="inlineStr">
        <is>
          <t>0                      QH 0371000E  9274        1989</t>
        </is>
      </c>
      <c r="D630" t="inlineStr">
        <is>
          <t>Evolutionary biology of transient unstable populations / edited by Antonio Fontdevila.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Berlin ; New York : Springer-Verlag, c1989.</t>
        </is>
      </c>
      <c r="M630" t="inlineStr">
        <is>
          <t>1989</t>
        </is>
      </c>
      <c r="O630" t="inlineStr">
        <is>
          <t>eng</t>
        </is>
      </c>
      <c r="P630" t="inlineStr">
        <is>
          <t xml:space="preserve">gw </t>
        </is>
      </c>
      <c r="R630" t="inlineStr">
        <is>
          <t xml:space="preserve">QH </t>
        </is>
      </c>
      <c r="S630" t="n">
        <v>1</v>
      </c>
      <c r="T630" t="n">
        <v>1</v>
      </c>
      <c r="U630" t="inlineStr">
        <is>
          <t>1997-02-23</t>
        </is>
      </c>
      <c r="V630" t="inlineStr">
        <is>
          <t>1997-02-23</t>
        </is>
      </c>
      <c r="W630" t="inlineStr">
        <is>
          <t>1991-05-30</t>
        </is>
      </c>
      <c r="X630" t="inlineStr">
        <is>
          <t>1991-05-30</t>
        </is>
      </c>
      <c r="Y630" t="n">
        <v>164</v>
      </c>
      <c r="Z630" t="n">
        <v>114</v>
      </c>
      <c r="AA630" t="n">
        <v>132</v>
      </c>
      <c r="AB630" t="n">
        <v>2</v>
      </c>
      <c r="AC630" t="n">
        <v>2</v>
      </c>
      <c r="AD630" t="n">
        <v>2</v>
      </c>
      <c r="AE630" t="n">
        <v>3</v>
      </c>
      <c r="AF630" t="n">
        <v>0</v>
      </c>
      <c r="AG630" t="n">
        <v>1</v>
      </c>
      <c r="AH630" t="n">
        <v>1</v>
      </c>
      <c r="AI630" t="n">
        <v>1</v>
      </c>
      <c r="AJ630" t="n">
        <v>0</v>
      </c>
      <c r="AK630" t="n">
        <v>1</v>
      </c>
      <c r="AL630" t="n">
        <v>1</v>
      </c>
      <c r="AM630" t="n">
        <v>1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HYPERLINK("http://catalog.hathitrust.org/Record/001823084","HathiTrust Record")</f>
        <v/>
      </c>
      <c r="AS630">
        <f>HYPERLINK("https://creighton-primo.hosted.exlibrisgroup.com/primo-explore/search?tab=default_tab&amp;search_scope=EVERYTHING&amp;vid=01CRU&amp;lang=en_US&amp;offset=0&amp;query=any,contains,991001532109702656","Catalog Record")</f>
        <v/>
      </c>
      <c r="AT630">
        <f>HYPERLINK("http://www.worldcat.org/oclc/20055750","WorldCat Record")</f>
        <v/>
      </c>
      <c r="AU630" t="inlineStr">
        <is>
          <t>21191939:eng</t>
        </is>
      </c>
      <c r="AV630" t="inlineStr">
        <is>
          <t>20055750</t>
        </is>
      </c>
      <c r="AW630" t="inlineStr">
        <is>
          <t>991001532109702656</t>
        </is>
      </c>
      <c r="AX630" t="inlineStr">
        <is>
          <t>991001532109702656</t>
        </is>
      </c>
      <c r="AY630" t="inlineStr">
        <is>
          <t>2272471080002656</t>
        </is>
      </c>
      <c r="AZ630" t="inlineStr">
        <is>
          <t>BOOK</t>
        </is>
      </c>
      <c r="BB630" t="inlineStr">
        <is>
          <t>9780387508375</t>
        </is>
      </c>
      <c r="BC630" t="inlineStr">
        <is>
          <t>32285000590397</t>
        </is>
      </c>
      <c r="BD630" t="inlineStr">
        <is>
          <t>893866297</t>
        </is>
      </c>
    </row>
    <row r="631">
      <c r="A631" t="inlineStr">
        <is>
          <t>No</t>
        </is>
      </c>
      <c r="B631" t="inlineStr">
        <is>
          <t>QH371 .E929 1988</t>
        </is>
      </c>
      <c r="C631" t="inlineStr">
        <is>
          <t>0                      QH 0371000E  929         1988</t>
        </is>
      </c>
      <c r="D631" t="inlineStr">
        <is>
          <t>Evolutionary progress / edited by Matthew H. Nitecki.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Chicago : University of Chicago Press, 1988.</t>
        </is>
      </c>
      <c r="M631" t="inlineStr">
        <is>
          <t>1988</t>
        </is>
      </c>
      <c r="O631" t="inlineStr">
        <is>
          <t>eng</t>
        </is>
      </c>
      <c r="P631" t="inlineStr">
        <is>
          <t>ilu</t>
        </is>
      </c>
      <c r="R631" t="inlineStr">
        <is>
          <t xml:space="preserve">QH </t>
        </is>
      </c>
      <c r="S631" t="n">
        <v>8</v>
      </c>
      <c r="T631" t="n">
        <v>8</v>
      </c>
      <c r="U631" t="inlineStr">
        <is>
          <t>1996-10-01</t>
        </is>
      </c>
      <c r="V631" t="inlineStr">
        <is>
          <t>1996-10-01</t>
        </is>
      </c>
      <c r="W631" t="inlineStr">
        <is>
          <t>1990-03-08</t>
        </is>
      </c>
      <c r="X631" t="inlineStr">
        <is>
          <t>1990-03-08</t>
        </is>
      </c>
      <c r="Y631" t="n">
        <v>367</v>
      </c>
      <c r="Z631" t="n">
        <v>278</v>
      </c>
      <c r="AA631" t="n">
        <v>283</v>
      </c>
      <c r="AB631" t="n">
        <v>3</v>
      </c>
      <c r="AC631" t="n">
        <v>3</v>
      </c>
      <c r="AD631" t="n">
        <v>9</v>
      </c>
      <c r="AE631" t="n">
        <v>9</v>
      </c>
      <c r="AF631" t="n">
        <v>2</v>
      </c>
      <c r="AG631" t="n">
        <v>2</v>
      </c>
      <c r="AH631" t="n">
        <v>2</v>
      </c>
      <c r="AI631" t="n">
        <v>2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HYPERLINK("https://creighton-primo.hosted.exlibrisgroup.com/primo-explore/search?tab=default_tab&amp;search_scope=EVERYTHING&amp;vid=01CRU&amp;lang=en_US&amp;offset=0&amp;query=any,contains,991001339329702656","Catalog Record")</f>
        <v/>
      </c>
      <c r="AT631">
        <f>HYPERLINK("http://www.worldcat.org/oclc/18380658","WorldCat Record")</f>
        <v/>
      </c>
      <c r="AU631" t="inlineStr">
        <is>
          <t>350431324:eng</t>
        </is>
      </c>
      <c r="AV631" t="inlineStr">
        <is>
          <t>18380658</t>
        </is>
      </c>
      <c r="AW631" t="inlineStr">
        <is>
          <t>991001339329702656</t>
        </is>
      </c>
      <c r="AX631" t="inlineStr">
        <is>
          <t>991001339329702656</t>
        </is>
      </c>
      <c r="AY631" t="inlineStr">
        <is>
          <t>2255994070002656</t>
        </is>
      </c>
      <c r="AZ631" t="inlineStr">
        <is>
          <t>BOOK</t>
        </is>
      </c>
      <c r="BB631" t="inlineStr">
        <is>
          <t>9780226586939</t>
        </is>
      </c>
      <c r="BC631" t="inlineStr">
        <is>
          <t>32285000043140</t>
        </is>
      </c>
      <c r="BD631" t="inlineStr">
        <is>
          <t>893721001</t>
        </is>
      </c>
    </row>
    <row r="632">
      <c r="A632" t="inlineStr">
        <is>
          <t>No</t>
        </is>
      </c>
      <c r="B632" t="inlineStr">
        <is>
          <t>QH371 .E96 1989</t>
        </is>
      </c>
      <c r="C632" t="inlineStr">
        <is>
          <t>0                      QH 0371000E  96          1989</t>
        </is>
      </c>
      <c r="D632" t="inlineStr">
        <is>
          <t>Evolution and the fossil record / edited by Keith Allen and Derek Briggs.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L632" t="inlineStr">
        <is>
          <t>London : Belhaven Press, 1989.</t>
        </is>
      </c>
      <c r="M632" t="inlineStr">
        <is>
          <t>1989</t>
        </is>
      </c>
      <c r="O632" t="inlineStr">
        <is>
          <t>eng</t>
        </is>
      </c>
      <c r="P632" t="inlineStr">
        <is>
          <t>enk</t>
        </is>
      </c>
      <c r="R632" t="inlineStr">
        <is>
          <t xml:space="preserve">QH </t>
        </is>
      </c>
      <c r="S632" t="n">
        <v>7</v>
      </c>
      <c r="T632" t="n">
        <v>7</v>
      </c>
      <c r="U632" t="inlineStr">
        <is>
          <t>1996-10-01</t>
        </is>
      </c>
      <c r="V632" t="inlineStr">
        <is>
          <t>1996-10-01</t>
        </is>
      </c>
      <c r="W632" t="inlineStr">
        <is>
          <t>1990-07-18</t>
        </is>
      </c>
      <c r="X632" t="inlineStr">
        <is>
          <t>1990-07-18</t>
        </is>
      </c>
      <c r="Y632" t="n">
        <v>227</v>
      </c>
      <c r="Z632" t="n">
        <v>96</v>
      </c>
      <c r="AA632" t="n">
        <v>418</v>
      </c>
      <c r="AB632" t="n">
        <v>3</v>
      </c>
      <c r="AC632" t="n">
        <v>6</v>
      </c>
      <c r="AD632" t="n">
        <v>5</v>
      </c>
      <c r="AE632" t="n">
        <v>22</v>
      </c>
      <c r="AF632" t="n">
        <v>0</v>
      </c>
      <c r="AG632" t="n">
        <v>8</v>
      </c>
      <c r="AH632" t="n">
        <v>3</v>
      </c>
      <c r="AI632" t="n">
        <v>5</v>
      </c>
      <c r="AJ632" t="n">
        <v>1</v>
      </c>
      <c r="AK632" t="n">
        <v>9</v>
      </c>
      <c r="AL632" t="n">
        <v>2</v>
      </c>
      <c r="AM632" t="n">
        <v>5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HYPERLINK("http://catalog.hathitrust.org/Record/001945328","HathiTrust Record")</f>
        <v/>
      </c>
      <c r="AS632">
        <f>HYPERLINK("https://creighton-primo.hosted.exlibrisgroup.com/primo-explore/search?tab=default_tab&amp;search_scope=EVERYTHING&amp;vid=01CRU&amp;lang=en_US&amp;offset=0&amp;query=any,contains,991001664769702656","Catalog Record")</f>
        <v/>
      </c>
      <c r="AT632">
        <f>HYPERLINK("http://www.worldcat.org/oclc/23975937","WorldCat Record")</f>
        <v/>
      </c>
      <c r="AU632" t="inlineStr">
        <is>
          <t>365729952:eng</t>
        </is>
      </c>
      <c r="AV632" t="inlineStr">
        <is>
          <t>23975937</t>
        </is>
      </c>
      <c r="AW632" t="inlineStr">
        <is>
          <t>991001664769702656</t>
        </is>
      </c>
      <c r="AX632" t="inlineStr">
        <is>
          <t>991001664769702656</t>
        </is>
      </c>
      <c r="AY632" t="inlineStr">
        <is>
          <t>2271249100002656</t>
        </is>
      </c>
      <c r="AZ632" t="inlineStr">
        <is>
          <t>BOOK</t>
        </is>
      </c>
      <c r="BB632" t="inlineStr">
        <is>
          <t>9781852930110</t>
        </is>
      </c>
      <c r="BC632" t="inlineStr">
        <is>
          <t>32285000209121</t>
        </is>
      </c>
      <c r="BD632" t="inlineStr">
        <is>
          <t>893226006</t>
        </is>
      </c>
    </row>
    <row r="633">
      <c r="A633" t="inlineStr">
        <is>
          <t>No</t>
        </is>
      </c>
      <c r="B633" t="inlineStr">
        <is>
          <t>QH371 .G3 1969</t>
        </is>
      </c>
      <c r="C633" t="inlineStr">
        <is>
          <t>0                      QH 0371000G  3           1969</t>
        </is>
      </c>
      <c r="D633" t="inlineStr">
        <is>
          <t>The struggle for existence / by G. F. Gause.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Gauze, G. F. (Georgiĭ Frant͡sevich), 1910-1986.</t>
        </is>
      </c>
      <c r="L633" t="inlineStr">
        <is>
          <t>New York : Hafner, 1969.</t>
        </is>
      </c>
      <c r="M633" t="inlineStr">
        <is>
          <t>1969</t>
        </is>
      </c>
      <c r="O633" t="inlineStr">
        <is>
          <t>eng</t>
        </is>
      </c>
      <c r="P633" t="inlineStr">
        <is>
          <t xml:space="preserve">xx </t>
        </is>
      </c>
      <c r="R633" t="inlineStr">
        <is>
          <t xml:space="preserve">QH </t>
        </is>
      </c>
      <c r="S633" t="n">
        <v>1</v>
      </c>
      <c r="T633" t="n">
        <v>1</v>
      </c>
      <c r="U633" t="inlineStr">
        <is>
          <t>1995-02-21</t>
        </is>
      </c>
      <c r="V633" t="inlineStr">
        <is>
          <t>1995-02-21</t>
        </is>
      </c>
      <c r="W633" t="inlineStr">
        <is>
          <t>1992-05-08</t>
        </is>
      </c>
      <c r="X633" t="inlineStr">
        <is>
          <t>1992-05-08</t>
        </is>
      </c>
      <c r="Y633" t="n">
        <v>105</v>
      </c>
      <c r="Z633" t="n">
        <v>92</v>
      </c>
      <c r="AA633" t="n">
        <v>647</v>
      </c>
      <c r="AB633" t="n">
        <v>3</v>
      </c>
      <c r="AC633" t="n">
        <v>5</v>
      </c>
      <c r="AD633" t="n">
        <v>4</v>
      </c>
      <c r="AE633" t="n">
        <v>21</v>
      </c>
      <c r="AF633" t="n">
        <v>2</v>
      </c>
      <c r="AG633" t="n">
        <v>9</v>
      </c>
      <c r="AH633" t="n">
        <v>0</v>
      </c>
      <c r="AI633" t="n">
        <v>5</v>
      </c>
      <c r="AJ633" t="n">
        <v>0</v>
      </c>
      <c r="AK633" t="n">
        <v>7</v>
      </c>
      <c r="AL633" t="n">
        <v>2</v>
      </c>
      <c r="AM633" t="n">
        <v>4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HYPERLINK("http://catalog.hathitrust.org/Record/001492699","HathiTrust Record")</f>
        <v/>
      </c>
      <c r="AS633">
        <f>HYPERLINK("https://creighton-primo.hosted.exlibrisgroup.com/primo-explore/search?tab=default_tab&amp;search_scope=EVERYTHING&amp;vid=01CRU&amp;lang=en_US&amp;offset=0&amp;query=any,contains,991004058149702656","Catalog Record")</f>
        <v/>
      </c>
      <c r="AT633">
        <f>HYPERLINK("http://www.worldcat.org/oclc/2232390","WorldCat Record")</f>
        <v/>
      </c>
      <c r="AU633" t="inlineStr">
        <is>
          <t>218576656:eng</t>
        </is>
      </c>
      <c r="AV633" t="inlineStr">
        <is>
          <t>2232390</t>
        </is>
      </c>
      <c r="AW633" t="inlineStr">
        <is>
          <t>991004058149702656</t>
        </is>
      </c>
      <c r="AX633" t="inlineStr">
        <is>
          <t>991004058149702656</t>
        </is>
      </c>
      <c r="AY633" t="inlineStr">
        <is>
          <t>2255222150002656</t>
        </is>
      </c>
      <c r="AZ633" t="inlineStr">
        <is>
          <t>BOOK</t>
        </is>
      </c>
      <c r="BC633" t="inlineStr">
        <is>
          <t>32285001094852</t>
        </is>
      </c>
      <c r="BD633" t="inlineStr">
        <is>
          <t>893331159</t>
        </is>
      </c>
    </row>
    <row r="634">
      <c r="A634" t="inlineStr">
        <is>
          <t>No</t>
        </is>
      </c>
      <c r="B634" t="inlineStr">
        <is>
          <t>QH371 .I53 1981</t>
        </is>
      </c>
      <c r="C634" t="inlineStr">
        <is>
          <t>0                      QH 0371000I  53          1981</t>
        </is>
      </c>
      <c r="D634" t="inlineStr">
        <is>
          <t>Mechanisms of speciation : proceedings from the International Meeting on Mechanisms of Speciation / sponsored by the Accademia Nazionale dei Lincei, May 4-8, 1981, Rome, Italy ; editor, Claudio Barigozzi.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International Meeting on Mechanisms of Speciation (1981 : Rome, Italy)</t>
        </is>
      </c>
      <c r="L634" t="inlineStr">
        <is>
          <t>New York : A.R. Liss, c1982.</t>
        </is>
      </c>
      <c r="M634" t="inlineStr">
        <is>
          <t>1982</t>
        </is>
      </c>
      <c r="O634" t="inlineStr">
        <is>
          <t>eng</t>
        </is>
      </c>
      <c r="P634" t="inlineStr">
        <is>
          <t>nyu</t>
        </is>
      </c>
      <c r="Q634" t="inlineStr">
        <is>
          <t>Progress in clinical and biological research ; 96</t>
        </is>
      </c>
      <c r="R634" t="inlineStr">
        <is>
          <t xml:space="preserve">QH </t>
        </is>
      </c>
      <c r="S634" t="n">
        <v>6</v>
      </c>
      <c r="T634" t="n">
        <v>6</v>
      </c>
      <c r="U634" t="inlineStr">
        <is>
          <t>1996-09-08</t>
        </is>
      </c>
      <c r="V634" t="inlineStr">
        <is>
          <t>1996-09-08</t>
        </is>
      </c>
      <c r="W634" t="inlineStr">
        <is>
          <t>1993-04-05</t>
        </is>
      </c>
      <c r="X634" t="inlineStr">
        <is>
          <t>1993-04-05</t>
        </is>
      </c>
      <c r="Y634" t="n">
        <v>278</v>
      </c>
      <c r="Z634" t="n">
        <v>203</v>
      </c>
      <c r="AA634" t="n">
        <v>205</v>
      </c>
      <c r="AB634" t="n">
        <v>1</v>
      </c>
      <c r="AC634" t="n">
        <v>1</v>
      </c>
      <c r="AD634" t="n">
        <v>5</v>
      </c>
      <c r="AE634" t="n">
        <v>5</v>
      </c>
      <c r="AF634" t="n">
        <v>1</v>
      </c>
      <c r="AG634" t="n">
        <v>1</v>
      </c>
      <c r="AH634" t="n">
        <v>1</v>
      </c>
      <c r="AI634" t="n">
        <v>1</v>
      </c>
      <c r="AJ634" t="n">
        <v>4</v>
      </c>
      <c r="AK634" t="n">
        <v>4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HYPERLINK("http://catalog.hathitrust.org/Record/000308675","HathiTrust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HYPERLINK("https://creighton-primo.hosted.exlibrisgroup.com/primo-explore/search?tab=default_tab&amp;search_scope=EVERYTHING&amp;vid=01CRU&amp;lang=en_US&amp;offset=0&amp;query=any,contains,991000046709702656","Catalog Record")</f>
        <v/>
      </c>
      <c r="AT634">
        <f>HYPERLINK("http://www.worldcat.org/oclc/8669439","WorldCat Record")</f>
        <v/>
      </c>
      <c r="AU634" t="inlineStr">
        <is>
          <t>32496180:eng</t>
        </is>
      </c>
      <c r="AV634" t="inlineStr">
        <is>
          <t>8669439</t>
        </is>
      </c>
      <c r="AW634" t="inlineStr">
        <is>
          <t>991000046709702656</t>
        </is>
      </c>
      <c r="AX634" t="inlineStr">
        <is>
          <t>991000046709702656</t>
        </is>
      </c>
      <c r="AY634" t="inlineStr">
        <is>
          <t>2269960870002656</t>
        </is>
      </c>
      <c r="AZ634" t="inlineStr">
        <is>
          <t>BOOK</t>
        </is>
      </c>
      <c r="BB634" t="inlineStr">
        <is>
          <t>9780845100967</t>
        </is>
      </c>
      <c r="BC634" t="inlineStr">
        <is>
          <t>32285001554079</t>
        </is>
      </c>
      <c r="BD634" t="inlineStr">
        <is>
          <t>893345330</t>
        </is>
      </c>
    </row>
    <row r="635">
      <c r="A635" t="inlineStr">
        <is>
          <t>No</t>
        </is>
      </c>
      <c r="B635" t="inlineStr">
        <is>
          <t>QH371 .K53 1983</t>
        </is>
      </c>
      <c r="C635" t="inlineStr">
        <is>
          <t>0                      QH 0371000K  53          1983</t>
        </is>
      </c>
      <c r="D635" t="inlineStr">
        <is>
          <t>The neutral theory of molecular evolution / Motoo Kimura.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Kimura, Motoo, 1924-</t>
        </is>
      </c>
      <c r="L635" t="inlineStr">
        <is>
          <t>Cambridge [Cambridgeshire] ; New York : Cambridge University Press, 1983.</t>
        </is>
      </c>
      <c r="M635" t="inlineStr">
        <is>
          <t>1983</t>
        </is>
      </c>
      <c r="O635" t="inlineStr">
        <is>
          <t>eng</t>
        </is>
      </c>
      <c r="P635" t="inlineStr">
        <is>
          <t>enk</t>
        </is>
      </c>
      <c r="R635" t="inlineStr">
        <is>
          <t xml:space="preserve">QH </t>
        </is>
      </c>
      <c r="S635" t="n">
        <v>5</v>
      </c>
      <c r="T635" t="n">
        <v>5</v>
      </c>
      <c r="U635" t="inlineStr">
        <is>
          <t>2010-09-15</t>
        </is>
      </c>
      <c r="V635" t="inlineStr">
        <is>
          <t>2010-09-15</t>
        </is>
      </c>
      <c r="W635" t="inlineStr">
        <is>
          <t>1993-04-05</t>
        </is>
      </c>
      <c r="X635" t="inlineStr">
        <is>
          <t>1993-04-05</t>
        </is>
      </c>
      <c r="Y635" t="n">
        <v>548</v>
      </c>
      <c r="Z635" t="n">
        <v>391</v>
      </c>
      <c r="AA635" t="n">
        <v>425</v>
      </c>
      <c r="AB635" t="n">
        <v>3</v>
      </c>
      <c r="AC635" t="n">
        <v>3</v>
      </c>
      <c r="AD635" t="n">
        <v>19</v>
      </c>
      <c r="AE635" t="n">
        <v>22</v>
      </c>
      <c r="AF635" t="n">
        <v>8</v>
      </c>
      <c r="AG635" t="n">
        <v>10</v>
      </c>
      <c r="AH635" t="n">
        <v>5</v>
      </c>
      <c r="AI635" t="n">
        <v>6</v>
      </c>
      <c r="AJ635" t="n">
        <v>10</v>
      </c>
      <c r="AK635" t="n">
        <v>11</v>
      </c>
      <c r="AL635" t="n">
        <v>2</v>
      </c>
      <c r="AM635" t="n">
        <v>2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HYPERLINK("https://creighton-primo.hosted.exlibrisgroup.com/primo-explore/search?tab=default_tab&amp;search_scope=EVERYTHING&amp;vid=01CRU&amp;lang=en_US&amp;offset=0&amp;query=any,contains,991005257479702656","Catalog Record")</f>
        <v/>
      </c>
      <c r="AT635">
        <f>HYPERLINK("http://www.worldcat.org/oclc/9081989","WorldCat Record")</f>
        <v/>
      </c>
      <c r="AU635" t="inlineStr">
        <is>
          <t>8776549:eng</t>
        </is>
      </c>
      <c r="AV635" t="inlineStr">
        <is>
          <t>9081989</t>
        </is>
      </c>
      <c r="AW635" t="inlineStr">
        <is>
          <t>991005257479702656</t>
        </is>
      </c>
      <c r="AX635" t="inlineStr">
        <is>
          <t>991005257479702656</t>
        </is>
      </c>
      <c r="AY635" t="inlineStr">
        <is>
          <t>2255956490002656</t>
        </is>
      </c>
      <c r="AZ635" t="inlineStr">
        <is>
          <t>BOOK</t>
        </is>
      </c>
      <c r="BB635" t="inlineStr">
        <is>
          <t>9780521231091</t>
        </is>
      </c>
      <c r="BC635" t="inlineStr">
        <is>
          <t>32285001554095</t>
        </is>
      </c>
      <c r="BD635" t="inlineStr">
        <is>
          <t>893418634</t>
        </is>
      </c>
    </row>
    <row r="636">
      <c r="A636" t="inlineStr">
        <is>
          <t>No</t>
        </is>
      </c>
      <c r="B636" t="inlineStr">
        <is>
          <t>QH371 .K57 1982</t>
        </is>
      </c>
      <c r="C636" t="inlineStr">
        <is>
          <t>0                      QH 0371000K  57          1982</t>
        </is>
      </c>
      <c r="D636" t="inlineStr">
        <is>
          <t>Abusing science : the case against creationism / Philip Kitcher.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Kitcher, Philip, 1947-</t>
        </is>
      </c>
      <c r="L636" t="inlineStr">
        <is>
          <t>Cambridge, Mass. : MIT Press, c1982.</t>
        </is>
      </c>
      <c r="M636" t="inlineStr">
        <is>
          <t>1982</t>
        </is>
      </c>
      <c r="O636" t="inlineStr">
        <is>
          <t>eng</t>
        </is>
      </c>
      <c r="P636" t="inlineStr">
        <is>
          <t>mau</t>
        </is>
      </c>
      <c r="R636" t="inlineStr">
        <is>
          <t xml:space="preserve">QH </t>
        </is>
      </c>
      <c r="S636" t="n">
        <v>24</v>
      </c>
      <c r="T636" t="n">
        <v>24</v>
      </c>
      <c r="U636" t="inlineStr">
        <is>
          <t>2006-11-27</t>
        </is>
      </c>
      <c r="V636" t="inlineStr">
        <is>
          <t>2006-11-27</t>
        </is>
      </c>
      <c r="W636" t="inlineStr">
        <is>
          <t>1992-05-21</t>
        </is>
      </c>
      <c r="X636" t="inlineStr">
        <is>
          <t>1992-05-21</t>
        </is>
      </c>
      <c r="Y636" t="n">
        <v>1687</v>
      </c>
      <c r="Z636" t="n">
        <v>1472</v>
      </c>
      <c r="AA636" t="n">
        <v>1552</v>
      </c>
      <c r="AB636" t="n">
        <v>8</v>
      </c>
      <c r="AC636" t="n">
        <v>11</v>
      </c>
      <c r="AD636" t="n">
        <v>45</v>
      </c>
      <c r="AE636" t="n">
        <v>48</v>
      </c>
      <c r="AF636" t="n">
        <v>20</v>
      </c>
      <c r="AG636" t="n">
        <v>20</v>
      </c>
      <c r="AH636" t="n">
        <v>8</v>
      </c>
      <c r="AI636" t="n">
        <v>8</v>
      </c>
      <c r="AJ636" t="n">
        <v>24</v>
      </c>
      <c r="AK636" t="n">
        <v>24</v>
      </c>
      <c r="AL636" t="n">
        <v>4</v>
      </c>
      <c r="AM636" t="n">
        <v>7</v>
      </c>
      <c r="AN636" t="n">
        <v>2</v>
      </c>
      <c r="AO636" t="n">
        <v>2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HYPERLINK("https://creighton-primo.hosted.exlibrisgroup.com/primo-explore/search?tab=default_tab&amp;search_scope=EVERYTHING&amp;vid=01CRU&amp;lang=en_US&amp;offset=0&amp;query=any,contains,991005249949702656","Catalog Record")</f>
        <v/>
      </c>
      <c r="AT636">
        <f>HYPERLINK("http://www.worldcat.org/oclc/8477616","WorldCat Record")</f>
        <v/>
      </c>
      <c r="AU636" t="inlineStr">
        <is>
          <t>2978680:eng</t>
        </is>
      </c>
      <c r="AV636" t="inlineStr">
        <is>
          <t>8477616</t>
        </is>
      </c>
      <c r="AW636" t="inlineStr">
        <is>
          <t>991005249949702656</t>
        </is>
      </c>
      <c r="AX636" t="inlineStr">
        <is>
          <t>991005249949702656</t>
        </is>
      </c>
      <c r="AY636" t="inlineStr">
        <is>
          <t>2254774210002656</t>
        </is>
      </c>
      <c r="AZ636" t="inlineStr">
        <is>
          <t>BOOK</t>
        </is>
      </c>
      <c r="BB636" t="inlineStr">
        <is>
          <t>9780262110853</t>
        </is>
      </c>
      <c r="BC636" t="inlineStr">
        <is>
          <t>32285001113017</t>
        </is>
      </c>
      <c r="BD636" t="inlineStr">
        <is>
          <t>893688837</t>
        </is>
      </c>
    </row>
    <row r="637">
      <c r="A637" t="inlineStr">
        <is>
          <t>No</t>
        </is>
      </c>
      <c r="B637" t="inlineStr">
        <is>
          <t>QH371 .K73</t>
        </is>
      </c>
      <c r="C637" t="inlineStr">
        <is>
          <t>0                      QH 0371000K  73</t>
        </is>
      </c>
      <c r="D637" t="inlineStr">
        <is>
          <t>An introduction to behavioural ecology / by John R. Krebs and Nicholas B. Davies.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Yes</t>
        </is>
      </c>
      <c r="J637" t="inlineStr">
        <is>
          <t>0</t>
        </is>
      </c>
      <c r="K637" t="inlineStr">
        <is>
          <t>Krebs, J. R. (John R.)</t>
        </is>
      </c>
      <c r="L637" t="inlineStr">
        <is>
          <t>Sunderland, Mass. : Sinauer Associates Inc., [1981]</t>
        </is>
      </c>
      <c r="M637" t="inlineStr">
        <is>
          <t>1981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QH </t>
        </is>
      </c>
      <c r="S637" t="n">
        <v>5</v>
      </c>
      <c r="T637" t="n">
        <v>5</v>
      </c>
      <c r="U637" t="inlineStr">
        <is>
          <t>1999-04-17</t>
        </is>
      </c>
      <c r="V637" t="inlineStr">
        <is>
          <t>1999-04-17</t>
        </is>
      </c>
      <c r="W637" t="inlineStr">
        <is>
          <t>1992-06-10</t>
        </is>
      </c>
      <c r="X637" t="inlineStr">
        <is>
          <t>1992-06-10</t>
        </is>
      </c>
      <c r="Y637" t="n">
        <v>271</v>
      </c>
      <c r="Z637" t="n">
        <v>234</v>
      </c>
      <c r="AA637" t="n">
        <v>894</v>
      </c>
      <c r="AB637" t="n">
        <v>1</v>
      </c>
      <c r="AC637" t="n">
        <v>8</v>
      </c>
      <c r="AD637" t="n">
        <v>9</v>
      </c>
      <c r="AE637" t="n">
        <v>42</v>
      </c>
      <c r="AF637" t="n">
        <v>3</v>
      </c>
      <c r="AG637" t="n">
        <v>14</v>
      </c>
      <c r="AH637" t="n">
        <v>4</v>
      </c>
      <c r="AI637" t="n">
        <v>10</v>
      </c>
      <c r="AJ637" t="n">
        <v>5</v>
      </c>
      <c r="AK637" t="n">
        <v>16</v>
      </c>
      <c r="AL637" t="n">
        <v>0</v>
      </c>
      <c r="AM637" t="n">
        <v>7</v>
      </c>
      <c r="AN637" t="n">
        <v>0</v>
      </c>
      <c r="AO637" t="n">
        <v>2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HYPERLINK("http://catalog.hathitrust.org/Record/000105222","HathiTrust Record")</f>
        <v/>
      </c>
      <c r="AS637">
        <f>HYPERLINK("https://creighton-primo.hosted.exlibrisgroup.com/primo-explore/search?tab=default_tab&amp;search_scope=EVERYTHING&amp;vid=01CRU&amp;lang=en_US&amp;offset=0&amp;query=any,contains,991005059069702656","Catalog Record")</f>
        <v/>
      </c>
      <c r="AT637">
        <f>HYPERLINK("http://www.worldcat.org/oclc/6916095","WorldCat Record")</f>
        <v/>
      </c>
      <c r="AU637" t="inlineStr">
        <is>
          <t>4923075896:eng</t>
        </is>
      </c>
      <c r="AV637" t="inlineStr">
        <is>
          <t>6916095</t>
        </is>
      </c>
      <c r="AW637" t="inlineStr">
        <is>
          <t>991005059069702656</t>
        </is>
      </c>
      <c r="AX637" t="inlineStr">
        <is>
          <t>991005059069702656</t>
        </is>
      </c>
      <c r="AY637" t="inlineStr">
        <is>
          <t>2266156140002656</t>
        </is>
      </c>
      <c r="AZ637" t="inlineStr">
        <is>
          <t>BOOK</t>
        </is>
      </c>
      <c r="BB637" t="inlineStr">
        <is>
          <t>9780878934317</t>
        </is>
      </c>
      <c r="BC637" t="inlineStr">
        <is>
          <t>32285001098929</t>
        </is>
      </c>
      <c r="BD637" t="inlineStr">
        <is>
          <t>893883268</t>
        </is>
      </c>
    </row>
    <row r="638">
      <c r="A638" t="inlineStr">
        <is>
          <t>No</t>
        </is>
      </c>
      <c r="B638" t="inlineStr">
        <is>
          <t>QH371 .L33 1991</t>
        </is>
      </c>
      <c r="C638" t="inlineStr">
        <is>
          <t>0                      QH 0371000L  33          1991</t>
        </is>
      </c>
      <c r="D638" t="inlineStr">
        <is>
          <t>Molecular genetics and comparative evolution / J. Langridge.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Langridge, J. (John), 1923-</t>
        </is>
      </c>
      <c r="L638" t="inlineStr">
        <is>
          <t>Taunton, Somerset, England : Research Studies Press ; New York : Wiley, c1991.</t>
        </is>
      </c>
      <c r="M638" t="inlineStr">
        <is>
          <t>1991</t>
        </is>
      </c>
      <c r="O638" t="inlineStr">
        <is>
          <t>eng</t>
        </is>
      </c>
      <c r="P638" t="inlineStr">
        <is>
          <t>enk</t>
        </is>
      </c>
      <c r="Q638" t="inlineStr">
        <is>
          <t>Research studies in botany and related applied fields ; 9</t>
        </is>
      </c>
      <c r="R638" t="inlineStr">
        <is>
          <t xml:space="preserve">QH </t>
        </is>
      </c>
      <c r="S638" t="n">
        <v>9</v>
      </c>
      <c r="T638" t="n">
        <v>9</v>
      </c>
      <c r="U638" t="inlineStr">
        <is>
          <t>1998-06-21</t>
        </is>
      </c>
      <c r="V638" t="inlineStr">
        <is>
          <t>1998-06-21</t>
        </is>
      </c>
      <c r="W638" t="inlineStr">
        <is>
          <t>1992-11-23</t>
        </is>
      </c>
      <c r="X638" t="inlineStr">
        <is>
          <t>1992-11-23</t>
        </is>
      </c>
      <c r="Y638" t="n">
        <v>181</v>
      </c>
      <c r="Z638" t="n">
        <v>113</v>
      </c>
      <c r="AA638" t="n">
        <v>114</v>
      </c>
      <c r="AB638" t="n">
        <v>2</v>
      </c>
      <c r="AC638" t="n">
        <v>2</v>
      </c>
      <c r="AD638" t="n">
        <v>5</v>
      </c>
      <c r="AE638" t="n">
        <v>5</v>
      </c>
      <c r="AF638" t="n">
        <v>2</v>
      </c>
      <c r="AG638" t="n">
        <v>2</v>
      </c>
      <c r="AH638" t="n">
        <v>1</v>
      </c>
      <c r="AI638" t="n">
        <v>1</v>
      </c>
      <c r="AJ638" t="n">
        <v>3</v>
      </c>
      <c r="AK638" t="n">
        <v>3</v>
      </c>
      <c r="AL638" t="n">
        <v>1</v>
      </c>
      <c r="AM638" t="n">
        <v>1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HYPERLINK("http://catalog.hathitrust.org/Record/002455080","HathiTrust Record")</f>
        <v/>
      </c>
      <c r="AS638">
        <f>HYPERLINK("https://creighton-primo.hosted.exlibrisgroup.com/primo-explore/search?tab=default_tab&amp;search_scope=EVERYTHING&amp;vid=01CRU&amp;lang=en_US&amp;offset=0&amp;query=any,contains,991001763339702656","Catalog Record")</f>
        <v/>
      </c>
      <c r="AT638">
        <f>HYPERLINK("http://www.worldcat.org/oclc/22279818","WorldCat Record")</f>
        <v/>
      </c>
      <c r="AU638" t="inlineStr">
        <is>
          <t>24363811:eng</t>
        </is>
      </c>
      <c r="AV638" t="inlineStr">
        <is>
          <t>22279818</t>
        </is>
      </c>
      <c r="AW638" t="inlineStr">
        <is>
          <t>991001763339702656</t>
        </is>
      </c>
      <c r="AX638" t="inlineStr">
        <is>
          <t>991001763339702656</t>
        </is>
      </c>
      <c r="AY638" t="inlineStr">
        <is>
          <t>2260419270002656</t>
        </is>
      </c>
      <c r="AZ638" t="inlineStr">
        <is>
          <t>BOOK</t>
        </is>
      </c>
      <c r="BB638" t="inlineStr">
        <is>
          <t>9780471928768</t>
        </is>
      </c>
      <c r="BC638" t="inlineStr">
        <is>
          <t>32285001424968</t>
        </is>
      </c>
      <c r="BD638" t="inlineStr">
        <is>
          <t>893879151</t>
        </is>
      </c>
    </row>
    <row r="639">
      <c r="A639" t="inlineStr">
        <is>
          <t>No</t>
        </is>
      </c>
      <c r="B639" t="inlineStr">
        <is>
          <t>QH371 .L38 1987</t>
        </is>
      </c>
      <c r="C639" t="inlineStr">
        <is>
          <t>0                      QH 0371000L  38          1987</t>
        </is>
      </c>
      <c r="D639" t="inlineStr">
        <is>
          <t>The Latest on the best : essays on evolution and optimality / edited by John Dupré.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Cambridge, Mass. : MIT Press, c1987.</t>
        </is>
      </c>
      <c r="M639" t="inlineStr">
        <is>
          <t>1987</t>
        </is>
      </c>
      <c r="O639" t="inlineStr">
        <is>
          <t>eng</t>
        </is>
      </c>
      <c r="P639" t="inlineStr">
        <is>
          <t>mau</t>
        </is>
      </c>
      <c r="R639" t="inlineStr">
        <is>
          <t xml:space="preserve">QH </t>
        </is>
      </c>
      <c r="S639" t="n">
        <v>2</v>
      </c>
      <c r="T639" t="n">
        <v>2</v>
      </c>
      <c r="U639" t="inlineStr">
        <is>
          <t>1996-10-07</t>
        </is>
      </c>
      <c r="V639" t="inlineStr">
        <is>
          <t>1996-10-07</t>
        </is>
      </c>
      <c r="W639" t="inlineStr">
        <is>
          <t>1993-04-05</t>
        </is>
      </c>
      <c r="X639" t="inlineStr">
        <is>
          <t>1993-04-05</t>
        </is>
      </c>
      <c r="Y639" t="n">
        <v>443</v>
      </c>
      <c r="Z639" t="n">
        <v>339</v>
      </c>
      <c r="AA639" t="n">
        <v>345</v>
      </c>
      <c r="AB639" t="n">
        <v>2</v>
      </c>
      <c r="AC639" t="n">
        <v>2</v>
      </c>
      <c r="AD639" t="n">
        <v>16</v>
      </c>
      <c r="AE639" t="n">
        <v>16</v>
      </c>
      <c r="AF639" t="n">
        <v>7</v>
      </c>
      <c r="AG639" t="n">
        <v>7</v>
      </c>
      <c r="AH639" t="n">
        <v>3</v>
      </c>
      <c r="AI639" t="n">
        <v>3</v>
      </c>
      <c r="AJ639" t="n">
        <v>11</v>
      </c>
      <c r="AK639" t="n">
        <v>11</v>
      </c>
      <c r="AL639" t="n">
        <v>1</v>
      </c>
      <c r="AM639" t="n">
        <v>1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HYPERLINK("http://catalog.hathitrust.org/Record/000852084","HathiTrust Record")</f>
        <v/>
      </c>
      <c r="AS639">
        <f>HYPERLINK("https://creighton-primo.hosted.exlibrisgroup.com/primo-explore/search?tab=default_tab&amp;search_scope=EVERYTHING&amp;vid=01CRU&amp;lang=en_US&amp;offset=0&amp;query=any,contains,991000957779702656","Catalog Record")</f>
        <v/>
      </c>
      <c r="AT639">
        <f>HYPERLINK("http://www.worldcat.org/oclc/14719752","WorldCat Record")</f>
        <v/>
      </c>
      <c r="AU639" t="inlineStr">
        <is>
          <t>836692223:eng</t>
        </is>
      </c>
      <c r="AV639" t="inlineStr">
        <is>
          <t>14719752</t>
        </is>
      </c>
      <c r="AW639" t="inlineStr">
        <is>
          <t>991000957779702656</t>
        </is>
      </c>
      <c r="AX639" t="inlineStr">
        <is>
          <t>991000957779702656</t>
        </is>
      </c>
      <c r="AY639" t="inlineStr">
        <is>
          <t>2254709930002656</t>
        </is>
      </c>
      <c r="AZ639" t="inlineStr">
        <is>
          <t>BOOK</t>
        </is>
      </c>
      <c r="BB639" t="inlineStr">
        <is>
          <t>9780262040907</t>
        </is>
      </c>
      <c r="BC639" t="inlineStr">
        <is>
          <t>32285001554103</t>
        </is>
      </c>
      <c r="BD639" t="inlineStr">
        <is>
          <t>893702596</t>
        </is>
      </c>
    </row>
    <row r="640">
      <c r="A640" t="inlineStr">
        <is>
          <t>No</t>
        </is>
      </c>
      <c r="B640" t="inlineStr">
        <is>
          <t>QH371 .L47 1989</t>
        </is>
      </c>
      <c r="C640" t="inlineStr">
        <is>
          <t>0                      QH 0371000L  47          1989</t>
        </is>
      </c>
      <c r="D640" t="inlineStr">
        <is>
          <t>The natural limits to biological change / Lane P. Lester and Raymond G. Bohlin ; with a response by V. Elving Anderson.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Lester, Lane P.</t>
        </is>
      </c>
      <c r="L640" t="inlineStr">
        <is>
          <t>Dallas : Probe Books : Distributed by Word Pub., 1989.</t>
        </is>
      </c>
      <c r="M640" t="inlineStr">
        <is>
          <t>1989</t>
        </is>
      </c>
      <c r="O640" t="inlineStr">
        <is>
          <t>eng</t>
        </is>
      </c>
      <c r="P640" t="inlineStr">
        <is>
          <t>txu</t>
        </is>
      </c>
      <c r="R640" t="inlineStr">
        <is>
          <t xml:space="preserve">QH </t>
        </is>
      </c>
      <c r="S640" t="n">
        <v>4</v>
      </c>
      <c r="T640" t="n">
        <v>4</v>
      </c>
      <c r="U640" t="inlineStr">
        <is>
          <t>1996-02-24</t>
        </is>
      </c>
      <c r="V640" t="inlineStr">
        <is>
          <t>1996-02-24</t>
        </is>
      </c>
      <c r="W640" t="inlineStr">
        <is>
          <t>1995-06-02</t>
        </is>
      </c>
      <c r="X640" t="inlineStr">
        <is>
          <t>1995-06-02</t>
        </is>
      </c>
      <c r="Y640" t="n">
        <v>116</v>
      </c>
      <c r="Z640" t="n">
        <v>92</v>
      </c>
      <c r="AA640" t="n">
        <v>234</v>
      </c>
      <c r="AB640" t="n">
        <v>2</v>
      </c>
      <c r="AC640" t="n">
        <v>2</v>
      </c>
      <c r="AD640" t="n">
        <v>1</v>
      </c>
      <c r="AE640" t="n">
        <v>3</v>
      </c>
      <c r="AF640" t="n">
        <v>1</v>
      </c>
      <c r="AG640" t="n">
        <v>3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No</t>
        </is>
      </c>
      <c r="AS640">
        <f>HYPERLINK("https://creighton-primo.hosted.exlibrisgroup.com/primo-explore/search?tab=default_tab&amp;search_scope=EVERYTHING&amp;vid=01CRU&amp;lang=en_US&amp;offset=0&amp;query=any,contains,991001607889702656","Catalog Record")</f>
        <v/>
      </c>
      <c r="AT640">
        <f>HYPERLINK("http://www.worldcat.org/oclc/20721894","WorldCat Record")</f>
        <v/>
      </c>
      <c r="AU640" t="inlineStr">
        <is>
          <t>3552841:eng</t>
        </is>
      </c>
      <c r="AV640" t="inlineStr">
        <is>
          <t>20721894</t>
        </is>
      </c>
      <c r="AW640" t="inlineStr">
        <is>
          <t>991001607889702656</t>
        </is>
      </c>
      <c r="AX640" t="inlineStr">
        <is>
          <t>991001607889702656</t>
        </is>
      </c>
      <c r="AY640" t="inlineStr">
        <is>
          <t>2269886720002656</t>
        </is>
      </c>
      <c r="AZ640" t="inlineStr">
        <is>
          <t>BOOK</t>
        </is>
      </c>
      <c r="BB640" t="inlineStr">
        <is>
          <t>9780945241065</t>
        </is>
      </c>
      <c r="BC640" t="inlineStr">
        <is>
          <t>32285002056785</t>
        </is>
      </c>
      <c r="BD640" t="inlineStr">
        <is>
          <t>893244242</t>
        </is>
      </c>
    </row>
    <row r="641">
      <c r="A641" t="inlineStr">
        <is>
          <t>No</t>
        </is>
      </c>
      <c r="B641" t="inlineStr">
        <is>
          <t>QH371 .L58 1990</t>
        </is>
      </c>
      <c r="C641" t="inlineStr">
        <is>
          <t>0                      QH 0371000L  58          1990</t>
        </is>
      </c>
      <c r="D641" t="inlineStr">
        <is>
          <t>The terrestrial invasion : an ecophysiological approach to the origins of land animals / Colin Little.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Little, Colin, 1939-</t>
        </is>
      </c>
      <c r="L641" t="inlineStr">
        <is>
          <t>Cambridge ; New York : Cambridge University Press, 1990.</t>
        </is>
      </c>
      <c r="M641" t="inlineStr">
        <is>
          <t>1990</t>
        </is>
      </c>
      <c r="O641" t="inlineStr">
        <is>
          <t>eng</t>
        </is>
      </c>
      <c r="P641" t="inlineStr">
        <is>
          <t>enk</t>
        </is>
      </c>
      <c r="Q641" t="inlineStr">
        <is>
          <t>Cambridge studies in ecology</t>
        </is>
      </c>
      <c r="R641" t="inlineStr">
        <is>
          <t xml:space="preserve">QH </t>
        </is>
      </c>
      <c r="S641" t="n">
        <v>7</v>
      </c>
      <c r="T641" t="n">
        <v>7</v>
      </c>
      <c r="U641" t="inlineStr">
        <is>
          <t>2000-02-19</t>
        </is>
      </c>
      <c r="V641" t="inlineStr">
        <is>
          <t>2000-02-19</t>
        </is>
      </c>
      <c r="W641" t="inlineStr">
        <is>
          <t>1991-06-24</t>
        </is>
      </c>
      <c r="X641" t="inlineStr">
        <is>
          <t>1991-06-24</t>
        </is>
      </c>
      <c r="Y641" t="n">
        <v>503</v>
      </c>
      <c r="Z641" t="n">
        <v>375</v>
      </c>
      <c r="AA641" t="n">
        <v>381</v>
      </c>
      <c r="AB641" t="n">
        <v>2</v>
      </c>
      <c r="AC641" t="n">
        <v>2</v>
      </c>
      <c r="AD641" t="n">
        <v>13</v>
      </c>
      <c r="AE641" t="n">
        <v>13</v>
      </c>
      <c r="AF641" t="n">
        <v>6</v>
      </c>
      <c r="AG641" t="n">
        <v>6</v>
      </c>
      <c r="AH641" t="n">
        <v>5</v>
      </c>
      <c r="AI641" t="n">
        <v>5</v>
      </c>
      <c r="AJ641" t="n">
        <v>5</v>
      </c>
      <c r="AK641" t="n">
        <v>5</v>
      </c>
      <c r="AL641" t="n">
        <v>1</v>
      </c>
      <c r="AM641" t="n">
        <v>1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HYPERLINK("http://catalog.hathitrust.org/Record/002167994","HathiTrust Record")</f>
        <v/>
      </c>
      <c r="AS641">
        <f>HYPERLINK("https://creighton-primo.hosted.exlibrisgroup.com/primo-explore/search?tab=default_tab&amp;search_scope=EVERYTHING&amp;vid=01CRU&amp;lang=en_US&amp;offset=0&amp;query=any,contains,991001536499702656","Catalog Record")</f>
        <v/>
      </c>
      <c r="AT641">
        <f>HYPERLINK("http://www.worldcat.org/oclc/20089242","WorldCat Record")</f>
        <v/>
      </c>
      <c r="AU641" t="inlineStr">
        <is>
          <t>197231126:eng</t>
        </is>
      </c>
      <c r="AV641" t="inlineStr">
        <is>
          <t>20089242</t>
        </is>
      </c>
      <c r="AW641" t="inlineStr">
        <is>
          <t>991001536499702656</t>
        </is>
      </c>
      <c r="AX641" t="inlineStr">
        <is>
          <t>991001536499702656</t>
        </is>
      </c>
      <c r="AY641" t="inlineStr">
        <is>
          <t>2272225810002656</t>
        </is>
      </c>
      <c r="AZ641" t="inlineStr">
        <is>
          <t>BOOK</t>
        </is>
      </c>
      <c r="BB641" t="inlineStr">
        <is>
          <t>9780521336697</t>
        </is>
      </c>
      <c r="BC641" t="inlineStr">
        <is>
          <t>32285000658343</t>
        </is>
      </c>
      <c r="BD641" t="inlineStr">
        <is>
          <t>893903447</t>
        </is>
      </c>
    </row>
    <row r="642">
      <c r="A642" t="inlineStr">
        <is>
          <t>No</t>
        </is>
      </c>
      <c r="B642" t="inlineStr">
        <is>
          <t>QH371 .L65 1988</t>
        </is>
      </c>
      <c r="C642" t="inlineStr">
        <is>
          <t>0                      QH 0371000L  65          1988</t>
        </is>
      </c>
      <c r="D642" t="inlineStr">
        <is>
          <t>Four billion years : an essay on the evolution of genes and organisms / William F. Loomis.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Loomis, William F.</t>
        </is>
      </c>
      <c r="L642" t="inlineStr">
        <is>
          <t>Sunderland, Mass. : Sinauer Associates, Inc., 1988.</t>
        </is>
      </c>
      <c r="M642" t="inlineStr">
        <is>
          <t>1988</t>
        </is>
      </c>
      <c r="O642" t="inlineStr">
        <is>
          <t>eng</t>
        </is>
      </c>
      <c r="P642" t="inlineStr">
        <is>
          <t>mau</t>
        </is>
      </c>
      <c r="R642" t="inlineStr">
        <is>
          <t xml:space="preserve">QH </t>
        </is>
      </c>
      <c r="S642" t="n">
        <v>4</v>
      </c>
      <c r="T642" t="n">
        <v>4</v>
      </c>
      <c r="U642" t="inlineStr">
        <is>
          <t>1997-04-06</t>
        </is>
      </c>
      <c r="V642" t="inlineStr">
        <is>
          <t>1997-04-06</t>
        </is>
      </c>
      <c r="W642" t="inlineStr">
        <is>
          <t>1993-04-05</t>
        </is>
      </c>
      <c r="X642" t="inlineStr">
        <is>
          <t>1993-04-05</t>
        </is>
      </c>
      <c r="Y642" t="n">
        <v>593</v>
      </c>
      <c r="Z642" t="n">
        <v>480</v>
      </c>
      <c r="AA642" t="n">
        <v>487</v>
      </c>
      <c r="AB642" t="n">
        <v>7</v>
      </c>
      <c r="AC642" t="n">
        <v>7</v>
      </c>
      <c r="AD642" t="n">
        <v>26</v>
      </c>
      <c r="AE642" t="n">
        <v>26</v>
      </c>
      <c r="AF642" t="n">
        <v>8</v>
      </c>
      <c r="AG642" t="n">
        <v>8</v>
      </c>
      <c r="AH642" t="n">
        <v>5</v>
      </c>
      <c r="AI642" t="n">
        <v>5</v>
      </c>
      <c r="AJ642" t="n">
        <v>13</v>
      </c>
      <c r="AK642" t="n">
        <v>13</v>
      </c>
      <c r="AL642" t="n">
        <v>6</v>
      </c>
      <c r="AM642" t="n">
        <v>6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HYPERLINK("http://catalog.hathitrust.org/Record/000909816","HathiTrust Record")</f>
        <v/>
      </c>
      <c r="AS642">
        <f>HYPERLINK("https://creighton-primo.hosted.exlibrisgroup.com/primo-explore/search?tab=default_tab&amp;search_scope=EVERYTHING&amp;vid=01CRU&amp;lang=en_US&amp;offset=0&amp;query=any,contains,991001211539702656","Catalog Record")</f>
        <v/>
      </c>
      <c r="AT642">
        <f>HYPERLINK("http://www.worldcat.org/oclc/17385432","WorldCat Record")</f>
        <v/>
      </c>
      <c r="AU642" t="inlineStr">
        <is>
          <t>365170984:eng</t>
        </is>
      </c>
      <c r="AV642" t="inlineStr">
        <is>
          <t>17385432</t>
        </is>
      </c>
      <c r="AW642" t="inlineStr">
        <is>
          <t>991001211539702656</t>
        </is>
      </c>
      <c r="AX642" t="inlineStr">
        <is>
          <t>991001211539702656</t>
        </is>
      </c>
      <c r="AY642" t="inlineStr">
        <is>
          <t>2271984970002656</t>
        </is>
      </c>
      <c r="AZ642" t="inlineStr">
        <is>
          <t>BOOK</t>
        </is>
      </c>
      <c r="BB642" t="inlineStr">
        <is>
          <t>9780878934768</t>
        </is>
      </c>
      <c r="BC642" t="inlineStr">
        <is>
          <t>32285001554129</t>
        </is>
      </c>
      <c r="BD642" t="inlineStr">
        <is>
          <t>893608659</t>
        </is>
      </c>
    </row>
    <row r="643">
      <c r="A643" t="inlineStr">
        <is>
          <t>No</t>
        </is>
      </c>
      <c r="B643" t="inlineStr">
        <is>
          <t>QH371 .M28 1986</t>
        </is>
      </c>
      <c r="C643" t="inlineStr">
        <is>
          <t>0                      QH 0371000M  28          1986</t>
        </is>
      </c>
      <c r="D643" t="inlineStr">
        <is>
          <t>Microcosmos : four billion years of evolution from our microbial ancestors / Lynn Margulis and Dorion Sagan ; foreword by Lewis Thomas.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Margulis, Lynn, 1938-2011.</t>
        </is>
      </c>
      <c r="L643" t="inlineStr">
        <is>
          <t>New York : Summit Books, c1986.</t>
        </is>
      </c>
      <c r="M643" t="inlineStr">
        <is>
          <t>1986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QH </t>
        </is>
      </c>
      <c r="S643" t="n">
        <v>5</v>
      </c>
      <c r="T643" t="n">
        <v>5</v>
      </c>
      <c r="U643" t="inlineStr">
        <is>
          <t>1994-04-20</t>
        </is>
      </c>
      <c r="V643" t="inlineStr">
        <is>
          <t>1994-04-20</t>
        </is>
      </c>
      <c r="W643" t="inlineStr">
        <is>
          <t>1992-09-15</t>
        </is>
      </c>
      <c r="X643" t="inlineStr">
        <is>
          <t>1992-09-15</t>
        </is>
      </c>
      <c r="Y643" t="n">
        <v>951</v>
      </c>
      <c r="Z643" t="n">
        <v>870</v>
      </c>
      <c r="AA643" t="n">
        <v>1139</v>
      </c>
      <c r="AB643" t="n">
        <v>4</v>
      </c>
      <c r="AC643" t="n">
        <v>4</v>
      </c>
      <c r="AD643" t="n">
        <v>27</v>
      </c>
      <c r="AE643" t="n">
        <v>36</v>
      </c>
      <c r="AF643" t="n">
        <v>10</v>
      </c>
      <c r="AG643" t="n">
        <v>15</v>
      </c>
      <c r="AH643" t="n">
        <v>4</v>
      </c>
      <c r="AI643" t="n">
        <v>6</v>
      </c>
      <c r="AJ643" t="n">
        <v>17</v>
      </c>
      <c r="AK643" t="n">
        <v>21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HYPERLINK("http://catalog.hathitrust.org/Record/000394153","HathiTrust Record")</f>
        <v/>
      </c>
      <c r="AS643">
        <f>HYPERLINK("https://creighton-primo.hosted.exlibrisgroup.com/primo-explore/search?tab=default_tab&amp;search_scope=EVERYTHING&amp;vid=01CRU&amp;lang=en_US&amp;offset=0&amp;query=any,contains,991000798899702656","Catalog Record")</f>
        <v/>
      </c>
      <c r="AT643">
        <f>HYPERLINK("http://www.worldcat.org/oclc/13215458","WorldCat Record")</f>
        <v/>
      </c>
      <c r="AU643" t="inlineStr">
        <is>
          <t>886704:eng</t>
        </is>
      </c>
      <c r="AV643" t="inlineStr">
        <is>
          <t>13215458</t>
        </is>
      </c>
      <c r="AW643" t="inlineStr">
        <is>
          <t>991000798899702656</t>
        </is>
      </c>
      <c r="AX643" t="inlineStr">
        <is>
          <t>991000798899702656</t>
        </is>
      </c>
      <c r="AY643" t="inlineStr">
        <is>
          <t>2263345800002656</t>
        </is>
      </c>
      <c r="AZ643" t="inlineStr">
        <is>
          <t>BOOK</t>
        </is>
      </c>
      <c r="BB643" t="inlineStr">
        <is>
          <t>9780671441692</t>
        </is>
      </c>
      <c r="BC643" t="inlineStr">
        <is>
          <t>32285001221117</t>
        </is>
      </c>
      <c r="BD643" t="inlineStr">
        <is>
          <t>893784540</t>
        </is>
      </c>
    </row>
    <row r="644">
      <c r="A644" t="inlineStr">
        <is>
          <t>No</t>
        </is>
      </c>
      <c r="B644" t="inlineStr">
        <is>
          <t>QH371 .M298 1989</t>
        </is>
      </c>
      <c r="C644" t="inlineStr">
        <is>
          <t>0                      QH 0371000M  298         1989</t>
        </is>
      </c>
      <c r="D644" t="inlineStr">
        <is>
          <t>Did Darwin get it right : essays on games, sex, and evolution / John Maynard Smith.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Maynard Smith, John, 1920-2004.</t>
        </is>
      </c>
      <c r="L644" t="inlineStr">
        <is>
          <t>New York : Chapman and Hall, 1989, c1988.</t>
        </is>
      </c>
      <c r="M644" t="inlineStr">
        <is>
          <t>1989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QH </t>
        </is>
      </c>
      <c r="S644" t="n">
        <v>15</v>
      </c>
      <c r="T644" t="n">
        <v>15</v>
      </c>
      <c r="U644" t="inlineStr">
        <is>
          <t>2007-01-30</t>
        </is>
      </c>
      <c r="V644" t="inlineStr">
        <is>
          <t>2007-01-30</t>
        </is>
      </c>
      <c r="W644" t="inlineStr">
        <is>
          <t>1993-04-05</t>
        </is>
      </c>
      <c r="X644" t="inlineStr">
        <is>
          <t>1993-04-05</t>
        </is>
      </c>
      <c r="Y644" t="n">
        <v>412</v>
      </c>
      <c r="Z644" t="n">
        <v>367</v>
      </c>
      <c r="AA644" t="n">
        <v>401</v>
      </c>
      <c r="AB644" t="n">
        <v>3</v>
      </c>
      <c r="AC644" t="n">
        <v>4</v>
      </c>
      <c r="AD644" t="n">
        <v>15</v>
      </c>
      <c r="AE644" t="n">
        <v>17</v>
      </c>
      <c r="AF644" t="n">
        <v>6</v>
      </c>
      <c r="AG644" t="n">
        <v>7</v>
      </c>
      <c r="AH644" t="n">
        <v>5</v>
      </c>
      <c r="AI644" t="n">
        <v>5</v>
      </c>
      <c r="AJ644" t="n">
        <v>5</v>
      </c>
      <c r="AK644" t="n">
        <v>6</v>
      </c>
      <c r="AL644" t="n">
        <v>2</v>
      </c>
      <c r="AM644" t="n">
        <v>3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HYPERLINK("https://creighton-primo.hosted.exlibrisgroup.com/primo-explore/search?tab=default_tab&amp;search_scope=EVERYTHING&amp;vid=01CRU&amp;lang=en_US&amp;offset=0&amp;query=any,contains,991001320329702656","Catalog Record")</f>
        <v/>
      </c>
      <c r="AT644">
        <f>HYPERLINK("http://www.worldcat.org/oclc/18222424","WorldCat Record")</f>
        <v/>
      </c>
      <c r="AU644" t="inlineStr">
        <is>
          <t>196910392:eng</t>
        </is>
      </c>
      <c r="AV644" t="inlineStr">
        <is>
          <t>18222424</t>
        </is>
      </c>
      <c r="AW644" t="inlineStr">
        <is>
          <t>991001320329702656</t>
        </is>
      </c>
      <c r="AX644" t="inlineStr">
        <is>
          <t>991001320329702656</t>
        </is>
      </c>
      <c r="AY644" t="inlineStr">
        <is>
          <t>2258379080002656</t>
        </is>
      </c>
      <c r="AZ644" t="inlineStr">
        <is>
          <t>BOOK</t>
        </is>
      </c>
      <c r="BB644" t="inlineStr">
        <is>
          <t>9780412019111</t>
        </is>
      </c>
      <c r="BC644" t="inlineStr">
        <is>
          <t>32285001554145</t>
        </is>
      </c>
      <c r="BD644" t="inlineStr">
        <is>
          <t>893231906</t>
        </is>
      </c>
    </row>
    <row r="645">
      <c r="A645" t="inlineStr">
        <is>
          <t>No</t>
        </is>
      </c>
      <c r="B645" t="inlineStr">
        <is>
          <t>QH371 .M327 1989</t>
        </is>
      </c>
      <c r="C645" t="inlineStr">
        <is>
          <t>0                      QH 0371000M  327         1989</t>
        </is>
      </c>
      <c r="D645" t="inlineStr">
        <is>
          <t>Evolutionary genetics / John Maynard Smith.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Maynard Smith, John, 1920-2004.</t>
        </is>
      </c>
      <c r="L645" t="inlineStr">
        <is>
          <t>Oxford [Oxfordshire] ; New York : Oxford University Press, c1989.</t>
        </is>
      </c>
      <c r="M645" t="inlineStr">
        <is>
          <t>1989</t>
        </is>
      </c>
      <c r="O645" t="inlineStr">
        <is>
          <t>eng</t>
        </is>
      </c>
      <c r="P645" t="inlineStr">
        <is>
          <t>enk</t>
        </is>
      </c>
      <c r="R645" t="inlineStr">
        <is>
          <t xml:space="preserve">QH </t>
        </is>
      </c>
      <c r="S645" t="n">
        <v>12</v>
      </c>
      <c r="T645" t="n">
        <v>12</v>
      </c>
      <c r="U645" t="inlineStr">
        <is>
          <t>2007-01-30</t>
        </is>
      </c>
      <c r="V645" t="inlineStr">
        <is>
          <t>2007-01-30</t>
        </is>
      </c>
      <c r="W645" t="inlineStr">
        <is>
          <t>1989-11-06</t>
        </is>
      </c>
      <c r="X645" t="inlineStr">
        <is>
          <t>1989-11-06</t>
        </is>
      </c>
      <c r="Y645" t="n">
        <v>512</v>
      </c>
      <c r="Z645" t="n">
        <v>333</v>
      </c>
      <c r="AA645" t="n">
        <v>1169</v>
      </c>
      <c r="AB645" t="n">
        <v>2</v>
      </c>
      <c r="AC645" t="n">
        <v>4</v>
      </c>
      <c r="AD645" t="n">
        <v>14</v>
      </c>
      <c r="AE645" t="n">
        <v>37</v>
      </c>
      <c r="AF645" t="n">
        <v>4</v>
      </c>
      <c r="AG645" t="n">
        <v>18</v>
      </c>
      <c r="AH645" t="n">
        <v>4</v>
      </c>
      <c r="AI645" t="n">
        <v>7</v>
      </c>
      <c r="AJ645" t="n">
        <v>9</v>
      </c>
      <c r="AK645" t="n">
        <v>20</v>
      </c>
      <c r="AL645" t="n">
        <v>1</v>
      </c>
      <c r="AM645" t="n">
        <v>3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HYPERLINK("http://catalog.hathitrust.org/Record/001292050","HathiTrust Record")</f>
        <v/>
      </c>
      <c r="AS645">
        <f>HYPERLINK("https://creighton-primo.hosted.exlibrisgroup.com/primo-explore/search?tab=default_tab&amp;search_scope=EVERYTHING&amp;vid=01CRU&amp;lang=en_US&amp;offset=0&amp;query=any,contains,991001300669702656","Catalog Record")</f>
        <v/>
      </c>
      <c r="AT645">
        <f>HYPERLINK("http://www.worldcat.org/oclc/18069049","WorldCat Record")</f>
        <v/>
      </c>
      <c r="AU645" t="inlineStr">
        <is>
          <t>149610383:eng</t>
        </is>
      </c>
      <c r="AV645" t="inlineStr">
        <is>
          <t>18069049</t>
        </is>
      </c>
      <c r="AW645" t="inlineStr">
        <is>
          <t>991001300669702656</t>
        </is>
      </c>
      <c r="AX645" t="inlineStr">
        <is>
          <t>991001300669702656</t>
        </is>
      </c>
      <c r="AY645" t="inlineStr">
        <is>
          <t>2262635190002656</t>
        </is>
      </c>
      <c r="AZ645" t="inlineStr">
        <is>
          <t>BOOK</t>
        </is>
      </c>
      <c r="BB645" t="inlineStr">
        <is>
          <t>9780198542155</t>
        </is>
      </c>
      <c r="BC645" t="inlineStr">
        <is>
          <t>32285000011667</t>
        </is>
      </c>
      <c r="BD645" t="inlineStr">
        <is>
          <t>893602502</t>
        </is>
      </c>
    </row>
    <row r="646">
      <c r="A646" t="inlineStr">
        <is>
          <t>No</t>
        </is>
      </c>
      <c r="B646" t="inlineStr">
        <is>
          <t>QH371 .M336 1991</t>
        </is>
      </c>
      <c r="C646" t="inlineStr">
        <is>
          <t>0                      QH 0371000M  336         1991</t>
        </is>
      </c>
      <c r="D646" t="inlineStr">
        <is>
          <t>One long argument : Charles Darwin and the genesis of modern evolutionary thought / Ernst Mayr.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Mayr, Ernst, 1904-2005.</t>
        </is>
      </c>
      <c r="L646" t="inlineStr">
        <is>
          <t>Cambridge, Mass. : Harvard University Press, 1991.</t>
        </is>
      </c>
      <c r="M646" t="inlineStr">
        <is>
          <t>1991</t>
        </is>
      </c>
      <c r="O646" t="inlineStr">
        <is>
          <t>eng</t>
        </is>
      </c>
      <c r="P646" t="inlineStr">
        <is>
          <t>mau</t>
        </is>
      </c>
      <c r="Q646" t="inlineStr">
        <is>
          <t>Questions of science</t>
        </is>
      </c>
      <c r="R646" t="inlineStr">
        <is>
          <t xml:space="preserve">QH </t>
        </is>
      </c>
      <c r="S646" t="n">
        <v>24</v>
      </c>
      <c r="T646" t="n">
        <v>24</v>
      </c>
      <c r="U646" t="inlineStr">
        <is>
          <t>2003-08-25</t>
        </is>
      </c>
      <c r="V646" t="inlineStr">
        <is>
          <t>2003-08-25</t>
        </is>
      </c>
      <c r="W646" t="inlineStr">
        <is>
          <t>1992-06-22</t>
        </is>
      </c>
      <c r="X646" t="inlineStr">
        <is>
          <t>1992-06-22</t>
        </is>
      </c>
      <c r="Y646" t="n">
        <v>1288</v>
      </c>
      <c r="Z646" t="n">
        <v>1133</v>
      </c>
      <c r="AA646" t="n">
        <v>1147</v>
      </c>
      <c r="AB646" t="n">
        <v>10</v>
      </c>
      <c r="AC646" t="n">
        <v>10</v>
      </c>
      <c r="AD646" t="n">
        <v>46</v>
      </c>
      <c r="AE646" t="n">
        <v>46</v>
      </c>
      <c r="AF646" t="n">
        <v>23</v>
      </c>
      <c r="AG646" t="n">
        <v>23</v>
      </c>
      <c r="AH646" t="n">
        <v>9</v>
      </c>
      <c r="AI646" t="n">
        <v>9</v>
      </c>
      <c r="AJ646" t="n">
        <v>19</v>
      </c>
      <c r="AK646" t="n">
        <v>19</v>
      </c>
      <c r="AL646" t="n">
        <v>7</v>
      </c>
      <c r="AM646" t="n">
        <v>7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HYPERLINK("http://catalog.hathitrust.org/Record/002487706","HathiTrust Record")</f>
        <v/>
      </c>
      <c r="AS646">
        <f>HYPERLINK("https://creighton-primo.hosted.exlibrisgroup.com/primo-explore/search?tab=default_tab&amp;search_scope=EVERYTHING&amp;vid=01CRU&amp;lang=en_US&amp;offset=0&amp;query=any,contains,991001858729702656","Catalog Record")</f>
        <v/>
      </c>
      <c r="AT646">
        <f>HYPERLINK("http://www.worldcat.org/oclc/23356131","WorldCat Record")</f>
        <v/>
      </c>
      <c r="AU646" t="inlineStr">
        <is>
          <t>33148478:eng</t>
        </is>
      </c>
      <c r="AV646" t="inlineStr">
        <is>
          <t>23356131</t>
        </is>
      </c>
      <c r="AW646" t="inlineStr">
        <is>
          <t>991001858729702656</t>
        </is>
      </c>
      <c r="AX646" t="inlineStr">
        <is>
          <t>991001858729702656</t>
        </is>
      </c>
      <c r="AY646" t="inlineStr">
        <is>
          <t>2256791880002656</t>
        </is>
      </c>
      <c r="AZ646" t="inlineStr">
        <is>
          <t>BOOK</t>
        </is>
      </c>
      <c r="BB646" t="inlineStr">
        <is>
          <t>9780674639058</t>
        </is>
      </c>
      <c r="BC646" t="inlineStr">
        <is>
          <t>32285001129856</t>
        </is>
      </c>
      <c r="BD646" t="inlineStr">
        <is>
          <t>893328416</t>
        </is>
      </c>
    </row>
    <row r="647">
      <c r="A647" t="inlineStr">
        <is>
          <t>No</t>
        </is>
      </c>
      <c r="B647" t="inlineStr">
        <is>
          <t>QH371 .M34 1984</t>
        </is>
      </c>
      <c r="C647" t="inlineStr">
        <is>
          <t>0                      QH 0371000M  34          1984</t>
        </is>
      </c>
      <c r="D647" t="inlineStr">
        <is>
          <t>In the beginning-- : a scientist shows why the creationists are wrong / Chris McGowan.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McGowan, Christopher.</t>
        </is>
      </c>
      <c r="L647" t="inlineStr">
        <is>
          <t>Buffalo, N.Y. : Prometheus Books, 1984.</t>
        </is>
      </c>
      <c r="M647" t="inlineStr">
        <is>
          <t>1984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QH </t>
        </is>
      </c>
      <c r="S647" t="n">
        <v>11</v>
      </c>
      <c r="T647" t="n">
        <v>11</v>
      </c>
      <c r="U647" t="inlineStr">
        <is>
          <t>2002-10-08</t>
        </is>
      </c>
      <c r="V647" t="inlineStr">
        <is>
          <t>2002-10-08</t>
        </is>
      </c>
      <c r="W647" t="inlineStr">
        <is>
          <t>1992-03-17</t>
        </is>
      </c>
      <c r="X647" t="inlineStr">
        <is>
          <t>1992-03-17</t>
        </is>
      </c>
      <c r="Y647" t="n">
        <v>782</v>
      </c>
      <c r="Z647" t="n">
        <v>729</v>
      </c>
      <c r="AA647" t="n">
        <v>771</v>
      </c>
      <c r="AB647" t="n">
        <v>5</v>
      </c>
      <c r="AC647" t="n">
        <v>6</v>
      </c>
      <c r="AD647" t="n">
        <v>32</v>
      </c>
      <c r="AE647" t="n">
        <v>33</v>
      </c>
      <c r="AF647" t="n">
        <v>16</v>
      </c>
      <c r="AG647" t="n">
        <v>16</v>
      </c>
      <c r="AH647" t="n">
        <v>6</v>
      </c>
      <c r="AI647" t="n">
        <v>6</v>
      </c>
      <c r="AJ647" t="n">
        <v>14</v>
      </c>
      <c r="AK647" t="n">
        <v>14</v>
      </c>
      <c r="AL647" t="n">
        <v>4</v>
      </c>
      <c r="AM647" t="n">
        <v>5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HYPERLINK("http://catalog.hathitrust.org/Record/000781689","HathiTrust Record")</f>
        <v/>
      </c>
      <c r="AS647">
        <f>HYPERLINK("https://creighton-primo.hosted.exlibrisgroup.com/primo-explore/search?tab=default_tab&amp;search_scope=EVERYTHING&amp;vid=01CRU&amp;lang=en_US&amp;offset=0&amp;query=any,contains,991000448749702656","Catalog Record")</f>
        <v/>
      </c>
      <c r="AT647">
        <f>HYPERLINK("http://www.worldcat.org/oclc/10872603","WorldCat Record")</f>
        <v/>
      </c>
      <c r="AU647" t="inlineStr">
        <is>
          <t>905350767:eng</t>
        </is>
      </c>
      <c r="AV647" t="inlineStr">
        <is>
          <t>10872603</t>
        </is>
      </c>
      <c r="AW647" t="inlineStr">
        <is>
          <t>991000448749702656</t>
        </is>
      </c>
      <c r="AX647" t="inlineStr">
        <is>
          <t>991000448749702656</t>
        </is>
      </c>
      <c r="AY647" t="inlineStr">
        <is>
          <t>2258187500002656</t>
        </is>
      </c>
      <c r="AZ647" t="inlineStr">
        <is>
          <t>BOOK</t>
        </is>
      </c>
      <c r="BB647" t="inlineStr">
        <is>
          <t>9780879752408</t>
        </is>
      </c>
      <c r="BC647" t="inlineStr">
        <is>
          <t>32285001022531</t>
        </is>
      </c>
      <c r="BD647" t="inlineStr">
        <is>
          <t>893249354</t>
        </is>
      </c>
    </row>
    <row r="648">
      <c r="A648" t="inlineStr">
        <is>
          <t>No</t>
        </is>
      </c>
      <c r="B648" t="inlineStr">
        <is>
          <t>QH371 .M39 1988</t>
        </is>
      </c>
      <c r="C648" t="inlineStr">
        <is>
          <t>0                      QH 0371000M  39          1988</t>
        </is>
      </c>
      <c r="D648" t="inlineStr">
        <is>
          <t>Games, sex and evolution / John Maynard Smith.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Maynard Smith, John, 1920-2004.</t>
        </is>
      </c>
      <c r="L648" t="inlineStr">
        <is>
          <t>New York ; London : Harvester-Wheatsheaf, 1988.</t>
        </is>
      </c>
      <c r="M648" t="inlineStr">
        <is>
          <t>1988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QH </t>
        </is>
      </c>
      <c r="S648" t="n">
        <v>6</v>
      </c>
      <c r="T648" t="n">
        <v>6</v>
      </c>
      <c r="U648" t="inlineStr">
        <is>
          <t>2007-02-05</t>
        </is>
      </c>
      <c r="V648" t="inlineStr">
        <is>
          <t>2007-02-05</t>
        </is>
      </c>
      <c r="W648" t="inlineStr">
        <is>
          <t>1990-01-25</t>
        </is>
      </c>
      <c r="X648" t="inlineStr">
        <is>
          <t>1990-01-25</t>
        </is>
      </c>
      <c r="Y648" t="n">
        <v>38</v>
      </c>
      <c r="Z648" t="n">
        <v>27</v>
      </c>
      <c r="AA648" t="n">
        <v>56</v>
      </c>
      <c r="AB648" t="n">
        <v>2</v>
      </c>
      <c r="AC648" t="n">
        <v>2</v>
      </c>
      <c r="AD648" t="n">
        <v>1</v>
      </c>
      <c r="AE648" t="n">
        <v>3</v>
      </c>
      <c r="AF648" t="n">
        <v>0</v>
      </c>
      <c r="AG648" t="n">
        <v>0</v>
      </c>
      <c r="AH648" t="n">
        <v>0</v>
      </c>
      <c r="AI648" t="n">
        <v>1</v>
      </c>
      <c r="AJ648" t="n">
        <v>0</v>
      </c>
      <c r="AK648" t="n">
        <v>1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No</t>
        </is>
      </c>
      <c r="AS648">
        <f>HYPERLINK("https://creighton-primo.hosted.exlibrisgroup.com/primo-explore/search?tab=default_tab&amp;search_scope=EVERYTHING&amp;vid=01CRU&amp;lang=en_US&amp;offset=0&amp;query=any,contains,991001188449702656","Catalog Record")</f>
        <v/>
      </c>
      <c r="AT648">
        <f>HYPERLINK("http://www.worldcat.org/oclc/17233451","WorldCat Record")</f>
        <v/>
      </c>
      <c r="AU648" t="inlineStr">
        <is>
          <t>148032941:eng</t>
        </is>
      </c>
      <c r="AV648" t="inlineStr">
        <is>
          <t>17233451</t>
        </is>
      </c>
      <c r="AW648" t="inlineStr">
        <is>
          <t>991001188449702656</t>
        </is>
      </c>
      <c r="AX648" t="inlineStr">
        <is>
          <t>991001188449702656</t>
        </is>
      </c>
      <c r="AY648" t="inlineStr">
        <is>
          <t>2269715110002656</t>
        </is>
      </c>
      <c r="AZ648" t="inlineStr">
        <is>
          <t>BOOK</t>
        </is>
      </c>
      <c r="BB648" t="inlineStr">
        <is>
          <t>9780710812162</t>
        </is>
      </c>
      <c r="BC648" t="inlineStr">
        <is>
          <t>32285000035419</t>
        </is>
      </c>
      <c r="BD648" t="inlineStr">
        <is>
          <t>893522374</t>
        </is>
      </c>
    </row>
    <row r="649">
      <c r="A649" t="inlineStr">
        <is>
          <t>No</t>
        </is>
      </c>
      <c r="B649" t="inlineStr">
        <is>
          <t>QH371 .N63 1988</t>
        </is>
      </c>
      <c r="C649" t="inlineStr">
        <is>
          <t>0                      QH 0371000N  63          1988</t>
        </is>
      </c>
      <c r="D649" t="inlineStr">
        <is>
          <t>The hierarchy of life : molecules and morphology in phylogenetic analysis : proceedings from Nobel Symposium 70 held at Alfred Nobel's Björkborn, Karlskoga, Sweden, August 29-September 2, 1988 / organizing committee: Bo Fernholm ... [et al.] ; [editors, Bo Fernholm, Kåre Bremer, and Hans Jörnvall].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Nobel Symposium (70th : 1988 : Björkborn, Karlskoga, Sweden)</t>
        </is>
      </c>
      <c r="L649" t="inlineStr">
        <is>
          <t>Amsterdam ; New York : Excerpta Medica : New York, NY, USA : Sole distributors for the USA and Canada, Elsevier Science Pub. Co., 1989.</t>
        </is>
      </c>
      <c r="M649" t="inlineStr">
        <is>
          <t>1989</t>
        </is>
      </c>
      <c r="O649" t="inlineStr">
        <is>
          <t>eng</t>
        </is>
      </c>
      <c r="P649" t="inlineStr">
        <is>
          <t xml:space="preserve">ne </t>
        </is>
      </c>
      <c r="Q649" t="inlineStr">
        <is>
          <t>International congress series ; no. 824</t>
        </is>
      </c>
      <c r="R649" t="inlineStr">
        <is>
          <t xml:space="preserve">QH </t>
        </is>
      </c>
      <c r="S649" t="n">
        <v>7</v>
      </c>
      <c r="T649" t="n">
        <v>7</v>
      </c>
      <c r="U649" t="inlineStr">
        <is>
          <t>1999-03-09</t>
        </is>
      </c>
      <c r="V649" t="inlineStr">
        <is>
          <t>1999-03-09</t>
        </is>
      </c>
      <c r="W649" t="inlineStr">
        <is>
          <t>1991-07-10</t>
        </is>
      </c>
      <c r="X649" t="inlineStr">
        <is>
          <t>1991-07-10</t>
        </is>
      </c>
      <c r="Y649" t="n">
        <v>167</v>
      </c>
      <c r="Z649" t="n">
        <v>115</v>
      </c>
      <c r="AA649" t="n">
        <v>120</v>
      </c>
      <c r="AB649" t="n">
        <v>1</v>
      </c>
      <c r="AC649" t="n">
        <v>1</v>
      </c>
      <c r="AD649" t="n">
        <v>2</v>
      </c>
      <c r="AE649" t="n">
        <v>2</v>
      </c>
      <c r="AF649" t="n">
        <v>0</v>
      </c>
      <c r="AG649" t="n">
        <v>0</v>
      </c>
      <c r="AH649" t="n">
        <v>2</v>
      </c>
      <c r="AI649" t="n">
        <v>2</v>
      </c>
      <c r="AJ649" t="n">
        <v>2</v>
      </c>
      <c r="AK649" t="n">
        <v>2</v>
      </c>
      <c r="AL649" t="n">
        <v>0</v>
      </c>
      <c r="AM649" t="n">
        <v>0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HYPERLINK("http://catalog.hathitrust.org/Record/001842660","HathiTrust Record")</f>
        <v/>
      </c>
      <c r="AS649">
        <f>HYPERLINK("https://creighton-primo.hosted.exlibrisgroup.com/primo-explore/search?tab=default_tab&amp;search_scope=EVERYTHING&amp;vid=01CRU&amp;lang=en_US&amp;offset=0&amp;query=any,contains,991001449499702656","Catalog Record")</f>
        <v/>
      </c>
      <c r="AT649">
        <f>HYPERLINK("http://www.worldcat.org/oclc/19129518","WorldCat Record")</f>
        <v/>
      </c>
      <c r="AU649" t="inlineStr">
        <is>
          <t>285309265:eng</t>
        </is>
      </c>
      <c r="AV649" t="inlineStr">
        <is>
          <t>19129518</t>
        </is>
      </c>
      <c r="AW649" t="inlineStr">
        <is>
          <t>991001449499702656</t>
        </is>
      </c>
      <c r="AX649" t="inlineStr">
        <is>
          <t>991001449499702656</t>
        </is>
      </c>
      <c r="AY649" t="inlineStr">
        <is>
          <t>2266621600002656</t>
        </is>
      </c>
      <c r="AZ649" t="inlineStr">
        <is>
          <t>BOOK</t>
        </is>
      </c>
      <c r="BB649" t="inlineStr">
        <is>
          <t>9780444810731</t>
        </is>
      </c>
      <c r="BC649" t="inlineStr">
        <is>
          <t>32285000660760</t>
        </is>
      </c>
      <c r="BD649" t="inlineStr">
        <is>
          <t>893432863</t>
        </is>
      </c>
    </row>
    <row r="650">
      <c r="A650" t="inlineStr">
        <is>
          <t>No</t>
        </is>
      </c>
      <c r="B650" t="inlineStr">
        <is>
          <t>QH371 .O73 1985</t>
        </is>
      </c>
      <c r="C650" t="inlineStr">
        <is>
          <t>0                      QH 0371000O  73          1985</t>
        </is>
      </c>
      <c r="D650" t="inlineStr">
        <is>
          <t>The Origin of eukaryotic cells / edited by Betsey Dexter Dyer and Robert Obar.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L650" t="inlineStr">
        <is>
          <t>New York : Van Nostrand Reinhold, c1985.</t>
        </is>
      </c>
      <c r="M650" t="inlineStr">
        <is>
          <t>1985</t>
        </is>
      </c>
      <c r="O650" t="inlineStr">
        <is>
          <t>eng</t>
        </is>
      </c>
      <c r="P650" t="inlineStr">
        <is>
          <t>nyu</t>
        </is>
      </c>
      <c r="Q650" t="inlineStr">
        <is>
          <t>Benchmark papers in systematic and evolutionary biology ; v. 9</t>
        </is>
      </c>
      <c r="R650" t="inlineStr">
        <is>
          <t xml:space="preserve">QH </t>
        </is>
      </c>
      <c r="S650" t="n">
        <v>9</v>
      </c>
      <c r="T650" t="n">
        <v>9</v>
      </c>
      <c r="U650" t="inlineStr">
        <is>
          <t>1999-06-16</t>
        </is>
      </c>
      <c r="V650" t="inlineStr">
        <is>
          <t>1999-06-16</t>
        </is>
      </c>
      <c r="W650" t="inlineStr">
        <is>
          <t>1993-04-05</t>
        </is>
      </c>
      <c r="X650" t="inlineStr">
        <is>
          <t>1993-04-05</t>
        </is>
      </c>
      <c r="Y650" t="n">
        <v>253</v>
      </c>
      <c r="Z650" t="n">
        <v>231</v>
      </c>
      <c r="AA650" t="n">
        <v>232</v>
      </c>
      <c r="AB650" t="n">
        <v>3</v>
      </c>
      <c r="AC650" t="n">
        <v>3</v>
      </c>
      <c r="AD650" t="n">
        <v>10</v>
      </c>
      <c r="AE650" t="n">
        <v>10</v>
      </c>
      <c r="AF650" t="n">
        <v>3</v>
      </c>
      <c r="AG650" t="n">
        <v>3</v>
      </c>
      <c r="AH650" t="n">
        <v>1</v>
      </c>
      <c r="AI650" t="n">
        <v>1</v>
      </c>
      <c r="AJ650" t="n">
        <v>5</v>
      </c>
      <c r="AK650" t="n">
        <v>5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HYPERLINK("http://catalog.hathitrust.org/Record/000587163","HathiTrust Record")</f>
        <v/>
      </c>
      <c r="AS650">
        <f>HYPERLINK("https://creighton-primo.hosted.exlibrisgroup.com/primo-explore/search?tab=default_tab&amp;search_scope=EVERYTHING&amp;vid=01CRU&amp;lang=en_US&amp;offset=0&amp;query=any,contains,991000702929702656","Catalog Record")</f>
        <v/>
      </c>
      <c r="AT650">
        <f>HYPERLINK("http://www.worldcat.org/oclc/12552867","WorldCat Record")</f>
        <v/>
      </c>
      <c r="AU650" t="inlineStr">
        <is>
          <t>353994618:eng</t>
        </is>
      </c>
      <c r="AV650" t="inlineStr">
        <is>
          <t>12552867</t>
        </is>
      </c>
      <c r="AW650" t="inlineStr">
        <is>
          <t>991000702929702656</t>
        </is>
      </c>
      <c r="AX650" t="inlineStr">
        <is>
          <t>991000702929702656</t>
        </is>
      </c>
      <c r="AY650" t="inlineStr">
        <is>
          <t>2259326870002656</t>
        </is>
      </c>
      <c r="AZ650" t="inlineStr">
        <is>
          <t>BOOK</t>
        </is>
      </c>
      <c r="BB650" t="inlineStr">
        <is>
          <t>9780442219529</t>
        </is>
      </c>
      <c r="BC650" t="inlineStr">
        <is>
          <t>32285001554178</t>
        </is>
      </c>
      <c r="BD650" t="inlineStr">
        <is>
          <t>893608212</t>
        </is>
      </c>
    </row>
    <row r="651">
      <c r="A651" t="inlineStr">
        <is>
          <t>No</t>
        </is>
      </c>
      <c r="B651" t="inlineStr">
        <is>
          <t>QH371 .P324 1983</t>
        </is>
      </c>
      <c r="C651" t="inlineStr">
        <is>
          <t>0                      QH 0371000P  324         1983</t>
        </is>
      </c>
      <c r="D651" t="inlineStr">
        <is>
          <t>The evolutionary biology of colonizing species / Peter A. Parsons.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Parsons, P. A. (Peter Angas), 1933-</t>
        </is>
      </c>
      <c r="L651" t="inlineStr">
        <is>
          <t>Cambridge [Cambridgeshire] ; New York : Cambridge University Press, 1983.</t>
        </is>
      </c>
      <c r="M651" t="inlineStr">
        <is>
          <t>1983</t>
        </is>
      </c>
      <c r="O651" t="inlineStr">
        <is>
          <t>eng</t>
        </is>
      </c>
      <c r="P651" t="inlineStr">
        <is>
          <t>enk</t>
        </is>
      </c>
      <c r="R651" t="inlineStr">
        <is>
          <t xml:space="preserve">QH </t>
        </is>
      </c>
      <c r="S651" t="n">
        <v>4</v>
      </c>
      <c r="T651" t="n">
        <v>4</v>
      </c>
      <c r="U651" t="inlineStr">
        <is>
          <t>1996-02-23</t>
        </is>
      </c>
      <c r="V651" t="inlineStr">
        <is>
          <t>1996-02-23</t>
        </is>
      </c>
      <c r="W651" t="inlineStr">
        <is>
          <t>1993-04-05</t>
        </is>
      </c>
      <c r="X651" t="inlineStr">
        <is>
          <t>1993-04-05</t>
        </is>
      </c>
      <c r="Y651" t="n">
        <v>453</v>
      </c>
      <c r="Z651" t="n">
        <v>329</v>
      </c>
      <c r="AA651" t="n">
        <v>344</v>
      </c>
      <c r="AB651" t="n">
        <v>3</v>
      </c>
      <c r="AC651" t="n">
        <v>3</v>
      </c>
      <c r="AD651" t="n">
        <v>13</v>
      </c>
      <c r="AE651" t="n">
        <v>13</v>
      </c>
      <c r="AF651" t="n">
        <v>3</v>
      </c>
      <c r="AG651" t="n">
        <v>3</v>
      </c>
      <c r="AH651" t="n">
        <v>3</v>
      </c>
      <c r="AI651" t="n">
        <v>3</v>
      </c>
      <c r="AJ651" t="n">
        <v>8</v>
      </c>
      <c r="AK651" t="n">
        <v>8</v>
      </c>
      <c r="AL651" t="n">
        <v>2</v>
      </c>
      <c r="AM651" t="n">
        <v>2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HYPERLINK("https://creighton-primo.hosted.exlibrisgroup.com/primo-explore/search?tab=default_tab&amp;search_scope=EVERYTHING&amp;vid=01CRU&amp;lang=en_US&amp;offset=0&amp;query=any,contains,991000087539702656","Catalog Record")</f>
        <v/>
      </c>
      <c r="AT651">
        <f>HYPERLINK("http://www.worldcat.org/oclc/8866639","WorldCat Record")</f>
        <v/>
      </c>
      <c r="AU651" t="inlineStr">
        <is>
          <t>42757683:eng</t>
        </is>
      </c>
      <c r="AV651" t="inlineStr">
        <is>
          <t>8866639</t>
        </is>
      </c>
      <c r="AW651" t="inlineStr">
        <is>
          <t>991000087539702656</t>
        </is>
      </c>
      <c r="AX651" t="inlineStr">
        <is>
          <t>991000087539702656</t>
        </is>
      </c>
      <c r="AY651" t="inlineStr">
        <is>
          <t>2262398380002656</t>
        </is>
      </c>
      <c r="AZ651" t="inlineStr">
        <is>
          <t>BOOK</t>
        </is>
      </c>
      <c r="BB651" t="inlineStr">
        <is>
          <t>9780521252478</t>
        </is>
      </c>
      <c r="BC651" t="inlineStr">
        <is>
          <t>32285001554186</t>
        </is>
      </c>
      <c r="BD651" t="inlineStr">
        <is>
          <t>893521382</t>
        </is>
      </c>
    </row>
    <row r="652">
      <c r="A652" t="inlineStr">
        <is>
          <t>No</t>
        </is>
      </c>
      <c r="B652" t="inlineStr">
        <is>
          <t>QH371 .P57 1984</t>
        </is>
      </c>
      <c r="C652" t="inlineStr">
        <is>
          <t>0                      QH 0371000P  57          1984</t>
        </is>
      </c>
      <c r="D652" t="inlineStr">
        <is>
          <t>Adam and evolution / Michael Pitman ; introduced by Bernard Stonehouse.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Pitman, Michael.</t>
        </is>
      </c>
      <c r="L652" t="inlineStr">
        <is>
          <t>London : Rider, 1984.</t>
        </is>
      </c>
      <c r="M652" t="inlineStr">
        <is>
          <t>1984</t>
        </is>
      </c>
      <c r="O652" t="inlineStr">
        <is>
          <t>eng</t>
        </is>
      </c>
      <c r="P652" t="inlineStr">
        <is>
          <t>enk</t>
        </is>
      </c>
      <c r="R652" t="inlineStr">
        <is>
          <t xml:space="preserve">QH </t>
        </is>
      </c>
      <c r="S652" t="n">
        <v>11</v>
      </c>
      <c r="T652" t="n">
        <v>11</v>
      </c>
      <c r="U652" t="inlineStr">
        <is>
          <t>1998-12-16</t>
        </is>
      </c>
      <c r="V652" t="inlineStr">
        <is>
          <t>1998-12-16</t>
        </is>
      </c>
      <c r="W652" t="inlineStr">
        <is>
          <t>1990-05-07</t>
        </is>
      </c>
      <c r="X652" t="inlineStr">
        <is>
          <t>1990-05-07</t>
        </is>
      </c>
      <c r="Y652" t="n">
        <v>254</v>
      </c>
      <c r="Z652" t="n">
        <v>200</v>
      </c>
      <c r="AA652" t="n">
        <v>283</v>
      </c>
      <c r="AB652" t="n">
        <v>2</v>
      </c>
      <c r="AC652" t="n">
        <v>3</v>
      </c>
      <c r="AD652" t="n">
        <v>5</v>
      </c>
      <c r="AE652" t="n">
        <v>8</v>
      </c>
      <c r="AF652" t="n">
        <v>1</v>
      </c>
      <c r="AG652" t="n">
        <v>3</v>
      </c>
      <c r="AH652" t="n">
        <v>1</v>
      </c>
      <c r="AI652" t="n">
        <v>1</v>
      </c>
      <c r="AJ652" t="n">
        <v>2</v>
      </c>
      <c r="AK652" t="n">
        <v>2</v>
      </c>
      <c r="AL652" t="n">
        <v>1</v>
      </c>
      <c r="AM652" t="n">
        <v>2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HYPERLINK("http://catalog.hathitrust.org/Record/009492217","HathiTrust Record")</f>
        <v/>
      </c>
      <c r="AS652">
        <f>HYPERLINK("https://creighton-primo.hosted.exlibrisgroup.com/primo-explore/search?tab=default_tab&amp;search_scope=EVERYTHING&amp;vid=01CRU&amp;lang=en_US&amp;offset=0&amp;query=any,contains,991000543819702656","Catalog Record")</f>
        <v/>
      </c>
      <c r="AT652">
        <f>HYPERLINK("http://www.worldcat.org/oclc/11499221","WorldCat Record")</f>
        <v/>
      </c>
      <c r="AU652" t="inlineStr">
        <is>
          <t>4268592:eng</t>
        </is>
      </c>
      <c r="AV652" t="inlineStr">
        <is>
          <t>11499221</t>
        </is>
      </c>
      <c r="AW652" t="inlineStr">
        <is>
          <t>991000543819702656</t>
        </is>
      </c>
      <c r="AX652" t="inlineStr">
        <is>
          <t>991000543819702656</t>
        </is>
      </c>
      <c r="AY652" t="inlineStr">
        <is>
          <t>2265736180002656</t>
        </is>
      </c>
      <c r="AZ652" t="inlineStr">
        <is>
          <t>BOOK</t>
        </is>
      </c>
      <c r="BB652" t="inlineStr">
        <is>
          <t>9780091553913</t>
        </is>
      </c>
      <c r="BC652" t="inlineStr">
        <is>
          <t>32285000140086</t>
        </is>
      </c>
      <c r="BD652" t="inlineStr">
        <is>
          <t>893771741</t>
        </is>
      </c>
    </row>
    <row r="653">
      <c r="A653" t="inlineStr">
        <is>
          <t>No</t>
        </is>
      </c>
      <c r="B653" t="inlineStr">
        <is>
          <t>QH371 .R27 1983</t>
        </is>
      </c>
      <c r="C653" t="inlineStr">
        <is>
          <t>0                      QH 0371000R  27          1983</t>
        </is>
      </c>
      <c r="D653" t="inlineStr">
        <is>
          <t>Embryos, genes, and evolution : the developmental-genetic basis of evolutionary change / Rudolf A. Raff and Thomas C. Kaufman ; illustrated by Elizabeth C. Raff.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Raff, Rudolf A.</t>
        </is>
      </c>
      <c r="L653" t="inlineStr">
        <is>
          <t>New York : Macmillan ; London : Collier Macmillan, c1983.</t>
        </is>
      </c>
      <c r="M653" t="inlineStr">
        <is>
          <t>1983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QH </t>
        </is>
      </c>
      <c r="S653" t="n">
        <v>4</v>
      </c>
      <c r="T653" t="n">
        <v>4</v>
      </c>
      <c r="U653" t="inlineStr">
        <is>
          <t>2007-04-09</t>
        </is>
      </c>
      <c r="V653" t="inlineStr">
        <is>
          <t>2007-04-09</t>
        </is>
      </c>
      <c r="W653" t="inlineStr">
        <is>
          <t>1993-04-05</t>
        </is>
      </c>
      <c r="X653" t="inlineStr">
        <is>
          <t>1993-04-05</t>
        </is>
      </c>
      <c r="Y653" t="n">
        <v>404</v>
      </c>
      <c r="Z653" t="n">
        <v>294</v>
      </c>
      <c r="AA653" t="n">
        <v>359</v>
      </c>
      <c r="AB653" t="n">
        <v>2</v>
      </c>
      <c r="AC653" t="n">
        <v>3</v>
      </c>
      <c r="AD653" t="n">
        <v>6</v>
      </c>
      <c r="AE653" t="n">
        <v>9</v>
      </c>
      <c r="AF653" t="n">
        <v>2</v>
      </c>
      <c r="AG653" t="n">
        <v>2</v>
      </c>
      <c r="AH653" t="n">
        <v>2</v>
      </c>
      <c r="AI653" t="n">
        <v>2</v>
      </c>
      <c r="AJ653" t="n">
        <v>4</v>
      </c>
      <c r="AK653" t="n">
        <v>6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HYPERLINK("http://catalog.hathitrust.org/Record/000112522","HathiTrust Record")</f>
        <v/>
      </c>
      <c r="AS653">
        <f>HYPERLINK("https://creighton-primo.hosted.exlibrisgroup.com/primo-explore/search?tab=default_tab&amp;search_scope=EVERYTHING&amp;vid=01CRU&amp;lang=en_US&amp;offset=0&amp;query=any,contains,991005227359702656","Catalog Record")</f>
        <v/>
      </c>
      <c r="AT653">
        <f>HYPERLINK("http://www.worldcat.org/oclc/8283741","WorldCat Record")</f>
        <v/>
      </c>
      <c r="AU653" t="inlineStr">
        <is>
          <t>24226225:eng</t>
        </is>
      </c>
      <c r="AV653" t="inlineStr">
        <is>
          <t>8283741</t>
        </is>
      </c>
      <c r="AW653" t="inlineStr">
        <is>
          <t>991005227359702656</t>
        </is>
      </c>
      <c r="AX653" t="inlineStr">
        <is>
          <t>991005227359702656</t>
        </is>
      </c>
      <c r="AY653" t="inlineStr">
        <is>
          <t>2268408340002656</t>
        </is>
      </c>
      <c r="AZ653" t="inlineStr">
        <is>
          <t>BOOK</t>
        </is>
      </c>
      <c r="BB653" t="inlineStr">
        <is>
          <t>9780023975004</t>
        </is>
      </c>
      <c r="BC653" t="inlineStr">
        <is>
          <t>32285001554194</t>
        </is>
      </c>
      <c r="BD653" t="inlineStr">
        <is>
          <t>893412533</t>
        </is>
      </c>
    </row>
    <row r="654">
      <c r="A654" t="inlineStr">
        <is>
          <t>No</t>
        </is>
      </c>
      <c r="B654" t="inlineStr">
        <is>
          <t>QH371 .R38 1985</t>
        </is>
      </c>
      <c r="C654" t="inlineStr">
        <is>
          <t>0                      QH 0371000R  38          1985</t>
        </is>
      </c>
      <c r="D654" t="inlineStr">
        <is>
          <t>Evolutionary theory : the unfinished synthesis / Robert G.B. Reid.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Reid, Robert G. B., 1939-</t>
        </is>
      </c>
      <c r="L654" t="inlineStr">
        <is>
          <t>Ithaca, N.Y. : Cornell University Press, c1985.</t>
        </is>
      </c>
      <c r="M654" t="inlineStr">
        <is>
          <t>1985</t>
        </is>
      </c>
      <c r="O654" t="inlineStr">
        <is>
          <t>eng</t>
        </is>
      </c>
      <c r="P654" t="inlineStr">
        <is>
          <t>nyu</t>
        </is>
      </c>
      <c r="R654" t="inlineStr">
        <is>
          <t xml:space="preserve">QH </t>
        </is>
      </c>
      <c r="S654" t="n">
        <v>3</v>
      </c>
      <c r="T654" t="n">
        <v>3</v>
      </c>
      <c r="U654" t="inlineStr">
        <is>
          <t>1994-09-28</t>
        </is>
      </c>
      <c r="V654" t="inlineStr">
        <is>
          <t>1994-09-28</t>
        </is>
      </c>
      <c r="W654" t="inlineStr">
        <is>
          <t>1993-04-05</t>
        </is>
      </c>
      <c r="X654" t="inlineStr">
        <is>
          <t>1993-04-05</t>
        </is>
      </c>
      <c r="Y654" t="n">
        <v>351</v>
      </c>
      <c r="Z654" t="n">
        <v>315</v>
      </c>
      <c r="AA654" t="n">
        <v>351</v>
      </c>
      <c r="AB654" t="n">
        <v>1</v>
      </c>
      <c r="AC654" t="n">
        <v>3</v>
      </c>
      <c r="AD654" t="n">
        <v>9</v>
      </c>
      <c r="AE654" t="n">
        <v>11</v>
      </c>
      <c r="AF654" t="n">
        <v>4</v>
      </c>
      <c r="AG654" t="n">
        <v>4</v>
      </c>
      <c r="AH654" t="n">
        <v>1</v>
      </c>
      <c r="AI654" t="n">
        <v>1</v>
      </c>
      <c r="AJ654" t="n">
        <v>5</v>
      </c>
      <c r="AK654" t="n">
        <v>5</v>
      </c>
      <c r="AL654" t="n">
        <v>0</v>
      </c>
      <c r="AM654" t="n">
        <v>2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HYPERLINK("http://catalog.hathitrust.org/Record/000569390","HathiTrust Record")</f>
        <v/>
      </c>
      <c r="AS654">
        <f>HYPERLINK("https://creighton-primo.hosted.exlibrisgroup.com/primo-explore/search?tab=default_tab&amp;search_scope=EVERYTHING&amp;vid=01CRU&amp;lang=en_US&amp;offset=0&amp;query=any,contains,991000600109702656","Catalog Record")</f>
        <v/>
      </c>
      <c r="AT654">
        <f>HYPERLINK("http://www.worldcat.org/oclc/11840236","WorldCat Record")</f>
        <v/>
      </c>
      <c r="AU654" t="inlineStr">
        <is>
          <t>836717451:eng</t>
        </is>
      </c>
      <c r="AV654" t="inlineStr">
        <is>
          <t>11840236</t>
        </is>
      </c>
      <c r="AW654" t="inlineStr">
        <is>
          <t>991000600109702656</t>
        </is>
      </c>
      <c r="AX654" t="inlineStr">
        <is>
          <t>991000600109702656</t>
        </is>
      </c>
      <c r="AY654" t="inlineStr">
        <is>
          <t>2268004220002656</t>
        </is>
      </c>
      <c r="AZ654" t="inlineStr">
        <is>
          <t>BOOK</t>
        </is>
      </c>
      <c r="BB654" t="inlineStr">
        <is>
          <t>9780801418310</t>
        </is>
      </c>
      <c r="BC654" t="inlineStr">
        <is>
          <t>32285001554202</t>
        </is>
      </c>
      <c r="BD654" t="inlineStr">
        <is>
          <t>893243408</t>
        </is>
      </c>
    </row>
    <row r="655">
      <c r="A655" t="inlineStr">
        <is>
          <t>No</t>
        </is>
      </c>
      <c r="B655" t="inlineStr">
        <is>
          <t>QH371 .R683 1998</t>
        </is>
      </c>
      <c r="C655" t="inlineStr">
        <is>
          <t>0                      QH 0371000R  683         1998</t>
        </is>
      </c>
      <c r="D655" t="inlineStr">
        <is>
          <t>Darwin's spectre : evolutionary biology in the modern world / Michael R. Rose.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Rose, Michael R. (Michael Robertson), 1955-</t>
        </is>
      </c>
      <c r="L655" t="inlineStr">
        <is>
          <t>Princeton, N.J. : Princeton University Press, c1998.</t>
        </is>
      </c>
      <c r="M655" t="inlineStr">
        <is>
          <t>1998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QH </t>
        </is>
      </c>
      <c r="S655" t="n">
        <v>4</v>
      </c>
      <c r="T655" t="n">
        <v>4</v>
      </c>
      <c r="U655" t="inlineStr">
        <is>
          <t>2007-11-20</t>
        </is>
      </c>
      <c r="V655" t="inlineStr">
        <is>
          <t>2007-11-20</t>
        </is>
      </c>
      <c r="W655" t="inlineStr">
        <is>
          <t>1999-04-12</t>
        </is>
      </c>
      <c r="X655" t="inlineStr">
        <is>
          <t>1999-04-12</t>
        </is>
      </c>
      <c r="Y655" t="n">
        <v>1089</v>
      </c>
      <c r="Z655" t="n">
        <v>941</v>
      </c>
      <c r="AA655" t="n">
        <v>1383</v>
      </c>
      <c r="AB655" t="n">
        <v>8</v>
      </c>
      <c r="AC655" t="n">
        <v>32</v>
      </c>
      <c r="AD655" t="n">
        <v>31</v>
      </c>
      <c r="AE655" t="n">
        <v>52</v>
      </c>
      <c r="AF655" t="n">
        <v>11</v>
      </c>
      <c r="AG655" t="n">
        <v>19</v>
      </c>
      <c r="AH655" t="n">
        <v>6</v>
      </c>
      <c r="AI655" t="n">
        <v>9</v>
      </c>
      <c r="AJ655" t="n">
        <v>13</v>
      </c>
      <c r="AK655" t="n">
        <v>17</v>
      </c>
      <c r="AL655" t="n">
        <v>7</v>
      </c>
      <c r="AM655" t="n">
        <v>17</v>
      </c>
      <c r="AN655" t="n">
        <v>0</v>
      </c>
      <c r="AO655" t="n">
        <v>0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HYPERLINK("https://creighton-primo.hosted.exlibrisgroup.com/primo-explore/search?tab=default_tab&amp;search_scope=EVERYTHING&amp;vid=01CRU&amp;lang=en_US&amp;offset=0&amp;query=any,contains,991002908679702656","Catalog Record")</f>
        <v/>
      </c>
      <c r="AT655">
        <f>HYPERLINK("http://www.worldcat.org/oclc/38438615","WorldCat Record")</f>
        <v/>
      </c>
      <c r="AU655" t="inlineStr">
        <is>
          <t>793900639:eng</t>
        </is>
      </c>
      <c r="AV655" t="inlineStr">
        <is>
          <t>38438615</t>
        </is>
      </c>
      <c r="AW655" t="inlineStr">
        <is>
          <t>991002908679702656</t>
        </is>
      </c>
      <c r="AX655" t="inlineStr">
        <is>
          <t>991002908679702656</t>
        </is>
      </c>
      <c r="AY655" t="inlineStr">
        <is>
          <t>2267180740002656</t>
        </is>
      </c>
      <c r="AZ655" t="inlineStr">
        <is>
          <t>BOOK</t>
        </is>
      </c>
      <c r="BB655" t="inlineStr">
        <is>
          <t>9780691012179</t>
        </is>
      </c>
      <c r="BC655" t="inlineStr">
        <is>
          <t>32285003551388</t>
        </is>
      </c>
      <c r="BD655" t="inlineStr">
        <is>
          <t>893317418</t>
        </is>
      </c>
    </row>
    <row r="656">
      <c r="A656" t="inlineStr">
        <is>
          <t>No</t>
        </is>
      </c>
      <c r="B656" t="inlineStr">
        <is>
          <t>QH371 .R77 1986</t>
        </is>
      </c>
      <c r="C656" t="inlineStr">
        <is>
          <t>0                      QH 0371000R  77          1986</t>
        </is>
      </c>
      <c r="D656" t="inlineStr">
        <is>
          <t>Taking Darwin seriously : a naturalistic approach to philosophy / Michael Ruse.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Ruse, Michael.</t>
        </is>
      </c>
      <c r="L656" t="inlineStr">
        <is>
          <t>New York, NY : Blackwell, 1986.</t>
        </is>
      </c>
      <c r="M656" t="inlineStr">
        <is>
          <t>1986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QH </t>
        </is>
      </c>
      <c r="S656" t="n">
        <v>20</v>
      </c>
      <c r="T656" t="n">
        <v>20</v>
      </c>
      <c r="U656" t="inlineStr">
        <is>
          <t>2007-11-20</t>
        </is>
      </c>
      <c r="V656" t="inlineStr">
        <is>
          <t>2007-11-20</t>
        </is>
      </c>
      <c r="W656" t="inlineStr">
        <is>
          <t>1993-02-05</t>
        </is>
      </c>
      <c r="X656" t="inlineStr">
        <is>
          <t>1993-02-05</t>
        </is>
      </c>
      <c r="Y656" t="n">
        <v>644</v>
      </c>
      <c r="Z656" t="n">
        <v>512</v>
      </c>
      <c r="AA656" t="n">
        <v>727</v>
      </c>
      <c r="AB656" t="n">
        <v>3</v>
      </c>
      <c r="AC656" t="n">
        <v>4</v>
      </c>
      <c r="AD656" t="n">
        <v>23</v>
      </c>
      <c r="AE656" t="n">
        <v>36</v>
      </c>
      <c r="AF656" t="n">
        <v>11</v>
      </c>
      <c r="AG656" t="n">
        <v>18</v>
      </c>
      <c r="AH656" t="n">
        <v>7</v>
      </c>
      <c r="AI656" t="n">
        <v>10</v>
      </c>
      <c r="AJ656" t="n">
        <v>12</v>
      </c>
      <c r="AK656" t="n">
        <v>16</v>
      </c>
      <c r="AL656" t="n">
        <v>2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HYPERLINK("https://creighton-primo.hosted.exlibrisgroup.com/primo-explore/search?tab=default_tab&amp;search_scope=EVERYTHING&amp;vid=01CRU&amp;lang=en_US&amp;offset=0&amp;query=any,contains,991005405499702656","Catalog Record")</f>
        <v/>
      </c>
      <c r="AT656">
        <f>HYPERLINK("http://www.worldcat.org/oclc/12236751","WorldCat Record")</f>
        <v/>
      </c>
      <c r="AU656" t="inlineStr">
        <is>
          <t>836669338:eng</t>
        </is>
      </c>
      <c r="AV656" t="inlineStr">
        <is>
          <t>12236751</t>
        </is>
      </c>
      <c r="AW656" t="inlineStr">
        <is>
          <t>991005405499702656</t>
        </is>
      </c>
      <c r="AX656" t="inlineStr">
        <is>
          <t>991005405499702656</t>
        </is>
      </c>
      <c r="AY656" t="inlineStr">
        <is>
          <t>2261185100002656</t>
        </is>
      </c>
      <c r="AZ656" t="inlineStr">
        <is>
          <t>BOOK</t>
        </is>
      </c>
      <c r="BB656" t="inlineStr">
        <is>
          <t>9780631135425</t>
        </is>
      </c>
      <c r="BC656" t="inlineStr">
        <is>
          <t>32285001484160</t>
        </is>
      </c>
      <c r="BD656" t="inlineStr">
        <is>
          <t>893802252</t>
        </is>
      </c>
    </row>
    <row r="657">
      <c r="A657" t="inlineStr">
        <is>
          <t>No</t>
        </is>
      </c>
      <c r="B657" t="inlineStr">
        <is>
          <t>QH371 .S397 1984</t>
        </is>
      </c>
      <c r="C657" t="inlineStr">
        <is>
          <t>0                      QH 0371000S  397         1984</t>
        </is>
      </c>
      <c r="D657" t="inlineStr">
        <is>
          <t>Science and creationism / edited by Ashley Montagu.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Oxford ; New York : Oxford University Press, 1984.</t>
        </is>
      </c>
      <c r="M657" t="inlineStr">
        <is>
          <t>1984</t>
        </is>
      </c>
      <c r="O657" t="inlineStr">
        <is>
          <t>eng</t>
        </is>
      </c>
      <c r="P657" t="inlineStr">
        <is>
          <t>enk</t>
        </is>
      </c>
      <c r="R657" t="inlineStr">
        <is>
          <t xml:space="preserve">QH </t>
        </is>
      </c>
      <c r="S657" t="n">
        <v>9</v>
      </c>
      <c r="T657" t="n">
        <v>9</v>
      </c>
      <c r="U657" t="inlineStr">
        <is>
          <t>1996-10-01</t>
        </is>
      </c>
      <c r="V657" t="inlineStr">
        <is>
          <t>1996-10-01</t>
        </is>
      </c>
      <c r="W657" t="inlineStr">
        <is>
          <t>1992-03-17</t>
        </is>
      </c>
      <c r="X657" t="inlineStr">
        <is>
          <t>1992-03-17</t>
        </is>
      </c>
      <c r="Y657" t="n">
        <v>1871</v>
      </c>
      <c r="Z657" t="n">
        <v>1692</v>
      </c>
      <c r="AA657" t="n">
        <v>1702</v>
      </c>
      <c r="AB657" t="n">
        <v>11</v>
      </c>
      <c r="AC657" t="n">
        <v>11</v>
      </c>
      <c r="AD657" t="n">
        <v>52</v>
      </c>
      <c r="AE657" t="n">
        <v>52</v>
      </c>
      <c r="AF657" t="n">
        <v>21</v>
      </c>
      <c r="AG657" t="n">
        <v>21</v>
      </c>
      <c r="AH657" t="n">
        <v>11</v>
      </c>
      <c r="AI657" t="n">
        <v>11</v>
      </c>
      <c r="AJ657" t="n">
        <v>23</v>
      </c>
      <c r="AK657" t="n">
        <v>23</v>
      </c>
      <c r="AL657" t="n">
        <v>8</v>
      </c>
      <c r="AM657" t="n">
        <v>8</v>
      </c>
      <c r="AN657" t="n">
        <v>1</v>
      </c>
      <c r="AO657" t="n">
        <v>1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HYPERLINK("https://creighton-primo.hosted.exlibrisgroup.com/primo-explore/search?tab=default_tab&amp;search_scope=EVERYTHING&amp;vid=01CRU&amp;lang=en_US&amp;offset=0&amp;query=any,contains,991000052349702656","Catalog Record")</f>
        <v/>
      </c>
      <c r="AT657">
        <f>HYPERLINK("http://www.worldcat.org/oclc/8689463","WorldCat Record")</f>
        <v/>
      </c>
      <c r="AU657" t="inlineStr">
        <is>
          <t>54514164:eng</t>
        </is>
      </c>
      <c r="AV657" t="inlineStr">
        <is>
          <t>8689463</t>
        </is>
      </c>
      <c r="AW657" t="inlineStr">
        <is>
          <t>991000052349702656</t>
        </is>
      </c>
      <c r="AX657" t="inlineStr">
        <is>
          <t>991000052349702656</t>
        </is>
      </c>
      <c r="AY657" t="inlineStr">
        <is>
          <t>2272002000002656</t>
        </is>
      </c>
      <c r="AZ657" t="inlineStr">
        <is>
          <t>BOOK</t>
        </is>
      </c>
      <c r="BB657" t="inlineStr">
        <is>
          <t>9780195032536</t>
        </is>
      </c>
      <c r="BC657" t="inlineStr">
        <is>
          <t>32285001022523</t>
        </is>
      </c>
      <c r="BD657" t="inlineStr">
        <is>
          <t>893595219</t>
        </is>
      </c>
    </row>
    <row r="658">
      <c r="A658" t="inlineStr">
        <is>
          <t>No</t>
        </is>
      </c>
      <c r="B658" t="inlineStr">
        <is>
          <t>QH371 .S63 1988</t>
        </is>
      </c>
      <c r="C658" t="inlineStr">
        <is>
          <t>0                      QH 0371000S  63          1988</t>
        </is>
      </c>
      <c r="D658" t="inlineStr">
        <is>
          <t>Reconstructing the past : parsimony, evolution, and inference / Elliott Sober.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Sober, Elliott.</t>
        </is>
      </c>
      <c r="L658" t="inlineStr">
        <is>
          <t>Cambridge, Mass. : MIT Press, c1988.</t>
        </is>
      </c>
      <c r="M658" t="inlineStr">
        <is>
          <t>1988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QH </t>
        </is>
      </c>
      <c r="S658" t="n">
        <v>5</v>
      </c>
      <c r="T658" t="n">
        <v>5</v>
      </c>
      <c r="U658" t="inlineStr">
        <is>
          <t>1994-09-28</t>
        </is>
      </c>
      <c r="V658" t="inlineStr">
        <is>
          <t>1994-09-28</t>
        </is>
      </c>
      <c r="W658" t="inlineStr">
        <is>
          <t>1990-03-01</t>
        </is>
      </c>
      <c r="X658" t="inlineStr">
        <is>
          <t>1990-03-01</t>
        </is>
      </c>
      <c r="Y658" t="n">
        <v>419</v>
      </c>
      <c r="Z658" t="n">
        <v>301</v>
      </c>
      <c r="AA658" t="n">
        <v>302</v>
      </c>
      <c r="AB658" t="n">
        <v>3</v>
      </c>
      <c r="AC658" t="n">
        <v>3</v>
      </c>
      <c r="AD658" t="n">
        <v>18</v>
      </c>
      <c r="AE658" t="n">
        <v>18</v>
      </c>
      <c r="AF658" t="n">
        <v>3</v>
      </c>
      <c r="AG658" t="n">
        <v>3</v>
      </c>
      <c r="AH658" t="n">
        <v>6</v>
      </c>
      <c r="AI658" t="n">
        <v>6</v>
      </c>
      <c r="AJ658" t="n">
        <v>11</v>
      </c>
      <c r="AK658" t="n">
        <v>11</v>
      </c>
      <c r="AL658" t="n">
        <v>2</v>
      </c>
      <c r="AM658" t="n">
        <v>2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HYPERLINK("https://creighton-primo.hosted.exlibrisgroup.com/primo-explore/search?tab=default_tab&amp;search_scope=EVERYTHING&amp;vid=01CRU&amp;lang=en_US&amp;offset=0&amp;query=any,contains,991001264889702656","Catalog Record")</f>
        <v/>
      </c>
      <c r="AT658">
        <f>HYPERLINK("http://www.worldcat.org/oclc/17803724","WorldCat Record")</f>
        <v/>
      </c>
      <c r="AU658" t="inlineStr">
        <is>
          <t>836863155:eng</t>
        </is>
      </c>
      <c r="AV658" t="inlineStr">
        <is>
          <t>17803724</t>
        </is>
      </c>
      <c r="AW658" t="inlineStr">
        <is>
          <t>991001264889702656</t>
        </is>
      </c>
      <c r="AX658" t="inlineStr">
        <is>
          <t>991001264889702656</t>
        </is>
      </c>
      <c r="AY658" t="inlineStr">
        <is>
          <t>2264649190002656</t>
        </is>
      </c>
      <c r="AZ658" t="inlineStr">
        <is>
          <t>BOOK</t>
        </is>
      </c>
      <c r="BB658" t="inlineStr">
        <is>
          <t>9780262192736</t>
        </is>
      </c>
      <c r="BC658" t="inlineStr">
        <is>
          <t>32285000042910</t>
        </is>
      </c>
      <c r="BD658" t="inlineStr">
        <is>
          <t>893426473</t>
        </is>
      </c>
    </row>
    <row r="659">
      <c r="A659" t="inlineStr">
        <is>
          <t>No</t>
        </is>
      </c>
      <c r="B659" t="inlineStr">
        <is>
          <t>QH371 .S73 1981</t>
        </is>
      </c>
      <c r="C659" t="inlineStr">
        <is>
          <t>0                      QH 0371000S  73          1981</t>
        </is>
      </c>
      <c r="D659" t="inlineStr">
        <is>
          <t>Somatic selection and adaptive evolution : on the inheritance of acquired characters / E.J. Steele.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Steele, E. J., 1948-</t>
        </is>
      </c>
      <c r="L659" t="inlineStr">
        <is>
          <t>Chicago : University of Chicago Press, 1981.</t>
        </is>
      </c>
      <c r="M659" t="inlineStr">
        <is>
          <t>1981</t>
        </is>
      </c>
      <c r="N659" t="inlineStr">
        <is>
          <t>2nd ed.</t>
        </is>
      </c>
      <c r="O659" t="inlineStr">
        <is>
          <t>eng</t>
        </is>
      </c>
      <c r="P659" t="inlineStr">
        <is>
          <t>ilu</t>
        </is>
      </c>
      <c r="R659" t="inlineStr">
        <is>
          <t xml:space="preserve">QH </t>
        </is>
      </c>
      <c r="S659" t="n">
        <v>4</v>
      </c>
      <c r="T659" t="n">
        <v>4</v>
      </c>
      <c r="U659" t="inlineStr">
        <is>
          <t>1996-09-30</t>
        </is>
      </c>
      <c r="V659" t="inlineStr">
        <is>
          <t>1996-09-30</t>
        </is>
      </c>
      <c r="W659" t="inlineStr">
        <is>
          <t>1993-04-05</t>
        </is>
      </c>
      <c r="X659" t="inlineStr">
        <is>
          <t>1993-04-05</t>
        </is>
      </c>
      <c r="Y659" t="n">
        <v>311</v>
      </c>
      <c r="Z659" t="n">
        <v>270</v>
      </c>
      <c r="AA659" t="n">
        <v>311</v>
      </c>
      <c r="AB659" t="n">
        <v>3</v>
      </c>
      <c r="AC659" t="n">
        <v>3</v>
      </c>
      <c r="AD659" t="n">
        <v>13</v>
      </c>
      <c r="AE659" t="n">
        <v>13</v>
      </c>
      <c r="AF659" t="n">
        <v>2</v>
      </c>
      <c r="AG659" t="n">
        <v>2</v>
      </c>
      <c r="AH659" t="n">
        <v>3</v>
      </c>
      <c r="AI659" t="n">
        <v>3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HYPERLINK("https://creighton-primo.hosted.exlibrisgroup.com/primo-explore/search?tab=default_tab&amp;search_scope=EVERYTHING&amp;vid=01CRU&amp;lang=en_US&amp;offset=0&amp;query=any,contains,991005139689702656","Catalog Record")</f>
        <v/>
      </c>
      <c r="AT659">
        <f>HYPERLINK("http://www.worldcat.org/oclc/7597488","WorldCat Record")</f>
        <v/>
      </c>
      <c r="AU659" t="inlineStr">
        <is>
          <t>866850597:eng</t>
        </is>
      </c>
      <c r="AV659" t="inlineStr">
        <is>
          <t>7597488</t>
        </is>
      </c>
      <c r="AW659" t="inlineStr">
        <is>
          <t>991005139689702656</t>
        </is>
      </c>
      <c r="AX659" t="inlineStr">
        <is>
          <t>991005139689702656</t>
        </is>
      </c>
      <c r="AY659" t="inlineStr">
        <is>
          <t>2254798870002656</t>
        </is>
      </c>
      <c r="AZ659" t="inlineStr">
        <is>
          <t>BOOK</t>
        </is>
      </c>
      <c r="BB659" t="inlineStr">
        <is>
          <t>9780226771625</t>
        </is>
      </c>
      <c r="BC659" t="inlineStr">
        <is>
          <t>32285001554228</t>
        </is>
      </c>
      <c r="BD659" t="inlineStr">
        <is>
          <t>893719851</t>
        </is>
      </c>
    </row>
    <row r="660">
      <c r="A660" t="inlineStr">
        <is>
          <t>No</t>
        </is>
      </c>
      <c r="B660" t="inlineStr">
        <is>
          <t>QH371 .W54</t>
        </is>
      </c>
      <c r="C660" t="inlineStr">
        <is>
          <t>0                      QH 0371000W  54</t>
        </is>
      </c>
      <c r="D660" t="inlineStr">
        <is>
          <t>Sex and evolution / [by] George C. Williams.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Williams, George C. (George Christopher), 1926-2010.</t>
        </is>
      </c>
      <c r="L660" t="inlineStr">
        <is>
          <t>Princeton, N.J. : Princeton University Press, 1975.</t>
        </is>
      </c>
      <c r="M660" t="inlineStr">
        <is>
          <t>1975</t>
        </is>
      </c>
      <c r="O660" t="inlineStr">
        <is>
          <t>eng</t>
        </is>
      </c>
      <c r="P660" t="inlineStr">
        <is>
          <t>nju</t>
        </is>
      </c>
      <c r="Q660" t="inlineStr">
        <is>
          <t>Monographs in population biology ; 8</t>
        </is>
      </c>
      <c r="R660" t="inlineStr">
        <is>
          <t xml:space="preserve">QH </t>
        </is>
      </c>
      <c r="S660" t="n">
        <v>3</v>
      </c>
      <c r="T660" t="n">
        <v>3</v>
      </c>
      <c r="U660" t="inlineStr">
        <is>
          <t>2007-02-05</t>
        </is>
      </c>
      <c r="V660" t="inlineStr">
        <is>
          <t>2007-02-05</t>
        </is>
      </c>
      <c r="W660" t="inlineStr">
        <is>
          <t>1995-03-21</t>
        </is>
      </c>
      <c r="X660" t="inlineStr">
        <is>
          <t>1995-03-21</t>
        </is>
      </c>
      <c r="Y660" t="n">
        <v>791</v>
      </c>
      <c r="Z660" t="n">
        <v>618</v>
      </c>
      <c r="AA660" t="n">
        <v>834</v>
      </c>
      <c r="AB660" t="n">
        <v>5</v>
      </c>
      <c r="AC660" t="n">
        <v>5</v>
      </c>
      <c r="AD660" t="n">
        <v>30</v>
      </c>
      <c r="AE660" t="n">
        <v>37</v>
      </c>
      <c r="AF660" t="n">
        <v>12</v>
      </c>
      <c r="AG660" t="n">
        <v>15</v>
      </c>
      <c r="AH660" t="n">
        <v>6</v>
      </c>
      <c r="AI660" t="n">
        <v>8</v>
      </c>
      <c r="AJ660" t="n">
        <v>15</v>
      </c>
      <c r="AK660" t="n">
        <v>19</v>
      </c>
      <c r="AL660" t="n">
        <v>4</v>
      </c>
      <c r="AM660" t="n">
        <v>4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HYPERLINK("https://creighton-primo.hosted.exlibrisgroup.com/primo-explore/search?tab=default_tab&amp;search_scope=EVERYTHING&amp;vid=01CRU&amp;lang=en_US&amp;offset=0&amp;query=any,contains,991003418769702656","Catalog Record")</f>
        <v/>
      </c>
      <c r="AT660">
        <f>HYPERLINK("http://www.worldcat.org/oclc/960067","WorldCat Record")</f>
        <v/>
      </c>
      <c r="AU660" t="inlineStr">
        <is>
          <t>649367386:eng</t>
        </is>
      </c>
      <c r="AV660" t="inlineStr">
        <is>
          <t>960067</t>
        </is>
      </c>
      <c r="AW660" t="inlineStr">
        <is>
          <t>991003418769702656</t>
        </is>
      </c>
      <c r="AX660" t="inlineStr">
        <is>
          <t>991003418769702656</t>
        </is>
      </c>
      <c r="AY660" t="inlineStr">
        <is>
          <t>2259025290002656</t>
        </is>
      </c>
      <c r="AZ660" t="inlineStr">
        <is>
          <t>BOOK</t>
        </is>
      </c>
      <c r="BB660" t="inlineStr">
        <is>
          <t>9780691081472</t>
        </is>
      </c>
      <c r="BC660" t="inlineStr">
        <is>
          <t>32285002012713</t>
        </is>
      </c>
      <c r="BD660" t="inlineStr">
        <is>
          <t>893317969</t>
        </is>
      </c>
    </row>
    <row r="661">
      <c r="A661" t="inlineStr">
        <is>
          <t>No</t>
        </is>
      </c>
      <c r="B661" t="inlineStr">
        <is>
          <t>QH372 .G73 1984</t>
        </is>
      </c>
      <c r="C661" t="inlineStr">
        <is>
          <t>0                      QH 0372000G  73          1984</t>
        </is>
      </c>
      <c r="D661" t="inlineStr">
        <is>
          <t>Beauty and the beast : the coevolution of plants and animals / Susan Grant ; illustrations by Laszlo Kubinyi.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Grant, Susan.</t>
        </is>
      </c>
      <c r="L661" t="inlineStr">
        <is>
          <t>New York : C. Scribner's, c1984.</t>
        </is>
      </c>
      <c r="M661" t="inlineStr">
        <is>
          <t>1984</t>
        </is>
      </c>
      <c r="O661" t="inlineStr">
        <is>
          <t>eng</t>
        </is>
      </c>
      <c r="P661" t="inlineStr">
        <is>
          <t>nyu</t>
        </is>
      </c>
      <c r="R661" t="inlineStr">
        <is>
          <t xml:space="preserve">QH </t>
        </is>
      </c>
      <c r="S661" t="n">
        <v>4</v>
      </c>
      <c r="T661" t="n">
        <v>4</v>
      </c>
      <c r="U661" t="inlineStr">
        <is>
          <t>2006-10-18</t>
        </is>
      </c>
      <c r="V661" t="inlineStr">
        <is>
          <t>2006-10-18</t>
        </is>
      </c>
      <c r="W661" t="inlineStr">
        <is>
          <t>1992-12-09</t>
        </is>
      </c>
      <c r="X661" t="inlineStr">
        <is>
          <t>1992-12-09</t>
        </is>
      </c>
      <c r="Y661" t="n">
        <v>582</v>
      </c>
      <c r="Z661" t="n">
        <v>547</v>
      </c>
      <c r="AA661" t="n">
        <v>555</v>
      </c>
      <c r="AB661" t="n">
        <v>3</v>
      </c>
      <c r="AC661" t="n">
        <v>3</v>
      </c>
      <c r="AD661" t="n">
        <v>12</v>
      </c>
      <c r="AE661" t="n">
        <v>12</v>
      </c>
      <c r="AF661" t="n">
        <v>3</v>
      </c>
      <c r="AG661" t="n">
        <v>3</v>
      </c>
      <c r="AH661" t="n">
        <v>3</v>
      </c>
      <c r="AI661" t="n">
        <v>3</v>
      </c>
      <c r="AJ661" t="n">
        <v>10</v>
      </c>
      <c r="AK661" t="n">
        <v>10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HYPERLINK("http://catalog.hathitrust.org/Record/000334346","HathiTrust Record")</f>
        <v/>
      </c>
      <c r="AS661">
        <f>HYPERLINK("https://creighton-primo.hosted.exlibrisgroup.com/primo-explore/search?tab=default_tab&amp;search_scope=EVERYTHING&amp;vid=01CRU&amp;lang=en_US&amp;offset=0&amp;query=any,contains,991000444739702656","Catalog Record")</f>
        <v/>
      </c>
      <c r="AT661">
        <f>HYPERLINK("http://www.worldcat.org/oclc/10849917","WorldCat Record")</f>
        <v/>
      </c>
      <c r="AU661" t="inlineStr">
        <is>
          <t>916169072:eng</t>
        </is>
      </c>
      <c r="AV661" t="inlineStr">
        <is>
          <t>10849917</t>
        </is>
      </c>
      <c r="AW661" t="inlineStr">
        <is>
          <t>991000444739702656</t>
        </is>
      </c>
      <c r="AX661" t="inlineStr">
        <is>
          <t>991000444739702656</t>
        </is>
      </c>
      <c r="AY661" t="inlineStr">
        <is>
          <t>2260422470002656</t>
        </is>
      </c>
      <c r="AZ661" t="inlineStr">
        <is>
          <t>BOOK</t>
        </is>
      </c>
      <c r="BB661" t="inlineStr">
        <is>
          <t>9780684181868</t>
        </is>
      </c>
      <c r="BC661" t="inlineStr">
        <is>
          <t>32285001414951</t>
        </is>
      </c>
      <c r="BD661" t="inlineStr">
        <is>
          <t>893528055</t>
        </is>
      </c>
    </row>
    <row r="662">
      <c r="A662" t="inlineStr">
        <is>
          <t>No</t>
        </is>
      </c>
      <c r="B662" t="inlineStr">
        <is>
          <t>QH375 .B43 1997</t>
        </is>
      </c>
      <c r="C662" t="inlineStr">
        <is>
          <t>0                      QH 0375000B  43          1997</t>
        </is>
      </c>
      <c r="D662" t="inlineStr">
        <is>
          <t>The basics of selection / Graham Bell.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Bell, Graham, 1949-</t>
        </is>
      </c>
      <c r="L662" t="inlineStr">
        <is>
          <t>New York : Chapman &amp; Hall,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QH </t>
        </is>
      </c>
      <c r="S662" t="n">
        <v>4</v>
      </c>
      <c r="T662" t="n">
        <v>4</v>
      </c>
      <c r="U662" t="inlineStr">
        <is>
          <t>1999-11-30</t>
        </is>
      </c>
      <c r="V662" t="inlineStr">
        <is>
          <t>1999-11-30</t>
        </is>
      </c>
      <c r="W662" t="inlineStr">
        <is>
          <t>1997-05-20</t>
        </is>
      </c>
      <c r="X662" t="inlineStr">
        <is>
          <t>1997-05-20</t>
        </is>
      </c>
      <c r="Y662" t="n">
        <v>242</v>
      </c>
      <c r="Z662" t="n">
        <v>163</v>
      </c>
      <c r="AA662" t="n">
        <v>193</v>
      </c>
      <c r="AB662" t="n">
        <v>3</v>
      </c>
      <c r="AC662" t="n">
        <v>3</v>
      </c>
      <c r="AD662" t="n">
        <v>7</v>
      </c>
      <c r="AE662" t="n">
        <v>9</v>
      </c>
      <c r="AF662" t="n">
        <v>5</v>
      </c>
      <c r="AG662" t="n">
        <v>6</v>
      </c>
      <c r="AH662" t="n">
        <v>2</v>
      </c>
      <c r="AI662" t="n">
        <v>2</v>
      </c>
      <c r="AJ662" t="n">
        <v>1</v>
      </c>
      <c r="AK662" t="n">
        <v>3</v>
      </c>
      <c r="AL662" t="n">
        <v>2</v>
      </c>
      <c r="AM662" t="n">
        <v>2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HYPERLINK("https://creighton-primo.hosted.exlibrisgroup.com/primo-explore/search?tab=default_tab&amp;search_scope=EVERYTHING&amp;vid=01CRU&amp;lang=en_US&amp;offset=0&amp;query=any,contains,991002693699702656","Catalog Record")</f>
        <v/>
      </c>
      <c r="AT662">
        <f>HYPERLINK("http://www.worldcat.org/oclc/35174947","WorldCat Record")</f>
        <v/>
      </c>
      <c r="AU662" t="inlineStr">
        <is>
          <t>155219504:eng</t>
        </is>
      </c>
      <c r="AV662" t="inlineStr">
        <is>
          <t>35174947</t>
        </is>
      </c>
      <c r="AW662" t="inlineStr">
        <is>
          <t>991002693699702656</t>
        </is>
      </c>
      <c r="AX662" t="inlineStr">
        <is>
          <t>991002693699702656</t>
        </is>
      </c>
      <c r="AY662" t="inlineStr">
        <is>
          <t>2271743690002656</t>
        </is>
      </c>
      <c r="AZ662" t="inlineStr">
        <is>
          <t>BOOK</t>
        </is>
      </c>
      <c r="BB662" t="inlineStr">
        <is>
          <t>9780412055317</t>
        </is>
      </c>
      <c r="BC662" t="inlineStr">
        <is>
          <t>32285002609856</t>
        </is>
      </c>
      <c r="BD662" t="inlineStr">
        <is>
          <t>893716802</t>
        </is>
      </c>
    </row>
    <row r="663">
      <c r="A663" t="inlineStr">
        <is>
          <t>No</t>
        </is>
      </c>
      <c r="B663" t="inlineStr">
        <is>
          <t>QH375 .D376 1996</t>
        </is>
      </c>
      <c r="C663" t="inlineStr">
        <is>
          <t>0                      QH 0375000D  376         1996</t>
        </is>
      </c>
      <c r="D663" t="inlineStr">
        <is>
          <t>Climbing mount improbable / Richard Dawkins ; original drawings by Lalla Ward.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Dawkins, Richard, 1941-</t>
        </is>
      </c>
      <c r="L663" t="inlineStr">
        <is>
          <t>New York : Norton, 1996.</t>
        </is>
      </c>
      <c r="M663" t="inlineStr">
        <is>
          <t>1996</t>
        </is>
      </c>
      <c r="N663" t="inlineStr">
        <is>
          <t>1st American ed.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QH </t>
        </is>
      </c>
      <c r="S663" t="n">
        <v>5</v>
      </c>
      <c r="T663" t="n">
        <v>5</v>
      </c>
      <c r="U663" t="inlineStr">
        <is>
          <t>2008-04-06</t>
        </is>
      </c>
      <c r="V663" t="inlineStr">
        <is>
          <t>2008-04-06</t>
        </is>
      </c>
      <c r="W663" t="inlineStr">
        <is>
          <t>1996-12-23</t>
        </is>
      </c>
      <c r="X663" t="inlineStr">
        <is>
          <t>1996-12-23</t>
        </is>
      </c>
      <c r="Y663" t="n">
        <v>1415</v>
      </c>
      <c r="Z663" t="n">
        <v>1313</v>
      </c>
      <c r="AA663" t="n">
        <v>1494</v>
      </c>
      <c r="AB663" t="n">
        <v>11</v>
      </c>
      <c r="AC663" t="n">
        <v>15</v>
      </c>
      <c r="AD663" t="n">
        <v>42</v>
      </c>
      <c r="AE663" t="n">
        <v>46</v>
      </c>
      <c r="AF663" t="n">
        <v>16</v>
      </c>
      <c r="AG663" t="n">
        <v>16</v>
      </c>
      <c r="AH663" t="n">
        <v>7</v>
      </c>
      <c r="AI663" t="n">
        <v>8</v>
      </c>
      <c r="AJ663" t="n">
        <v>19</v>
      </c>
      <c r="AK663" t="n">
        <v>19</v>
      </c>
      <c r="AL663" t="n">
        <v>8</v>
      </c>
      <c r="AM663" t="n">
        <v>11</v>
      </c>
      <c r="AN663" t="n">
        <v>1</v>
      </c>
      <c r="AO663" t="n">
        <v>1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HYPERLINK("https://creighton-primo.hosted.exlibrisgroup.com/primo-explore/search?tab=default_tab&amp;search_scope=EVERYTHING&amp;vid=01CRU&amp;lang=en_US&amp;offset=0&amp;query=any,contains,991002647309702656","Catalog Record")</f>
        <v/>
      </c>
      <c r="AT663">
        <f>HYPERLINK("http://www.worldcat.org/oclc/34633422","WorldCat Record")</f>
        <v/>
      </c>
      <c r="AU663" t="inlineStr">
        <is>
          <t>537412:eng</t>
        </is>
      </c>
      <c r="AV663" t="inlineStr">
        <is>
          <t>34633422</t>
        </is>
      </c>
      <c r="AW663" t="inlineStr">
        <is>
          <t>991002647309702656</t>
        </is>
      </c>
      <c r="AX663" t="inlineStr">
        <is>
          <t>991002647309702656</t>
        </is>
      </c>
      <c r="AY663" t="inlineStr">
        <is>
          <t>2272105400002656</t>
        </is>
      </c>
      <c r="AZ663" t="inlineStr">
        <is>
          <t>BOOK</t>
        </is>
      </c>
      <c r="BB663" t="inlineStr">
        <is>
          <t>9780393039306</t>
        </is>
      </c>
      <c r="BC663" t="inlineStr">
        <is>
          <t>32285002403086</t>
        </is>
      </c>
      <c r="BD663" t="inlineStr">
        <is>
          <t>893886531</t>
        </is>
      </c>
    </row>
    <row r="664">
      <c r="A664" t="inlineStr">
        <is>
          <t>No</t>
        </is>
      </c>
      <c r="B664" t="inlineStr">
        <is>
          <t>QH375 .E53 1986</t>
        </is>
      </c>
      <c r="C664" t="inlineStr">
        <is>
          <t>0                      QH 0375000E  53          1986</t>
        </is>
      </c>
      <c r="D664" t="inlineStr">
        <is>
          <t>Natural selection in the wild / John A. Endler.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Endler, John A., 1947-</t>
        </is>
      </c>
      <c r="L664" t="inlineStr">
        <is>
          <t>Princeton, N.J. : Princeton University Press, 1985.</t>
        </is>
      </c>
      <c r="M664" t="inlineStr">
        <is>
          <t>1985</t>
        </is>
      </c>
      <c r="O664" t="inlineStr">
        <is>
          <t>eng</t>
        </is>
      </c>
      <c r="P664" t="inlineStr">
        <is>
          <t>nju</t>
        </is>
      </c>
      <c r="Q664" t="inlineStr">
        <is>
          <t>Monographs in population biology ; 21</t>
        </is>
      </c>
      <c r="R664" t="inlineStr">
        <is>
          <t xml:space="preserve">QH </t>
        </is>
      </c>
      <c r="S664" t="n">
        <v>4</v>
      </c>
      <c r="T664" t="n">
        <v>4</v>
      </c>
      <c r="U664" t="inlineStr">
        <is>
          <t>1996-02-23</t>
        </is>
      </c>
      <c r="V664" t="inlineStr">
        <is>
          <t>1996-02-23</t>
        </is>
      </c>
      <c r="W664" t="inlineStr">
        <is>
          <t>1993-04-07</t>
        </is>
      </c>
      <c r="X664" t="inlineStr">
        <is>
          <t>1993-04-07</t>
        </is>
      </c>
      <c r="Y664" t="n">
        <v>732</v>
      </c>
      <c r="Z664" t="n">
        <v>553</v>
      </c>
      <c r="AA664" t="n">
        <v>708</v>
      </c>
      <c r="AB664" t="n">
        <v>5</v>
      </c>
      <c r="AC664" t="n">
        <v>5</v>
      </c>
      <c r="AD664" t="n">
        <v>27</v>
      </c>
      <c r="AE664" t="n">
        <v>36</v>
      </c>
      <c r="AF664" t="n">
        <v>12</v>
      </c>
      <c r="AG664" t="n">
        <v>17</v>
      </c>
      <c r="AH664" t="n">
        <v>4</v>
      </c>
      <c r="AI664" t="n">
        <v>6</v>
      </c>
      <c r="AJ664" t="n">
        <v>13</v>
      </c>
      <c r="AK664" t="n">
        <v>17</v>
      </c>
      <c r="AL664" t="n">
        <v>4</v>
      </c>
      <c r="AM664" t="n">
        <v>4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HYPERLINK("https://creighton-primo.hosted.exlibrisgroup.com/primo-explore/search?tab=default_tab&amp;search_scope=EVERYTHING&amp;vid=01CRU&amp;lang=en_US&amp;offset=0&amp;query=any,contains,991000664029702656","Catalog Record")</f>
        <v/>
      </c>
      <c r="AT664">
        <f>HYPERLINK("http://www.worldcat.org/oclc/12262762","WorldCat Record")</f>
        <v/>
      </c>
      <c r="AU664" t="inlineStr">
        <is>
          <t>892745:eng</t>
        </is>
      </c>
      <c r="AV664" t="inlineStr">
        <is>
          <t>12262762</t>
        </is>
      </c>
      <c r="AW664" t="inlineStr">
        <is>
          <t>991000664029702656</t>
        </is>
      </c>
      <c r="AX664" t="inlineStr">
        <is>
          <t>991000664029702656</t>
        </is>
      </c>
      <c r="AY664" t="inlineStr">
        <is>
          <t>2270599170002656</t>
        </is>
      </c>
      <c r="AZ664" t="inlineStr">
        <is>
          <t>BOOK</t>
        </is>
      </c>
      <c r="BB664" t="inlineStr">
        <is>
          <t>9780691083872</t>
        </is>
      </c>
      <c r="BC664" t="inlineStr">
        <is>
          <t>32285001554251</t>
        </is>
      </c>
      <c r="BD664" t="inlineStr">
        <is>
          <t>893696031</t>
        </is>
      </c>
    </row>
    <row r="665">
      <c r="A665" t="inlineStr">
        <is>
          <t>No</t>
        </is>
      </c>
      <c r="B665" t="inlineStr">
        <is>
          <t>QH375 .H66 2002</t>
        </is>
      </c>
      <c r="C665" t="inlineStr">
        <is>
          <t>0                      QH 0375000H  66          2002</t>
        </is>
      </c>
      <c r="D665" t="inlineStr">
        <is>
          <t>Of moths and men : an evolutionary tale : the untold story of science and the peppered moth / Judith Hooper.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Hooper, Judith.</t>
        </is>
      </c>
      <c r="L665" t="inlineStr">
        <is>
          <t>New York : Norton, 2002.</t>
        </is>
      </c>
      <c r="M665" t="inlineStr">
        <is>
          <t>2002</t>
        </is>
      </c>
      <c r="N665" t="inlineStr">
        <is>
          <t>1st American ed.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QH </t>
        </is>
      </c>
      <c r="S665" t="n">
        <v>2</v>
      </c>
      <c r="T665" t="n">
        <v>2</v>
      </c>
      <c r="U665" t="inlineStr">
        <is>
          <t>2003-07-14</t>
        </is>
      </c>
      <c r="V665" t="inlineStr">
        <is>
          <t>2003-07-14</t>
        </is>
      </c>
      <c r="W665" t="inlineStr">
        <is>
          <t>2003-07-14</t>
        </is>
      </c>
      <c r="X665" t="inlineStr">
        <is>
          <t>2003-07-14</t>
        </is>
      </c>
      <c r="Y665" t="n">
        <v>754</v>
      </c>
      <c r="Z665" t="n">
        <v>697</v>
      </c>
      <c r="AA665" t="n">
        <v>704</v>
      </c>
      <c r="AB665" t="n">
        <v>10</v>
      </c>
      <c r="AC665" t="n">
        <v>10</v>
      </c>
      <c r="AD665" t="n">
        <v>31</v>
      </c>
      <c r="AE665" t="n">
        <v>31</v>
      </c>
      <c r="AF665" t="n">
        <v>10</v>
      </c>
      <c r="AG665" t="n">
        <v>10</v>
      </c>
      <c r="AH665" t="n">
        <v>5</v>
      </c>
      <c r="AI665" t="n">
        <v>5</v>
      </c>
      <c r="AJ665" t="n">
        <v>15</v>
      </c>
      <c r="AK665" t="n">
        <v>15</v>
      </c>
      <c r="AL665" t="n">
        <v>8</v>
      </c>
      <c r="AM665" t="n">
        <v>8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HYPERLINK("https://creighton-primo.hosted.exlibrisgroup.com/primo-explore/search?tab=default_tab&amp;search_scope=EVERYTHING&amp;vid=01CRU&amp;lang=en_US&amp;offset=0&amp;query=any,contains,991004076599702656","Catalog Record")</f>
        <v/>
      </c>
      <c r="AT665">
        <f>HYPERLINK("http://www.worldcat.org/oclc/50022818","WorldCat Record")</f>
        <v/>
      </c>
      <c r="AU665" t="inlineStr">
        <is>
          <t>3901783967:eng</t>
        </is>
      </c>
      <c r="AV665" t="inlineStr">
        <is>
          <t>50022818</t>
        </is>
      </c>
      <c r="AW665" t="inlineStr">
        <is>
          <t>991004076599702656</t>
        </is>
      </c>
      <c r="AX665" t="inlineStr">
        <is>
          <t>991004076599702656</t>
        </is>
      </c>
      <c r="AY665" t="inlineStr">
        <is>
          <t>2258216030002656</t>
        </is>
      </c>
      <c r="AZ665" t="inlineStr">
        <is>
          <t>BOOK</t>
        </is>
      </c>
      <c r="BB665" t="inlineStr">
        <is>
          <t>9780393051216</t>
        </is>
      </c>
      <c r="BC665" t="inlineStr">
        <is>
          <t>32285004755434</t>
        </is>
      </c>
      <c r="BD665" t="inlineStr">
        <is>
          <t>893599402</t>
        </is>
      </c>
    </row>
    <row r="666">
      <c r="A666" t="inlineStr">
        <is>
          <t>No</t>
        </is>
      </c>
      <c r="B666" t="inlineStr">
        <is>
          <t>QH375 .I4</t>
        </is>
      </c>
      <c r="C666" t="inlineStr">
        <is>
          <t>0                      QH 0375000I  4</t>
        </is>
      </c>
      <c r="D666" t="inlineStr">
        <is>
          <t>The Impact of Darwinism : texts and commentary, illustrating nineteenth century religious, scientific and literary attitudes / D.F. Bratchell.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Amersham, Buckinghamshire, England : Avebury Pub. Co., 1981.</t>
        </is>
      </c>
      <c r="M666" t="inlineStr">
        <is>
          <t>1981</t>
        </is>
      </c>
      <c r="O666" t="inlineStr">
        <is>
          <t>eng</t>
        </is>
      </c>
      <c r="P666" t="inlineStr">
        <is>
          <t>enk</t>
        </is>
      </c>
      <c r="R666" t="inlineStr">
        <is>
          <t xml:space="preserve">QH </t>
        </is>
      </c>
      <c r="S666" t="n">
        <v>13</v>
      </c>
      <c r="T666" t="n">
        <v>13</v>
      </c>
      <c r="U666" t="inlineStr">
        <is>
          <t>2007-11-20</t>
        </is>
      </c>
      <c r="V666" t="inlineStr">
        <is>
          <t>2007-11-20</t>
        </is>
      </c>
      <c r="W666" t="inlineStr">
        <is>
          <t>1993-04-05</t>
        </is>
      </c>
      <c r="X666" t="inlineStr">
        <is>
          <t>1993-04-05</t>
        </is>
      </c>
      <c r="Y666" t="n">
        <v>225</v>
      </c>
      <c r="Z666" t="n">
        <v>154</v>
      </c>
      <c r="AA666" t="n">
        <v>161</v>
      </c>
      <c r="AB666" t="n">
        <v>4</v>
      </c>
      <c r="AC666" t="n">
        <v>4</v>
      </c>
      <c r="AD666" t="n">
        <v>10</v>
      </c>
      <c r="AE666" t="n">
        <v>10</v>
      </c>
      <c r="AF666" t="n">
        <v>0</v>
      </c>
      <c r="AG666" t="n">
        <v>0</v>
      </c>
      <c r="AH666" t="n">
        <v>4</v>
      </c>
      <c r="AI666" t="n">
        <v>4</v>
      </c>
      <c r="AJ666" t="n">
        <v>6</v>
      </c>
      <c r="AK666" t="n">
        <v>6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No</t>
        </is>
      </c>
      <c r="AS666">
        <f>HYPERLINK("https://creighton-primo.hosted.exlibrisgroup.com/primo-explore/search?tab=default_tab&amp;search_scope=EVERYTHING&amp;vid=01CRU&amp;lang=en_US&amp;offset=0&amp;query=any,contains,991005149079702656","Catalog Record")</f>
        <v/>
      </c>
      <c r="AT666">
        <f>HYPERLINK("http://www.worldcat.org/oclc/7699668","WorldCat Record")</f>
        <v/>
      </c>
      <c r="AU666" t="inlineStr">
        <is>
          <t>836659411:eng</t>
        </is>
      </c>
      <c r="AV666" t="inlineStr">
        <is>
          <t>7699668</t>
        </is>
      </c>
      <c r="AW666" t="inlineStr">
        <is>
          <t>991005149079702656</t>
        </is>
      </c>
      <c r="AX666" t="inlineStr">
        <is>
          <t>991005149079702656</t>
        </is>
      </c>
      <c r="AY666" t="inlineStr">
        <is>
          <t>2270504680002656</t>
        </is>
      </c>
      <c r="AZ666" t="inlineStr">
        <is>
          <t>BOOK</t>
        </is>
      </c>
      <c r="BB666" t="inlineStr">
        <is>
          <t>9780861272044</t>
        </is>
      </c>
      <c r="BC666" t="inlineStr">
        <is>
          <t>32285001554277</t>
        </is>
      </c>
      <c r="BD666" t="inlineStr">
        <is>
          <t>893344719</t>
        </is>
      </c>
    </row>
    <row r="667">
      <c r="A667" t="inlineStr">
        <is>
          <t>No</t>
        </is>
      </c>
      <c r="B667" t="inlineStr">
        <is>
          <t>QH375 .J63</t>
        </is>
      </c>
      <c r="C667" t="inlineStr">
        <is>
          <t>0                      QH 0375000J  63</t>
        </is>
      </c>
      <c r="D667" t="inlineStr">
        <is>
          <t>Introduction to natural selection / Clifford Johnson.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Johnson, Clifford, 1932-</t>
        </is>
      </c>
      <c r="L667" t="inlineStr">
        <is>
          <t>Baltimore : University Park Press, c1976.</t>
        </is>
      </c>
      <c r="M667" t="inlineStr">
        <is>
          <t>1976</t>
        </is>
      </c>
      <c r="O667" t="inlineStr">
        <is>
          <t>eng</t>
        </is>
      </c>
      <c r="P667" t="inlineStr">
        <is>
          <t>mdu</t>
        </is>
      </c>
      <c r="R667" t="inlineStr">
        <is>
          <t xml:space="preserve">QH </t>
        </is>
      </c>
      <c r="S667" t="n">
        <v>3</v>
      </c>
      <c r="T667" t="n">
        <v>3</v>
      </c>
      <c r="U667" t="inlineStr">
        <is>
          <t>1996-02-25</t>
        </is>
      </c>
      <c r="V667" t="inlineStr">
        <is>
          <t>1996-02-25</t>
        </is>
      </c>
      <c r="W667" t="inlineStr">
        <is>
          <t>1995-03-21</t>
        </is>
      </c>
      <c r="X667" t="inlineStr">
        <is>
          <t>1995-03-21</t>
        </is>
      </c>
      <c r="Y667" t="n">
        <v>669</v>
      </c>
      <c r="Z667" t="n">
        <v>554</v>
      </c>
      <c r="AA667" t="n">
        <v>561</v>
      </c>
      <c r="AB667" t="n">
        <v>5</v>
      </c>
      <c r="AC667" t="n">
        <v>5</v>
      </c>
      <c r="AD667" t="n">
        <v>23</v>
      </c>
      <c r="AE667" t="n">
        <v>23</v>
      </c>
      <c r="AF667" t="n">
        <v>7</v>
      </c>
      <c r="AG667" t="n">
        <v>7</v>
      </c>
      <c r="AH667" t="n">
        <v>6</v>
      </c>
      <c r="AI667" t="n">
        <v>6</v>
      </c>
      <c r="AJ667" t="n">
        <v>11</v>
      </c>
      <c r="AK667" t="n">
        <v>11</v>
      </c>
      <c r="AL667" t="n">
        <v>4</v>
      </c>
      <c r="AM667" t="n">
        <v>4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HYPERLINK("http://catalog.hathitrust.org/Record/000728049","HathiTrust Record")</f>
        <v/>
      </c>
      <c r="AS667">
        <f>HYPERLINK("https://creighton-primo.hosted.exlibrisgroup.com/primo-explore/search?tab=default_tab&amp;search_scope=EVERYTHING&amp;vid=01CRU&amp;lang=en_US&amp;offset=0&amp;query=any,contains,991004011719702656","Catalog Record")</f>
        <v/>
      </c>
      <c r="AT667">
        <f>HYPERLINK("http://www.worldcat.org/oclc/2091640","WorldCat Record")</f>
        <v/>
      </c>
      <c r="AU667" t="inlineStr">
        <is>
          <t>473569544:eng</t>
        </is>
      </c>
      <c r="AV667" t="inlineStr">
        <is>
          <t>2091640</t>
        </is>
      </c>
      <c r="AW667" t="inlineStr">
        <is>
          <t>991004011719702656</t>
        </is>
      </c>
      <c r="AX667" t="inlineStr">
        <is>
          <t>991004011719702656</t>
        </is>
      </c>
      <c r="AY667" t="inlineStr">
        <is>
          <t>2269302780002656</t>
        </is>
      </c>
      <c r="AZ667" t="inlineStr">
        <is>
          <t>BOOK</t>
        </is>
      </c>
      <c r="BB667" t="inlineStr">
        <is>
          <t>9780839109365</t>
        </is>
      </c>
      <c r="BC667" t="inlineStr">
        <is>
          <t>32285002012705</t>
        </is>
      </c>
      <c r="BD667" t="inlineStr">
        <is>
          <t>893788176</t>
        </is>
      </c>
    </row>
    <row r="668">
      <c r="A668" t="inlineStr">
        <is>
          <t>No</t>
        </is>
      </c>
      <c r="B668" t="inlineStr">
        <is>
          <t>QH375 .J66 2000</t>
        </is>
      </c>
      <c r="C668" t="inlineStr">
        <is>
          <t>0                      QH 0375000J  66          2000</t>
        </is>
      </c>
      <c r="D668" t="inlineStr">
        <is>
          <t>Darwin's ghost : The origin of species updated / Steve Jones.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Jones, Steve, 1944-</t>
        </is>
      </c>
      <c r="L668" t="inlineStr">
        <is>
          <t>New York : Random House, c2000.</t>
        </is>
      </c>
      <c r="M668" t="inlineStr">
        <is>
          <t>2000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QH </t>
        </is>
      </c>
      <c r="S668" t="n">
        <v>9</v>
      </c>
      <c r="T668" t="n">
        <v>9</v>
      </c>
      <c r="U668" t="inlineStr">
        <is>
          <t>2006-08-14</t>
        </is>
      </c>
      <c r="V668" t="inlineStr">
        <is>
          <t>2006-08-14</t>
        </is>
      </c>
      <c r="W668" t="inlineStr">
        <is>
          <t>2000-07-06</t>
        </is>
      </c>
      <c r="X668" t="inlineStr">
        <is>
          <t>2000-07-06</t>
        </is>
      </c>
      <c r="Y668" t="n">
        <v>1678</v>
      </c>
      <c r="Z668" t="n">
        <v>1594</v>
      </c>
      <c r="AA668" t="n">
        <v>1849</v>
      </c>
      <c r="AB668" t="n">
        <v>14</v>
      </c>
      <c r="AC668" t="n">
        <v>14</v>
      </c>
      <c r="AD668" t="n">
        <v>47</v>
      </c>
      <c r="AE668" t="n">
        <v>48</v>
      </c>
      <c r="AF668" t="n">
        <v>21</v>
      </c>
      <c r="AG668" t="n">
        <v>22</v>
      </c>
      <c r="AH668" t="n">
        <v>9</v>
      </c>
      <c r="AI668" t="n">
        <v>9</v>
      </c>
      <c r="AJ668" t="n">
        <v>20</v>
      </c>
      <c r="AK668" t="n">
        <v>20</v>
      </c>
      <c r="AL668" t="n">
        <v>9</v>
      </c>
      <c r="AM668" t="n">
        <v>9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HYPERLINK("http://catalog.hathitrust.org/Record/004090285","HathiTrust Record")</f>
        <v/>
      </c>
      <c r="AS668">
        <f>HYPERLINK("https://creighton-primo.hosted.exlibrisgroup.com/primo-explore/search?tab=default_tab&amp;search_scope=EVERYTHING&amp;vid=01CRU&amp;lang=en_US&amp;offset=0&amp;query=any,contains,991003198999702656","Catalog Record")</f>
        <v/>
      </c>
      <c r="AT668">
        <f>HYPERLINK("http://www.worldcat.org/oclc/42690131","WorldCat Record")</f>
        <v/>
      </c>
      <c r="AU668" t="inlineStr">
        <is>
          <t>26975175:eng</t>
        </is>
      </c>
      <c r="AV668" t="inlineStr">
        <is>
          <t>42690131</t>
        </is>
      </c>
      <c r="AW668" t="inlineStr">
        <is>
          <t>991003198999702656</t>
        </is>
      </c>
      <c r="AX668" t="inlineStr">
        <is>
          <t>991003198999702656</t>
        </is>
      </c>
      <c r="AY668" t="inlineStr">
        <is>
          <t>2259034540002656</t>
        </is>
      </c>
      <c r="AZ668" t="inlineStr">
        <is>
          <t>BOOK</t>
        </is>
      </c>
      <c r="BB668" t="inlineStr">
        <is>
          <t>9780375501036</t>
        </is>
      </c>
      <c r="BC668" t="inlineStr">
        <is>
          <t>32285003713913</t>
        </is>
      </c>
      <c r="BD668" t="inlineStr">
        <is>
          <t>893410003</t>
        </is>
      </c>
    </row>
    <row r="669">
      <c r="A669" t="inlineStr">
        <is>
          <t>No</t>
        </is>
      </c>
      <c r="B669" t="inlineStr">
        <is>
          <t>QH375 .M535 1999</t>
        </is>
      </c>
      <c r="C669" t="inlineStr">
        <is>
          <t>0                      QH 0375000M  535         1999</t>
        </is>
      </c>
      <c r="D669" t="inlineStr">
        <is>
          <t>Darwinian dynamics : evolutionary transitions in fitness and individuality / Richard E. Michod.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Michod, Richard E.</t>
        </is>
      </c>
      <c r="L669" t="inlineStr">
        <is>
          <t>Princeton, N.J. : Princeton University Press, c1999.</t>
        </is>
      </c>
      <c r="M669" t="inlineStr">
        <is>
          <t>1999</t>
        </is>
      </c>
      <c r="O669" t="inlineStr">
        <is>
          <t>eng</t>
        </is>
      </c>
      <c r="P669" t="inlineStr">
        <is>
          <t>nju</t>
        </is>
      </c>
      <c r="R669" t="inlineStr">
        <is>
          <t xml:space="preserve">QH </t>
        </is>
      </c>
      <c r="S669" t="n">
        <v>1</v>
      </c>
      <c r="T669" t="n">
        <v>1</v>
      </c>
      <c r="U669" t="inlineStr">
        <is>
          <t>2007-11-20</t>
        </is>
      </c>
      <c r="V669" t="inlineStr">
        <is>
          <t>2007-11-20</t>
        </is>
      </c>
      <c r="W669" t="inlineStr">
        <is>
          <t>2000-04-11</t>
        </is>
      </c>
      <c r="X669" t="inlineStr">
        <is>
          <t>2000-04-11</t>
        </is>
      </c>
      <c r="Y669" t="n">
        <v>455</v>
      </c>
      <c r="Z669" t="n">
        <v>379</v>
      </c>
      <c r="AA669" t="n">
        <v>413</v>
      </c>
      <c r="AB669" t="n">
        <v>6</v>
      </c>
      <c r="AC669" t="n">
        <v>6</v>
      </c>
      <c r="AD669" t="n">
        <v>25</v>
      </c>
      <c r="AE669" t="n">
        <v>25</v>
      </c>
      <c r="AF669" t="n">
        <v>9</v>
      </c>
      <c r="AG669" t="n">
        <v>9</v>
      </c>
      <c r="AH669" t="n">
        <v>5</v>
      </c>
      <c r="AI669" t="n">
        <v>5</v>
      </c>
      <c r="AJ669" t="n">
        <v>13</v>
      </c>
      <c r="AK669" t="n">
        <v>13</v>
      </c>
      <c r="AL669" t="n">
        <v>5</v>
      </c>
      <c r="AM669" t="n">
        <v>5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HYPERLINK("https://creighton-primo.hosted.exlibrisgroup.com/primo-explore/search?tab=default_tab&amp;search_scope=EVERYTHING&amp;vid=01CRU&amp;lang=en_US&amp;offset=0&amp;query=any,contains,991002929599702656","Catalog Record")</f>
        <v/>
      </c>
      <c r="AT669">
        <f>HYPERLINK("http://www.worldcat.org/oclc/38948118","WorldCat Record")</f>
        <v/>
      </c>
      <c r="AU669" t="inlineStr">
        <is>
          <t>836910467:eng</t>
        </is>
      </c>
      <c r="AV669" t="inlineStr">
        <is>
          <t>38948118</t>
        </is>
      </c>
      <c r="AW669" t="inlineStr">
        <is>
          <t>991002929599702656</t>
        </is>
      </c>
      <c r="AX669" t="inlineStr">
        <is>
          <t>991002929599702656</t>
        </is>
      </c>
      <c r="AY669" t="inlineStr">
        <is>
          <t>2264918420002656</t>
        </is>
      </c>
      <c r="AZ669" t="inlineStr">
        <is>
          <t>BOOK</t>
        </is>
      </c>
      <c r="BB669" t="inlineStr">
        <is>
          <t>9780691026992</t>
        </is>
      </c>
      <c r="BC669" t="inlineStr">
        <is>
          <t>32285003676110</t>
        </is>
      </c>
      <c r="BD669" t="inlineStr">
        <is>
          <t>893329727</t>
        </is>
      </c>
    </row>
    <row r="670">
      <c r="A670" t="inlineStr">
        <is>
          <t>No</t>
        </is>
      </c>
      <c r="B670" t="inlineStr">
        <is>
          <t>QH375 .N37 1983</t>
        </is>
      </c>
      <c r="C670" t="inlineStr">
        <is>
          <t>0                      QH 0375000N  37          1983</t>
        </is>
      </c>
      <c r="D670" t="inlineStr">
        <is>
          <t>Natural selection theory : from the speculations of the Greeks to the quantitative measurements of the biometricians / edited by Carl Jay Bajema.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Stroudsburg, Pa. : Hutchinson Ross Pub. Co. ; New York, NY : Distributed worldwide by Van Nostrand Reinhold, c1983.</t>
        </is>
      </c>
      <c r="M670" t="inlineStr">
        <is>
          <t>1983</t>
        </is>
      </c>
      <c r="O670" t="inlineStr">
        <is>
          <t>eng</t>
        </is>
      </c>
      <c r="P670" t="inlineStr">
        <is>
          <t>pau</t>
        </is>
      </c>
      <c r="Q670" t="inlineStr">
        <is>
          <t>Benchmark papers in systematic and evolutionary biology ; 5</t>
        </is>
      </c>
      <c r="R670" t="inlineStr">
        <is>
          <t xml:space="preserve">QH </t>
        </is>
      </c>
      <c r="S670" t="n">
        <v>10</v>
      </c>
      <c r="T670" t="n">
        <v>10</v>
      </c>
      <c r="U670" t="inlineStr">
        <is>
          <t>1996-10-01</t>
        </is>
      </c>
      <c r="V670" t="inlineStr">
        <is>
          <t>1996-10-01</t>
        </is>
      </c>
      <c r="W670" t="inlineStr">
        <is>
          <t>1993-04-05</t>
        </is>
      </c>
      <c r="X670" t="inlineStr">
        <is>
          <t>1993-04-05</t>
        </is>
      </c>
      <c r="Y670" t="n">
        <v>203</v>
      </c>
      <c r="Z670" t="n">
        <v>165</v>
      </c>
      <c r="AA670" t="n">
        <v>166</v>
      </c>
      <c r="AB670" t="n">
        <v>3</v>
      </c>
      <c r="AC670" t="n">
        <v>3</v>
      </c>
      <c r="AD670" t="n">
        <v>4</v>
      </c>
      <c r="AE670" t="n">
        <v>4</v>
      </c>
      <c r="AF670" t="n">
        <v>0</v>
      </c>
      <c r="AG670" t="n">
        <v>0</v>
      </c>
      <c r="AH670" t="n">
        <v>0</v>
      </c>
      <c r="AI670" t="n">
        <v>0</v>
      </c>
      <c r="AJ670" t="n">
        <v>2</v>
      </c>
      <c r="AK670" t="n">
        <v>2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HYPERLINK("http://catalog.hathitrust.org/Record/000781174","HathiTrust Record")</f>
        <v/>
      </c>
      <c r="AS670">
        <f>HYPERLINK("https://creighton-primo.hosted.exlibrisgroup.com/primo-explore/search?tab=default_tab&amp;search_scope=EVERYTHING&amp;vid=01CRU&amp;lang=en_US&amp;offset=0&amp;query=any,contains,991000071419702656","Catalog Record")</f>
        <v/>
      </c>
      <c r="AT670">
        <f>HYPERLINK("http://www.worldcat.org/oclc/8785261","WorldCat Record")</f>
        <v/>
      </c>
      <c r="AU670" t="inlineStr">
        <is>
          <t>796113879:eng</t>
        </is>
      </c>
      <c r="AV670" t="inlineStr">
        <is>
          <t>8785261</t>
        </is>
      </c>
      <c r="AW670" t="inlineStr">
        <is>
          <t>991000071419702656</t>
        </is>
      </c>
      <c r="AX670" t="inlineStr">
        <is>
          <t>991000071419702656</t>
        </is>
      </c>
      <c r="AY670" t="inlineStr">
        <is>
          <t>2266903760002656</t>
        </is>
      </c>
      <c r="AZ670" t="inlineStr">
        <is>
          <t>BOOK</t>
        </is>
      </c>
      <c r="BB670" t="inlineStr">
        <is>
          <t>9780879334123</t>
        </is>
      </c>
      <c r="BC670" t="inlineStr">
        <is>
          <t>32285001554285</t>
        </is>
      </c>
      <c r="BD670" t="inlineStr">
        <is>
          <t>893714263</t>
        </is>
      </c>
    </row>
    <row r="671">
      <c r="A671" t="inlineStr">
        <is>
          <t>No</t>
        </is>
      </c>
      <c r="B671" t="inlineStr">
        <is>
          <t>QH375 .S76 2003</t>
        </is>
      </c>
      <c r="C671" t="inlineStr">
        <is>
          <t>0                      QH 0375000S  76          2003</t>
        </is>
      </c>
      <c r="D671" t="inlineStr">
        <is>
          <t>Darwin and the barnacle / Rebecca Stott.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Stott, Rebecca.</t>
        </is>
      </c>
      <c r="L671" t="inlineStr">
        <is>
          <t>New York : W.W. Norton, 2003.</t>
        </is>
      </c>
      <c r="M671" t="inlineStr">
        <is>
          <t>2003</t>
        </is>
      </c>
      <c r="N671" t="inlineStr">
        <is>
          <t>1st American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QH </t>
        </is>
      </c>
      <c r="S671" t="n">
        <v>3</v>
      </c>
      <c r="T671" t="n">
        <v>3</v>
      </c>
      <c r="U671" t="inlineStr">
        <is>
          <t>2004-09-18</t>
        </is>
      </c>
      <c r="V671" t="inlineStr">
        <is>
          <t>2004-09-18</t>
        </is>
      </c>
      <c r="W671" t="inlineStr">
        <is>
          <t>2004-04-21</t>
        </is>
      </c>
      <c r="X671" t="inlineStr">
        <is>
          <t>2004-04-21</t>
        </is>
      </c>
      <c r="Y671" t="n">
        <v>524</v>
      </c>
      <c r="Z671" t="n">
        <v>490</v>
      </c>
      <c r="AA671" t="n">
        <v>490</v>
      </c>
      <c r="AB671" t="n">
        <v>4</v>
      </c>
      <c r="AC671" t="n">
        <v>4</v>
      </c>
      <c r="AD671" t="n">
        <v>15</v>
      </c>
      <c r="AE671" t="n">
        <v>15</v>
      </c>
      <c r="AF671" t="n">
        <v>7</v>
      </c>
      <c r="AG671" t="n">
        <v>7</v>
      </c>
      <c r="AH671" t="n">
        <v>2</v>
      </c>
      <c r="AI671" t="n">
        <v>2</v>
      </c>
      <c r="AJ671" t="n">
        <v>8</v>
      </c>
      <c r="AK671" t="n">
        <v>8</v>
      </c>
      <c r="AL671" t="n">
        <v>3</v>
      </c>
      <c r="AM671" t="n">
        <v>3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HYPERLINK("https://creighton-primo.hosted.exlibrisgroup.com/primo-explore/search?tab=default_tab&amp;search_scope=EVERYTHING&amp;vid=01CRU&amp;lang=en_US&amp;offset=0&amp;query=any,contains,991004276219702656","Catalog Record")</f>
        <v/>
      </c>
      <c r="AT671">
        <f>HYPERLINK("http://www.worldcat.org/oclc/51630824","WorldCat Record")</f>
        <v/>
      </c>
      <c r="AU671" t="inlineStr">
        <is>
          <t>5614715791:eng</t>
        </is>
      </c>
      <c r="AV671" t="inlineStr">
        <is>
          <t>51630824</t>
        </is>
      </c>
      <c r="AW671" t="inlineStr">
        <is>
          <t>991004276219702656</t>
        </is>
      </c>
      <c r="AX671" t="inlineStr">
        <is>
          <t>991004276219702656</t>
        </is>
      </c>
      <c r="AY671" t="inlineStr">
        <is>
          <t>2255161450002656</t>
        </is>
      </c>
      <c r="AZ671" t="inlineStr">
        <is>
          <t>BOOK</t>
        </is>
      </c>
      <c r="BB671" t="inlineStr">
        <is>
          <t>9780393057454</t>
        </is>
      </c>
      <c r="BC671" t="inlineStr">
        <is>
          <t>32285004901483</t>
        </is>
      </c>
      <c r="BD671" t="inlineStr">
        <is>
          <t>893718711</t>
        </is>
      </c>
    </row>
    <row r="672">
      <c r="A672" t="inlineStr">
        <is>
          <t>No</t>
        </is>
      </c>
      <c r="B672" t="inlineStr">
        <is>
          <t>QH375 .W54</t>
        </is>
      </c>
      <c r="C672" t="inlineStr">
        <is>
          <t>0                      QH 0375000W  54</t>
        </is>
      </c>
      <c r="D672" t="inlineStr">
        <is>
          <t>The natural selection of populations and communities / David Sloan Wilson.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Wilson, David Sloan.</t>
        </is>
      </c>
      <c r="L672" t="inlineStr">
        <is>
          <t>Menlo Park, Calif. : Benjamin/Cummings Pub. Co., c1980.</t>
        </is>
      </c>
      <c r="M672" t="inlineStr">
        <is>
          <t>1979</t>
        </is>
      </c>
      <c r="O672" t="inlineStr">
        <is>
          <t>eng</t>
        </is>
      </c>
      <c r="P672" t="inlineStr">
        <is>
          <t>cau</t>
        </is>
      </c>
      <c r="Q672" t="inlineStr">
        <is>
          <t>Series in evolutionary biology</t>
        </is>
      </c>
      <c r="R672" t="inlineStr">
        <is>
          <t xml:space="preserve">QH </t>
        </is>
      </c>
      <c r="S672" t="n">
        <v>8</v>
      </c>
      <c r="T672" t="n">
        <v>8</v>
      </c>
      <c r="U672" t="inlineStr">
        <is>
          <t>1996-02-23</t>
        </is>
      </c>
      <c r="V672" t="inlineStr">
        <is>
          <t>1996-02-23</t>
        </is>
      </c>
      <c r="W672" t="inlineStr">
        <is>
          <t>1993-04-05</t>
        </is>
      </c>
      <c r="X672" t="inlineStr">
        <is>
          <t>1993-04-05</t>
        </is>
      </c>
      <c r="Y672" t="n">
        <v>422</v>
      </c>
      <c r="Z672" t="n">
        <v>318</v>
      </c>
      <c r="AA672" t="n">
        <v>328</v>
      </c>
      <c r="AB672" t="n">
        <v>2</v>
      </c>
      <c r="AC672" t="n">
        <v>2</v>
      </c>
      <c r="AD672" t="n">
        <v>11</v>
      </c>
      <c r="AE672" t="n">
        <v>12</v>
      </c>
      <c r="AF672" t="n">
        <v>4</v>
      </c>
      <c r="AG672" t="n">
        <v>4</v>
      </c>
      <c r="AH672" t="n">
        <v>4</v>
      </c>
      <c r="AI672" t="n">
        <v>5</v>
      </c>
      <c r="AJ672" t="n">
        <v>6</v>
      </c>
      <c r="AK672" t="n">
        <v>7</v>
      </c>
      <c r="AL672" t="n">
        <v>1</v>
      </c>
      <c r="AM672" t="n">
        <v>1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HYPERLINK("http://catalog.hathitrust.org/Record/000720642","HathiTrust Record")</f>
        <v/>
      </c>
      <c r="AS672">
        <f>HYPERLINK("https://creighton-primo.hosted.exlibrisgroup.com/primo-explore/search?tab=default_tab&amp;search_scope=EVERYTHING&amp;vid=01CRU&amp;lang=en_US&amp;offset=0&amp;query=any,contains,991004812269702656","Catalog Record")</f>
        <v/>
      </c>
      <c r="AT672">
        <f>HYPERLINK("http://www.worldcat.org/oclc/5286113","WorldCat Record")</f>
        <v/>
      </c>
      <c r="AU672" t="inlineStr">
        <is>
          <t>460855:eng</t>
        </is>
      </c>
      <c r="AV672" t="inlineStr">
        <is>
          <t>5286113</t>
        </is>
      </c>
      <c r="AW672" t="inlineStr">
        <is>
          <t>991004812269702656</t>
        </is>
      </c>
      <c r="AX672" t="inlineStr">
        <is>
          <t>991004812269702656</t>
        </is>
      </c>
      <c r="AY672" t="inlineStr">
        <is>
          <t>2271870820002656</t>
        </is>
      </c>
      <c r="AZ672" t="inlineStr">
        <is>
          <t>BOOK</t>
        </is>
      </c>
      <c r="BB672" t="inlineStr">
        <is>
          <t>9780805395600</t>
        </is>
      </c>
      <c r="BC672" t="inlineStr">
        <is>
          <t>32285001554293</t>
        </is>
      </c>
      <c r="BD672" t="inlineStr">
        <is>
          <t>893782685</t>
        </is>
      </c>
    </row>
    <row r="673">
      <c r="A673" t="inlineStr">
        <is>
          <t>No</t>
        </is>
      </c>
      <c r="B673" t="inlineStr">
        <is>
          <t>QH375 .W96 1986</t>
        </is>
      </c>
      <c r="C673" t="inlineStr">
        <is>
          <t>0                      QH 0375000W  96          1986</t>
        </is>
      </c>
      <c r="D673" t="inlineStr">
        <is>
          <t>Evolution through group selection / V.C. Wynne-Edwards.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Wynne-Edwards, Vero Copner.</t>
        </is>
      </c>
      <c r="L673" t="inlineStr">
        <is>
          <t>Oxford : Blackwell Scientific, 1986.</t>
        </is>
      </c>
      <c r="M673" t="inlineStr">
        <is>
          <t>1986</t>
        </is>
      </c>
      <c r="O673" t="inlineStr">
        <is>
          <t>eng</t>
        </is>
      </c>
      <c r="P673" t="inlineStr">
        <is>
          <t>enk</t>
        </is>
      </c>
      <c r="R673" t="inlineStr">
        <is>
          <t xml:space="preserve">QH </t>
        </is>
      </c>
      <c r="S673" t="n">
        <v>8</v>
      </c>
      <c r="T673" t="n">
        <v>8</v>
      </c>
      <c r="U673" t="inlineStr">
        <is>
          <t>1996-02-06</t>
        </is>
      </c>
      <c r="V673" t="inlineStr">
        <is>
          <t>1996-02-06</t>
        </is>
      </c>
      <c r="W673" t="inlineStr">
        <is>
          <t>1993-04-05</t>
        </is>
      </c>
      <c r="X673" t="inlineStr">
        <is>
          <t>1993-04-05</t>
        </is>
      </c>
      <c r="Y673" t="n">
        <v>609</v>
      </c>
      <c r="Z673" t="n">
        <v>468</v>
      </c>
      <c r="AA673" t="n">
        <v>469</v>
      </c>
      <c r="AB673" t="n">
        <v>5</v>
      </c>
      <c r="AC673" t="n">
        <v>5</v>
      </c>
      <c r="AD673" t="n">
        <v>22</v>
      </c>
      <c r="AE673" t="n">
        <v>22</v>
      </c>
      <c r="AF673" t="n">
        <v>9</v>
      </c>
      <c r="AG673" t="n">
        <v>9</v>
      </c>
      <c r="AH673" t="n">
        <v>5</v>
      </c>
      <c r="AI673" t="n">
        <v>5</v>
      </c>
      <c r="AJ673" t="n">
        <v>9</v>
      </c>
      <c r="AK673" t="n">
        <v>9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HYPERLINK("https://creighton-primo.hosted.exlibrisgroup.com/primo-explore/search?tab=default_tab&amp;search_scope=EVERYTHING&amp;vid=01CRU&amp;lang=en_US&amp;offset=0&amp;query=any,contains,991000775849702656","Catalog Record")</f>
        <v/>
      </c>
      <c r="AT673">
        <f>HYPERLINK("http://www.worldcat.org/oclc/13064276","WorldCat Record")</f>
        <v/>
      </c>
      <c r="AU673" t="inlineStr">
        <is>
          <t>279753956:eng</t>
        </is>
      </c>
      <c r="AV673" t="inlineStr">
        <is>
          <t>13064276</t>
        </is>
      </c>
      <c r="AW673" t="inlineStr">
        <is>
          <t>991000775849702656</t>
        </is>
      </c>
      <c r="AX673" t="inlineStr">
        <is>
          <t>991000775849702656</t>
        </is>
      </c>
      <c r="AY673" t="inlineStr">
        <is>
          <t>2257015250002656</t>
        </is>
      </c>
      <c r="AZ673" t="inlineStr">
        <is>
          <t>BOOK</t>
        </is>
      </c>
      <c r="BB673" t="inlineStr">
        <is>
          <t>9780632015412</t>
        </is>
      </c>
      <c r="BC673" t="inlineStr">
        <is>
          <t>32285001554301</t>
        </is>
      </c>
      <c r="BD673" t="inlineStr">
        <is>
          <t>893790835</t>
        </is>
      </c>
    </row>
    <row r="674">
      <c r="A674" t="inlineStr">
        <is>
          <t>No</t>
        </is>
      </c>
      <c r="B674" t="inlineStr">
        <is>
          <t>QH376 .G55</t>
        </is>
      </c>
      <c r="C674" t="inlineStr">
        <is>
          <t>0                      QH 0376000G  55</t>
        </is>
      </c>
      <c r="D674" t="inlineStr">
        <is>
          <t>Group selection in predator-prey communities / Michael E. Gilpin.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Gilpin, Michael E., 1943-</t>
        </is>
      </c>
      <c r="L674" t="inlineStr">
        <is>
          <t>Princeton, N.J. : Princeton University Press, 1975.</t>
        </is>
      </c>
      <c r="M674" t="inlineStr">
        <is>
          <t>1975</t>
        </is>
      </c>
      <c r="O674" t="inlineStr">
        <is>
          <t>eng</t>
        </is>
      </c>
      <c r="P674" t="inlineStr">
        <is>
          <t>nju</t>
        </is>
      </c>
      <c r="Q674" t="inlineStr">
        <is>
          <t>Monographs in population biology ; 9</t>
        </is>
      </c>
      <c r="R674" t="inlineStr">
        <is>
          <t xml:space="preserve">QH </t>
        </is>
      </c>
      <c r="S674" t="n">
        <v>9</v>
      </c>
      <c r="T674" t="n">
        <v>9</v>
      </c>
      <c r="U674" t="inlineStr">
        <is>
          <t>1995-02-19</t>
        </is>
      </c>
      <c r="V674" t="inlineStr">
        <is>
          <t>1995-02-19</t>
        </is>
      </c>
      <c r="W674" t="inlineStr">
        <is>
          <t>1993-04-05</t>
        </is>
      </c>
      <c r="X674" t="inlineStr">
        <is>
          <t>1993-04-05</t>
        </is>
      </c>
      <c r="Y674" t="n">
        <v>540</v>
      </c>
      <c r="Z674" t="n">
        <v>418</v>
      </c>
      <c r="AA674" t="n">
        <v>590</v>
      </c>
      <c r="AB674" t="n">
        <v>4</v>
      </c>
      <c r="AC674" t="n">
        <v>4</v>
      </c>
      <c r="AD674" t="n">
        <v>17</v>
      </c>
      <c r="AE674" t="n">
        <v>28</v>
      </c>
      <c r="AF674" t="n">
        <v>4</v>
      </c>
      <c r="AG674" t="n">
        <v>11</v>
      </c>
      <c r="AH674" t="n">
        <v>5</v>
      </c>
      <c r="AI674" t="n">
        <v>8</v>
      </c>
      <c r="AJ674" t="n">
        <v>8</v>
      </c>
      <c r="AK674" t="n">
        <v>13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HYPERLINK("https://creighton-primo.hosted.exlibrisgroup.com/primo-explore/search?tab=default_tab&amp;search_scope=EVERYTHING&amp;vid=01CRU&amp;lang=en_US&amp;offset=0&amp;query=any,contains,991003650119702656","Catalog Record")</f>
        <v/>
      </c>
      <c r="AT674">
        <f>HYPERLINK("http://www.worldcat.org/oclc/1253972","WorldCat Record")</f>
        <v/>
      </c>
      <c r="AU674" t="inlineStr">
        <is>
          <t>892699:eng</t>
        </is>
      </c>
      <c r="AV674" t="inlineStr">
        <is>
          <t>1253972</t>
        </is>
      </c>
      <c r="AW674" t="inlineStr">
        <is>
          <t>991003650119702656</t>
        </is>
      </c>
      <c r="AX674" t="inlineStr">
        <is>
          <t>991003650119702656</t>
        </is>
      </c>
      <c r="AY674" t="inlineStr">
        <is>
          <t>2261486850002656</t>
        </is>
      </c>
      <c r="AZ674" t="inlineStr">
        <is>
          <t>BOOK</t>
        </is>
      </c>
      <c r="BB674" t="inlineStr">
        <is>
          <t>9780691081571</t>
        </is>
      </c>
      <c r="BC674" t="inlineStr">
        <is>
          <t>32285001554319</t>
        </is>
      </c>
      <c r="BD674" t="inlineStr">
        <is>
          <t>893775001</t>
        </is>
      </c>
    </row>
    <row r="675">
      <c r="A675" t="inlineStr">
        <is>
          <t>No</t>
        </is>
      </c>
      <c r="B675" t="inlineStr">
        <is>
          <t>QH380 .E54 1998</t>
        </is>
      </c>
      <c r="C675" t="inlineStr">
        <is>
          <t>0                      QH 0380000E  54          1998</t>
        </is>
      </c>
      <c r="D675" t="inlineStr">
        <is>
          <t>Endless forms : species and speciation / edited by Daniel J. Howard, Stewart H. Berlocher.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New York : Oxford University Press, 1998.</t>
        </is>
      </c>
      <c r="M675" t="inlineStr">
        <is>
          <t>1998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QH </t>
        </is>
      </c>
      <c r="S675" t="n">
        <v>1</v>
      </c>
      <c r="T675" t="n">
        <v>1</v>
      </c>
      <c r="U675" t="inlineStr">
        <is>
          <t>2000-10-18</t>
        </is>
      </c>
      <c r="V675" t="inlineStr">
        <is>
          <t>2000-10-18</t>
        </is>
      </c>
      <c r="W675" t="inlineStr">
        <is>
          <t>2000-10-17</t>
        </is>
      </c>
      <c r="X675" t="inlineStr">
        <is>
          <t>2000-10-17</t>
        </is>
      </c>
      <c r="Y675" t="n">
        <v>443</v>
      </c>
      <c r="Z675" t="n">
        <v>334</v>
      </c>
      <c r="AA675" t="n">
        <v>338</v>
      </c>
      <c r="AB675" t="n">
        <v>4</v>
      </c>
      <c r="AC675" t="n">
        <v>4</v>
      </c>
      <c r="AD675" t="n">
        <v>19</v>
      </c>
      <c r="AE675" t="n">
        <v>19</v>
      </c>
      <c r="AF675" t="n">
        <v>8</v>
      </c>
      <c r="AG675" t="n">
        <v>8</v>
      </c>
      <c r="AH675" t="n">
        <v>4</v>
      </c>
      <c r="AI675" t="n">
        <v>4</v>
      </c>
      <c r="AJ675" t="n">
        <v>9</v>
      </c>
      <c r="AK675" t="n">
        <v>9</v>
      </c>
      <c r="AL675" t="n">
        <v>3</v>
      </c>
      <c r="AM675" t="n">
        <v>3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HYPERLINK("https://creighton-primo.hosted.exlibrisgroup.com/primo-explore/search?tab=default_tab&amp;search_scope=EVERYTHING&amp;vid=01CRU&amp;lang=en_US&amp;offset=0&amp;query=any,contains,991003263599702656","Catalog Record")</f>
        <v/>
      </c>
      <c r="AT675">
        <f>HYPERLINK("http://www.worldcat.org/oclc/37545522","WorldCat Record")</f>
        <v/>
      </c>
      <c r="AU675" t="inlineStr">
        <is>
          <t>890712603:eng</t>
        </is>
      </c>
      <c r="AV675" t="inlineStr">
        <is>
          <t>37545522</t>
        </is>
      </c>
      <c r="AW675" t="inlineStr">
        <is>
          <t>991003263599702656</t>
        </is>
      </c>
      <c r="AX675" t="inlineStr">
        <is>
          <t>991003263599702656</t>
        </is>
      </c>
      <c r="AY675" t="inlineStr">
        <is>
          <t>2258271750002656</t>
        </is>
      </c>
      <c r="AZ675" t="inlineStr">
        <is>
          <t>BOOK</t>
        </is>
      </c>
      <c r="BB675" t="inlineStr">
        <is>
          <t>9780195109009</t>
        </is>
      </c>
      <c r="BC675" t="inlineStr">
        <is>
          <t>32285003768180</t>
        </is>
      </c>
      <c r="BD675" t="inlineStr">
        <is>
          <t>893410106</t>
        </is>
      </c>
    </row>
    <row r="676">
      <c r="A676" t="inlineStr">
        <is>
          <t>No</t>
        </is>
      </c>
      <c r="B676" t="inlineStr">
        <is>
          <t>QH380 .G46</t>
        </is>
      </c>
      <c r="C676" t="inlineStr">
        <is>
          <t>0                      QH 0380000G  46</t>
        </is>
      </c>
      <c r="D676" t="inlineStr">
        <is>
          <t>Genetics of speciation / edited by D. L. Jameson. --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Stroudsburg, Pa. : Dowden, Hutchinson &amp; Ross ; [New York] : Distributed by Academic Press, c1977.</t>
        </is>
      </c>
      <c r="M676" t="inlineStr">
        <is>
          <t>1977</t>
        </is>
      </c>
      <c r="O676" t="inlineStr">
        <is>
          <t>eng</t>
        </is>
      </c>
      <c r="P676" t="inlineStr">
        <is>
          <t>pau</t>
        </is>
      </c>
      <c r="Q676" t="inlineStr">
        <is>
          <t>Benchmark papers in genetics ; 9</t>
        </is>
      </c>
      <c r="R676" t="inlineStr">
        <is>
          <t xml:space="preserve">QH </t>
        </is>
      </c>
      <c r="S676" t="n">
        <v>5</v>
      </c>
      <c r="T676" t="n">
        <v>5</v>
      </c>
      <c r="U676" t="inlineStr">
        <is>
          <t>1995-02-18</t>
        </is>
      </c>
      <c r="V676" t="inlineStr">
        <is>
          <t>1995-02-18</t>
        </is>
      </c>
      <c r="W676" t="inlineStr">
        <is>
          <t>1993-04-05</t>
        </is>
      </c>
      <c r="X676" t="inlineStr">
        <is>
          <t>1993-04-05</t>
        </is>
      </c>
      <c r="Y676" t="n">
        <v>418</v>
      </c>
      <c r="Z676" t="n">
        <v>332</v>
      </c>
      <c r="AA676" t="n">
        <v>334</v>
      </c>
      <c r="AB676" t="n">
        <v>4</v>
      </c>
      <c r="AC676" t="n">
        <v>4</v>
      </c>
      <c r="AD676" t="n">
        <v>12</v>
      </c>
      <c r="AE676" t="n">
        <v>12</v>
      </c>
      <c r="AF676" t="n">
        <v>4</v>
      </c>
      <c r="AG676" t="n">
        <v>4</v>
      </c>
      <c r="AH676" t="n">
        <v>2</v>
      </c>
      <c r="AI676" t="n">
        <v>2</v>
      </c>
      <c r="AJ676" t="n">
        <v>4</v>
      </c>
      <c r="AK676" t="n">
        <v>4</v>
      </c>
      <c r="AL676" t="n">
        <v>3</v>
      </c>
      <c r="AM676" t="n">
        <v>3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HYPERLINK("http://catalog.hathitrust.org/Record/000213622","HathiTrust Record")</f>
        <v/>
      </c>
      <c r="AS676">
        <f>HYPERLINK("https://creighton-primo.hosted.exlibrisgroup.com/primo-explore/search?tab=default_tab&amp;search_scope=EVERYTHING&amp;vid=01CRU&amp;lang=en_US&amp;offset=0&amp;query=any,contains,991004296459702656","Catalog Record")</f>
        <v/>
      </c>
      <c r="AT676">
        <f>HYPERLINK("http://www.worldcat.org/oclc/2965126","WorldCat Record")</f>
        <v/>
      </c>
      <c r="AU676" t="inlineStr">
        <is>
          <t>6593529:eng</t>
        </is>
      </c>
      <c r="AV676" t="inlineStr">
        <is>
          <t>2965126</t>
        </is>
      </c>
      <c r="AW676" t="inlineStr">
        <is>
          <t>991004296459702656</t>
        </is>
      </c>
      <c r="AX676" t="inlineStr">
        <is>
          <t>991004296459702656</t>
        </is>
      </c>
      <c r="AY676" t="inlineStr">
        <is>
          <t>2270277710002656</t>
        </is>
      </c>
      <c r="AZ676" t="inlineStr">
        <is>
          <t>BOOK</t>
        </is>
      </c>
      <c r="BB676" t="inlineStr">
        <is>
          <t>9780879333027</t>
        </is>
      </c>
      <c r="BC676" t="inlineStr">
        <is>
          <t>32285001554327</t>
        </is>
      </c>
      <c r="BD676" t="inlineStr">
        <is>
          <t>893253517</t>
        </is>
      </c>
    </row>
    <row r="677">
      <c r="A677" t="inlineStr">
        <is>
          <t>No</t>
        </is>
      </c>
      <c r="B677" t="inlineStr">
        <is>
          <t>QH380 .K56 1993</t>
        </is>
      </c>
      <c r="C677" t="inlineStr">
        <is>
          <t>0                      QH 0380000K  56          1993</t>
        </is>
      </c>
      <c r="D677" t="inlineStr">
        <is>
          <t>Species evolution : the role of chromosome change / Max King.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King, Max.</t>
        </is>
      </c>
      <c r="L677" t="inlineStr">
        <is>
          <t>Cambridge ; New York : Cambridge University Press, 1993.</t>
        </is>
      </c>
      <c r="M677" t="inlineStr">
        <is>
          <t>1993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QH </t>
        </is>
      </c>
      <c r="S677" t="n">
        <v>4</v>
      </c>
      <c r="T677" t="n">
        <v>4</v>
      </c>
      <c r="U677" t="inlineStr">
        <is>
          <t>1997-02-20</t>
        </is>
      </c>
      <c r="V677" t="inlineStr">
        <is>
          <t>1997-02-20</t>
        </is>
      </c>
      <c r="W677" t="inlineStr">
        <is>
          <t>1995-07-05</t>
        </is>
      </c>
      <c r="X677" t="inlineStr">
        <is>
          <t>1995-07-05</t>
        </is>
      </c>
      <c r="Y677" t="n">
        <v>459</v>
      </c>
      <c r="Z677" t="n">
        <v>337</v>
      </c>
      <c r="AA677" t="n">
        <v>346</v>
      </c>
      <c r="AB677" t="n">
        <v>3</v>
      </c>
      <c r="AC677" t="n">
        <v>3</v>
      </c>
      <c r="AD677" t="n">
        <v>14</v>
      </c>
      <c r="AE677" t="n">
        <v>14</v>
      </c>
      <c r="AF677" t="n">
        <v>4</v>
      </c>
      <c r="AG677" t="n">
        <v>4</v>
      </c>
      <c r="AH677" t="n">
        <v>3</v>
      </c>
      <c r="AI677" t="n">
        <v>3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HYPERLINK("https://creighton-primo.hosted.exlibrisgroup.com/primo-explore/search?tab=default_tab&amp;search_scope=EVERYTHING&amp;vid=01CRU&amp;lang=en_US&amp;offset=0&amp;query=any,contains,991002089379702656","Catalog Record")</f>
        <v/>
      </c>
      <c r="AT677">
        <f>HYPERLINK("http://www.worldcat.org/oclc/26807497","WorldCat Record")</f>
        <v/>
      </c>
      <c r="AU677" t="inlineStr">
        <is>
          <t>29265679:eng</t>
        </is>
      </c>
      <c r="AV677" t="inlineStr">
        <is>
          <t>26807497</t>
        </is>
      </c>
      <c r="AW677" t="inlineStr">
        <is>
          <t>991002089379702656</t>
        </is>
      </c>
      <c r="AX677" t="inlineStr">
        <is>
          <t>991002089379702656</t>
        </is>
      </c>
      <c r="AY677" t="inlineStr">
        <is>
          <t>2254913550002656</t>
        </is>
      </c>
      <c r="AZ677" t="inlineStr">
        <is>
          <t>BOOK</t>
        </is>
      </c>
      <c r="BB677" t="inlineStr">
        <is>
          <t>9780521353083</t>
        </is>
      </c>
      <c r="BC677" t="inlineStr">
        <is>
          <t>32285002053857</t>
        </is>
      </c>
      <c r="BD677" t="inlineStr">
        <is>
          <t>893523185</t>
        </is>
      </c>
    </row>
    <row r="678">
      <c r="A678" t="inlineStr">
        <is>
          <t>No</t>
        </is>
      </c>
      <c r="B678" t="inlineStr">
        <is>
          <t>QH380 .S64 1995</t>
        </is>
      </c>
      <c r="C678" t="inlineStr">
        <is>
          <t>0                      QH 0380000S  64          1995</t>
        </is>
      </c>
      <c r="D678" t="inlineStr">
        <is>
          <t>Speciation and the recognition concept : theory and application / edited by David M. Lambert, Hamish G. Spencer.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Baltimore : Johns Hopkins University Press, c1995.</t>
        </is>
      </c>
      <c r="M678" t="inlineStr">
        <is>
          <t>1995</t>
        </is>
      </c>
      <c r="O678" t="inlineStr">
        <is>
          <t>eng</t>
        </is>
      </c>
      <c r="P678" t="inlineStr">
        <is>
          <t>mdu</t>
        </is>
      </c>
      <c r="R678" t="inlineStr">
        <is>
          <t xml:space="preserve">QH </t>
        </is>
      </c>
      <c r="S678" t="n">
        <v>4</v>
      </c>
      <c r="T678" t="n">
        <v>4</v>
      </c>
      <c r="U678" t="inlineStr">
        <is>
          <t>1997-10-15</t>
        </is>
      </c>
      <c r="V678" t="inlineStr">
        <is>
          <t>1997-10-15</t>
        </is>
      </c>
      <c r="W678" t="inlineStr">
        <is>
          <t>1997-10-02</t>
        </is>
      </c>
      <c r="X678" t="inlineStr">
        <is>
          <t>1997-10-02</t>
        </is>
      </c>
      <c r="Y678" t="n">
        <v>295</v>
      </c>
      <c r="Z678" t="n">
        <v>233</v>
      </c>
      <c r="AA678" t="n">
        <v>234</v>
      </c>
      <c r="AB678" t="n">
        <v>3</v>
      </c>
      <c r="AC678" t="n">
        <v>3</v>
      </c>
      <c r="AD678" t="n">
        <v>11</v>
      </c>
      <c r="AE678" t="n">
        <v>11</v>
      </c>
      <c r="AF678" t="n">
        <v>3</v>
      </c>
      <c r="AG678" t="n">
        <v>3</v>
      </c>
      <c r="AH678" t="n">
        <v>2</v>
      </c>
      <c r="AI678" t="n">
        <v>2</v>
      </c>
      <c r="AJ678" t="n">
        <v>5</v>
      </c>
      <c r="AK678" t="n">
        <v>5</v>
      </c>
      <c r="AL678" t="n">
        <v>2</v>
      </c>
      <c r="AM678" t="n">
        <v>2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HYPERLINK("http://catalog.hathitrust.org/Record/002912409","HathiTrust Record")</f>
        <v/>
      </c>
      <c r="AS678">
        <f>HYPERLINK("https://creighton-primo.hosted.exlibrisgroup.com/primo-explore/search?tab=default_tab&amp;search_scope=EVERYTHING&amp;vid=01CRU&amp;lang=en_US&amp;offset=0&amp;query=any,contains,991002370849702656","Catalog Record")</f>
        <v/>
      </c>
      <c r="AT678">
        <f>HYPERLINK("http://www.worldcat.org/oclc/30812629","WorldCat Record")</f>
        <v/>
      </c>
      <c r="AU678" t="inlineStr">
        <is>
          <t>836910073:eng</t>
        </is>
      </c>
      <c r="AV678" t="inlineStr">
        <is>
          <t>30812629</t>
        </is>
      </c>
      <c r="AW678" t="inlineStr">
        <is>
          <t>991002370849702656</t>
        </is>
      </c>
      <c r="AX678" t="inlineStr">
        <is>
          <t>991002370849702656</t>
        </is>
      </c>
      <c r="AY678" t="inlineStr">
        <is>
          <t>2267870250002656</t>
        </is>
      </c>
      <c r="AZ678" t="inlineStr">
        <is>
          <t>BOOK</t>
        </is>
      </c>
      <c r="BB678" t="inlineStr">
        <is>
          <t>9780801847400</t>
        </is>
      </c>
      <c r="BC678" t="inlineStr">
        <is>
          <t>32285003252094</t>
        </is>
      </c>
      <c r="BD678" t="inlineStr">
        <is>
          <t>893335224</t>
        </is>
      </c>
    </row>
    <row r="679">
      <c r="A679" t="inlineStr">
        <is>
          <t>No</t>
        </is>
      </c>
      <c r="B679" t="inlineStr">
        <is>
          <t>QH390 .L96 2007</t>
        </is>
      </c>
      <c r="C679" t="inlineStr">
        <is>
          <t>0                      QH 0390000L  96          2007</t>
        </is>
      </c>
      <c r="D679" t="inlineStr">
        <is>
          <t>The origins of genome architecture / Michael Lynch.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Lynch, Michael, 1951-</t>
        </is>
      </c>
      <c r="L679" t="inlineStr">
        <is>
          <t>Sunderland, Mass. : Sinauer Associates, c2007.</t>
        </is>
      </c>
      <c r="M679" t="inlineStr">
        <is>
          <t>2007</t>
        </is>
      </c>
      <c r="O679" t="inlineStr">
        <is>
          <t>eng</t>
        </is>
      </c>
      <c r="P679" t="inlineStr">
        <is>
          <t>mau</t>
        </is>
      </c>
      <c r="R679" t="inlineStr">
        <is>
          <t xml:space="preserve">QH </t>
        </is>
      </c>
      <c r="S679" t="n">
        <v>1</v>
      </c>
      <c r="T679" t="n">
        <v>1</v>
      </c>
      <c r="U679" t="inlineStr">
        <is>
          <t>2009-03-24</t>
        </is>
      </c>
      <c r="V679" t="inlineStr">
        <is>
          <t>2009-03-24</t>
        </is>
      </c>
      <c r="W679" t="inlineStr">
        <is>
          <t>2009-03-24</t>
        </is>
      </c>
      <c r="X679" t="inlineStr">
        <is>
          <t>2009-03-24</t>
        </is>
      </c>
      <c r="Y679" t="n">
        <v>626</v>
      </c>
      <c r="Z679" t="n">
        <v>509</v>
      </c>
      <c r="AA679" t="n">
        <v>513</v>
      </c>
      <c r="AB679" t="n">
        <v>4</v>
      </c>
      <c r="AC679" t="n">
        <v>4</v>
      </c>
      <c r="AD679" t="n">
        <v>30</v>
      </c>
      <c r="AE679" t="n">
        <v>30</v>
      </c>
      <c r="AF679" t="n">
        <v>15</v>
      </c>
      <c r="AG679" t="n">
        <v>15</v>
      </c>
      <c r="AH679" t="n">
        <v>5</v>
      </c>
      <c r="AI679" t="n">
        <v>5</v>
      </c>
      <c r="AJ679" t="n">
        <v>15</v>
      </c>
      <c r="AK679" t="n">
        <v>15</v>
      </c>
      <c r="AL679" t="n">
        <v>3</v>
      </c>
      <c r="AM679" t="n">
        <v>3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HYPERLINK("http://catalog.hathitrust.org/Record/005615513","HathiTrust Record")</f>
        <v/>
      </c>
      <c r="AS679">
        <f>HYPERLINK("https://creighton-primo.hosted.exlibrisgroup.com/primo-explore/search?tab=default_tab&amp;search_scope=EVERYTHING&amp;vid=01CRU&amp;lang=en_US&amp;offset=0&amp;query=any,contains,991005301569702656","Catalog Record")</f>
        <v/>
      </c>
      <c r="AT679">
        <f>HYPERLINK("http://www.worldcat.org/oclc/77574049","WorldCat Record")</f>
        <v/>
      </c>
      <c r="AU679" t="inlineStr">
        <is>
          <t>63141500:eng</t>
        </is>
      </c>
      <c r="AV679" t="inlineStr">
        <is>
          <t>77574049</t>
        </is>
      </c>
      <c r="AW679" t="inlineStr">
        <is>
          <t>991005301569702656</t>
        </is>
      </c>
      <c r="AX679" t="inlineStr">
        <is>
          <t>991005301569702656</t>
        </is>
      </c>
      <c r="AY679" t="inlineStr">
        <is>
          <t>2266816150002656</t>
        </is>
      </c>
      <c r="AZ679" t="inlineStr">
        <is>
          <t>BOOK</t>
        </is>
      </c>
      <c r="BB679" t="inlineStr">
        <is>
          <t>9780878934843</t>
        </is>
      </c>
      <c r="BC679" t="inlineStr">
        <is>
          <t>32285005509962</t>
        </is>
      </c>
      <c r="BD679" t="inlineStr">
        <is>
          <t>893600956</t>
        </is>
      </c>
    </row>
    <row r="680">
      <c r="A680" t="inlineStr">
        <is>
          <t>No</t>
        </is>
      </c>
      <c r="B680" t="inlineStr">
        <is>
          <t>QH390 .O83 1995</t>
        </is>
      </c>
      <c r="C680" t="inlineStr">
        <is>
          <t>0                      QH 0390000O  83          1995</t>
        </is>
      </c>
      <c r="D680" t="inlineStr">
        <is>
          <t>Evolution of the genetic code / Syozo Osawa.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Ōsawa, Shōzō, 1928-</t>
        </is>
      </c>
      <c r="L680" t="inlineStr">
        <is>
          <t>Oxford ; New York : Oxford University Press, 1995.</t>
        </is>
      </c>
      <c r="M680" t="inlineStr">
        <is>
          <t>1995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QH </t>
        </is>
      </c>
      <c r="S680" t="n">
        <v>1</v>
      </c>
      <c r="T680" t="n">
        <v>1</v>
      </c>
      <c r="U680" t="inlineStr">
        <is>
          <t>2005-09-06</t>
        </is>
      </c>
      <c r="V680" t="inlineStr">
        <is>
          <t>2005-09-06</t>
        </is>
      </c>
      <c r="W680" t="inlineStr">
        <is>
          <t>1997-03-19</t>
        </is>
      </c>
      <c r="X680" t="inlineStr">
        <is>
          <t>1997-03-19</t>
        </is>
      </c>
      <c r="Y680" t="n">
        <v>280</v>
      </c>
      <c r="Z680" t="n">
        <v>210</v>
      </c>
      <c r="AA680" t="n">
        <v>212</v>
      </c>
      <c r="AB680" t="n">
        <v>2</v>
      </c>
      <c r="AC680" t="n">
        <v>2</v>
      </c>
      <c r="AD680" t="n">
        <v>11</v>
      </c>
      <c r="AE680" t="n">
        <v>11</v>
      </c>
      <c r="AF680" t="n">
        <v>2</v>
      </c>
      <c r="AG680" t="n">
        <v>2</v>
      </c>
      <c r="AH680" t="n">
        <v>3</v>
      </c>
      <c r="AI680" t="n">
        <v>3</v>
      </c>
      <c r="AJ680" t="n">
        <v>8</v>
      </c>
      <c r="AK680" t="n">
        <v>8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HYPERLINK("http://catalog.hathitrust.org/Record/002999380","HathiTrust Record")</f>
        <v/>
      </c>
      <c r="AS680">
        <f>HYPERLINK("https://creighton-primo.hosted.exlibrisgroup.com/primo-explore/search?tab=default_tab&amp;search_scope=EVERYTHING&amp;vid=01CRU&amp;lang=en_US&amp;offset=0&amp;query=any,contains,991002432329702656","Catalog Record")</f>
        <v/>
      </c>
      <c r="AT680">
        <f>HYPERLINK("http://www.worldcat.org/oclc/31710122","WorldCat Record")</f>
        <v/>
      </c>
      <c r="AU680" t="inlineStr">
        <is>
          <t>33722952:eng</t>
        </is>
      </c>
      <c r="AV680" t="inlineStr">
        <is>
          <t>31710122</t>
        </is>
      </c>
      <c r="AW680" t="inlineStr">
        <is>
          <t>991002432329702656</t>
        </is>
      </c>
      <c r="AX680" t="inlineStr">
        <is>
          <t>991002432329702656</t>
        </is>
      </c>
      <c r="AY680" t="inlineStr">
        <is>
          <t>2256994220002656</t>
        </is>
      </c>
      <c r="AZ680" t="inlineStr">
        <is>
          <t>BOOK</t>
        </is>
      </c>
      <c r="BB680" t="inlineStr">
        <is>
          <t>9780198547815</t>
        </is>
      </c>
      <c r="BC680" t="inlineStr">
        <is>
          <t>32285002444528</t>
        </is>
      </c>
      <c r="BD680" t="inlineStr">
        <is>
          <t>893879921</t>
        </is>
      </c>
    </row>
    <row r="681">
      <c r="A681" t="inlineStr">
        <is>
          <t>No</t>
        </is>
      </c>
      <c r="B681" t="inlineStr">
        <is>
          <t>QH390 .R325 1996</t>
        </is>
      </c>
      <c r="C681" t="inlineStr">
        <is>
          <t>0                      QH 0390000R  325         1996</t>
        </is>
      </c>
      <c r="D681" t="inlineStr">
        <is>
          <t>The shape of life : genes, development, and the evolution of animal form / Rudolf A. Raff.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Raff, Rudolf A.</t>
        </is>
      </c>
      <c r="L681" t="inlineStr">
        <is>
          <t>Chicago : University of Chicago Press, 1996.</t>
        </is>
      </c>
      <c r="M681" t="inlineStr">
        <is>
          <t>1996</t>
        </is>
      </c>
      <c r="O681" t="inlineStr">
        <is>
          <t>eng</t>
        </is>
      </c>
      <c r="P681" t="inlineStr">
        <is>
          <t>ilu</t>
        </is>
      </c>
      <c r="R681" t="inlineStr">
        <is>
          <t xml:space="preserve">QH </t>
        </is>
      </c>
      <c r="S681" t="n">
        <v>3</v>
      </c>
      <c r="T681" t="n">
        <v>3</v>
      </c>
      <c r="U681" t="inlineStr">
        <is>
          <t>2006-02-25</t>
        </is>
      </c>
      <c r="V681" t="inlineStr">
        <is>
          <t>2006-02-25</t>
        </is>
      </c>
      <c r="W681" t="inlineStr">
        <is>
          <t>1996-11-15</t>
        </is>
      </c>
      <c r="X681" t="inlineStr">
        <is>
          <t>1996-11-15</t>
        </is>
      </c>
      <c r="Y681" t="n">
        <v>941</v>
      </c>
      <c r="Z681" t="n">
        <v>797</v>
      </c>
      <c r="AA681" t="n">
        <v>1257</v>
      </c>
      <c r="AB681" t="n">
        <v>6</v>
      </c>
      <c r="AC681" t="n">
        <v>18</v>
      </c>
      <c r="AD681" t="n">
        <v>39</v>
      </c>
      <c r="AE681" t="n">
        <v>60</v>
      </c>
      <c r="AF681" t="n">
        <v>19</v>
      </c>
      <c r="AG681" t="n">
        <v>27</v>
      </c>
      <c r="AH681" t="n">
        <v>8</v>
      </c>
      <c r="AI681" t="n">
        <v>10</v>
      </c>
      <c r="AJ681" t="n">
        <v>19</v>
      </c>
      <c r="AK681" t="n">
        <v>20</v>
      </c>
      <c r="AL681" t="n">
        <v>4</v>
      </c>
      <c r="AM681" t="n">
        <v>14</v>
      </c>
      <c r="AN681" t="n">
        <v>0</v>
      </c>
      <c r="AO681" t="n">
        <v>1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HYPERLINK("https://creighton-primo.hosted.exlibrisgroup.com/primo-explore/search?tab=default_tab&amp;search_scope=EVERYTHING&amp;vid=01CRU&amp;lang=en_US&amp;offset=0&amp;query=any,contains,991002576339702656","Catalog Record")</f>
        <v/>
      </c>
      <c r="AT681">
        <f>HYPERLINK("http://www.worldcat.org/oclc/33664782","WorldCat Record")</f>
        <v/>
      </c>
      <c r="AU681" t="inlineStr">
        <is>
          <t>806987547:eng</t>
        </is>
      </c>
      <c r="AV681" t="inlineStr">
        <is>
          <t>33664782</t>
        </is>
      </c>
      <c r="AW681" t="inlineStr">
        <is>
          <t>991002576339702656</t>
        </is>
      </c>
      <c r="AX681" t="inlineStr">
        <is>
          <t>991002576339702656</t>
        </is>
      </c>
      <c r="AY681" t="inlineStr">
        <is>
          <t>2259119570002656</t>
        </is>
      </c>
      <c r="AZ681" t="inlineStr">
        <is>
          <t>BOOK</t>
        </is>
      </c>
      <c r="BB681" t="inlineStr">
        <is>
          <t>9780226702650</t>
        </is>
      </c>
      <c r="BC681" t="inlineStr">
        <is>
          <t>32285002373503</t>
        </is>
      </c>
      <c r="BD681" t="inlineStr">
        <is>
          <t>893773769</t>
        </is>
      </c>
    </row>
    <row r="682">
      <c r="A682" t="inlineStr">
        <is>
          <t>No</t>
        </is>
      </c>
      <c r="B682" t="inlineStr">
        <is>
          <t>QH401 .D58 1983</t>
        </is>
      </c>
      <c r="C682" t="inlineStr">
        <is>
          <t>0                      QH 0401000D  58          1983</t>
        </is>
      </c>
      <c r="D682" t="inlineStr">
        <is>
          <t>Diversity / edited by Ruth Patrick.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Stroudsburg, Pa. : Hutchinson Ross Pub. Co., c1983.</t>
        </is>
      </c>
      <c r="M682" t="inlineStr">
        <is>
          <t>1983</t>
        </is>
      </c>
      <c r="O682" t="inlineStr">
        <is>
          <t>eng</t>
        </is>
      </c>
      <c r="P682" t="inlineStr">
        <is>
          <t>pau</t>
        </is>
      </c>
      <c r="Q682" t="inlineStr">
        <is>
          <t>Benchmark papers in ecology ; v. 13</t>
        </is>
      </c>
      <c r="R682" t="inlineStr">
        <is>
          <t xml:space="preserve">QH </t>
        </is>
      </c>
      <c r="S682" t="n">
        <v>10</v>
      </c>
      <c r="T682" t="n">
        <v>10</v>
      </c>
      <c r="U682" t="inlineStr">
        <is>
          <t>1996-09-26</t>
        </is>
      </c>
      <c r="V682" t="inlineStr">
        <is>
          <t>1996-09-26</t>
        </is>
      </c>
      <c r="W682" t="inlineStr">
        <is>
          <t>1993-04-05</t>
        </is>
      </c>
      <c r="X682" t="inlineStr">
        <is>
          <t>1993-04-05</t>
        </is>
      </c>
      <c r="Y682" t="n">
        <v>267</v>
      </c>
      <c r="Z682" t="n">
        <v>236</v>
      </c>
      <c r="AA682" t="n">
        <v>237</v>
      </c>
      <c r="AB682" t="n">
        <v>1</v>
      </c>
      <c r="AC682" t="n">
        <v>1</v>
      </c>
      <c r="AD682" t="n">
        <v>8</v>
      </c>
      <c r="AE682" t="n">
        <v>8</v>
      </c>
      <c r="AF682" t="n">
        <v>4</v>
      </c>
      <c r="AG682" t="n">
        <v>4</v>
      </c>
      <c r="AH682" t="n">
        <v>2</v>
      </c>
      <c r="AI682" t="n">
        <v>2</v>
      </c>
      <c r="AJ682" t="n">
        <v>5</v>
      </c>
      <c r="AK682" t="n">
        <v>5</v>
      </c>
      <c r="AL682" t="n">
        <v>0</v>
      </c>
      <c r="AM682" t="n">
        <v>0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HYPERLINK("http://catalog.hathitrust.org/Record/000160263","HathiTrust Record")</f>
        <v/>
      </c>
      <c r="AS682">
        <f>HYPERLINK("https://creighton-primo.hosted.exlibrisgroup.com/primo-explore/search?tab=default_tab&amp;search_scope=EVERYTHING&amp;vid=01CRU&amp;lang=en_US&amp;offset=0&amp;query=any,contains,991000185949702656","Catalog Record")</f>
        <v/>
      </c>
      <c r="AT682">
        <f>HYPERLINK("http://www.worldcat.org/oclc/9393717","WorldCat Record")</f>
        <v/>
      </c>
      <c r="AU682" t="inlineStr">
        <is>
          <t>5624260565:eng</t>
        </is>
      </c>
      <c r="AV682" t="inlineStr">
        <is>
          <t>9393717</t>
        </is>
      </c>
      <c r="AW682" t="inlineStr">
        <is>
          <t>991000185949702656</t>
        </is>
      </c>
      <c r="AX682" t="inlineStr">
        <is>
          <t>991000185949702656</t>
        </is>
      </c>
      <c r="AY682" t="inlineStr">
        <is>
          <t>2266135060002656</t>
        </is>
      </c>
      <c r="AZ682" t="inlineStr">
        <is>
          <t>BOOK</t>
        </is>
      </c>
      <c r="BB682" t="inlineStr">
        <is>
          <t>9780879334208</t>
        </is>
      </c>
      <c r="BC682" t="inlineStr">
        <is>
          <t>32285001554343</t>
        </is>
      </c>
      <c r="BD682" t="inlineStr">
        <is>
          <t>893508588</t>
        </is>
      </c>
    </row>
    <row r="683">
      <c r="A683" t="inlineStr">
        <is>
          <t>No</t>
        </is>
      </c>
      <c r="B683" t="inlineStr">
        <is>
          <t>QH401 .K55</t>
        </is>
      </c>
      <c r="C683" t="inlineStr">
        <is>
          <t>0                      QH 0401000K  55</t>
        </is>
      </c>
      <c r="D683" t="inlineStr">
        <is>
          <t>The biology of race / [by] James C. King.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King, James C., 1904-</t>
        </is>
      </c>
      <c r="L683" t="inlineStr">
        <is>
          <t>New York : Harcourt Brace Jovanovich, [1971]</t>
        </is>
      </c>
      <c r="M683" t="inlineStr">
        <is>
          <t>1971</t>
        </is>
      </c>
      <c r="O683" t="inlineStr">
        <is>
          <t>eng</t>
        </is>
      </c>
      <c r="P683" t="inlineStr">
        <is>
          <t>nyu</t>
        </is>
      </c>
      <c r="R683" t="inlineStr">
        <is>
          <t xml:space="preserve">QH </t>
        </is>
      </c>
      <c r="S683" t="n">
        <v>1</v>
      </c>
      <c r="T683" t="n">
        <v>1</v>
      </c>
      <c r="U683" t="inlineStr">
        <is>
          <t>2008-02-12</t>
        </is>
      </c>
      <c r="V683" t="inlineStr">
        <is>
          <t>2008-02-12</t>
        </is>
      </c>
      <c r="W683" t="inlineStr">
        <is>
          <t>2000-01-18</t>
        </is>
      </c>
      <c r="X683" t="inlineStr">
        <is>
          <t>2000-01-18</t>
        </is>
      </c>
      <c r="Y683" t="n">
        <v>606</v>
      </c>
      <c r="Z683" t="n">
        <v>511</v>
      </c>
      <c r="AA683" t="n">
        <v>924</v>
      </c>
      <c r="AB683" t="n">
        <v>5</v>
      </c>
      <c r="AC683" t="n">
        <v>7</v>
      </c>
      <c r="AD683" t="n">
        <v>17</v>
      </c>
      <c r="AE683" t="n">
        <v>31</v>
      </c>
      <c r="AF683" t="n">
        <v>5</v>
      </c>
      <c r="AG683" t="n">
        <v>13</v>
      </c>
      <c r="AH683" t="n">
        <v>4</v>
      </c>
      <c r="AI683" t="n">
        <v>6</v>
      </c>
      <c r="AJ683" t="n">
        <v>9</v>
      </c>
      <c r="AK683" t="n">
        <v>16</v>
      </c>
      <c r="AL683" t="n">
        <v>3</v>
      </c>
      <c r="AM683" t="n">
        <v>5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HYPERLINK("http://catalog.hathitrust.org/Record/000001733","HathiTrust Record")</f>
        <v/>
      </c>
      <c r="AS683">
        <f>HYPERLINK("https://creighton-primo.hosted.exlibrisgroup.com/primo-explore/search?tab=default_tab&amp;search_scope=EVERYTHING&amp;vid=01CRU&amp;lang=en_US&amp;offset=0&amp;query=any,contains,991000682409702656","Catalog Record")</f>
        <v/>
      </c>
      <c r="AT683">
        <f>HYPERLINK("http://www.worldcat.org/oclc/122131","WorldCat Record")</f>
        <v/>
      </c>
      <c r="AU683" t="inlineStr">
        <is>
          <t>502313:eng</t>
        </is>
      </c>
      <c r="AV683" t="inlineStr">
        <is>
          <t>122131</t>
        </is>
      </c>
      <c r="AW683" t="inlineStr">
        <is>
          <t>991000682409702656</t>
        </is>
      </c>
      <c r="AX683" t="inlineStr">
        <is>
          <t>991000682409702656</t>
        </is>
      </c>
      <c r="AY683" t="inlineStr">
        <is>
          <t>2262970640002656</t>
        </is>
      </c>
      <c r="AZ683" t="inlineStr">
        <is>
          <t>BOOK</t>
        </is>
      </c>
      <c r="BB683" t="inlineStr">
        <is>
          <t>9780155054608</t>
        </is>
      </c>
      <c r="BC683" t="inlineStr">
        <is>
          <t>32285003642351</t>
        </is>
      </c>
      <c r="BD683" t="inlineStr">
        <is>
          <t>893626405</t>
        </is>
      </c>
    </row>
    <row r="684">
      <c r="A684" t="inlineStr">
        <is>
          <t>No</t>
        </is>
      </c>
      <c r="B684" t="inlineStr">
        <is>
          <t>QH405 .B5</t>
        </is>
      </c>
      <c r="C684" t="inlineStr">
        <is>
          <t>0                      QH 0405000B  5</t>
        </is>
      </c>
      <c r="D684" t="inlineStr">
        <is>
          <t>Statistics in biology; statistical methods for research in the natural sciences [by] C. I. Bliss.</t>
        </is>
      </c>
      <c r="E684" t="inlineStr">
        <is>
          <t>V.1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Bliss, C. I. (Chester Ittner), 1899-1979.</t>
        </is>
      </c>
      <c r="L684" t="inlineStr">
        <is>
          <t>New York, McGraw-Hill [1967-</t>
        </is>
      </c>
      <c r="M684" t="inlineStr">
        <is>
          <t>1967</t>
        </is>
      </c>
      <c r="O684" t="inlineStr">
        <is>
          <t>eng</t>
        </is>
      </c>
      <c r="P684" t="inlineStr">
        <is>
          <t>nyu</t>
        </is>
      </c>
      <c r="R684" t="inlineStr">
        <is>
          <t xml:space="preserve">QH </t>
        </is>
      </c>
      <c r="S684" t="n">
        <v>1</v>
      </c>
      <c r="T684" t="n">
        <v>1</v>
      </c>
      <c r="U684" t="inlineStr">
        <is>
          <t>2002-03-26</t>
        </is>
      </c>
      <c r="V684" t="inlineStr">
        <is>
          <t>2002-03-26</t>
        </is>
      </c>
      <c r="W684" t="inlineStr">
        <is>
          <t>1997-07-02</t>
        </is>
      </c>
      <c r="X684" t="inlineStr">
        <is>
          <t>1997-07-02</t>
        </is>
      </c>
      <c r="Y684" t="n">
        <v>597</v>
      </c>
      <c r="Z684" t="n">
        <v>474</v>
      </c>
      <c r="AA684" t="n">
        <v>500</v>
      </c>
      <c r="AB684" t="n">
        <v>4</v>
      </c>
      <c r="AC684" t="n">
        <v>4</v>
      </c>
      <c r="AD684" t="n">
        <v>16</v>
      </c>
      <c r="AE684" t="n">
        <v>16</v>
      </c>
      <c r="AF684" t="n">
        <v>5</v>
      </c>
      <c r="AG684" t="n">
        <v>5</v>
      </c>
      <c r="AH684" t="n">
        <v>3</v>
      </c>
      <c r="AI684" t="n">
        <v>3</v>
      </c>
      <c r="AJ684" t="n">
        <v>8</v>
      </c>
      <c r="AK684" t="n">
        <v>8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HYPERLINK("http://catalog.hathitrust.org/Record/000234570","HathiTrust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HYPERLINK("https://creighton-primo.hosted.exlibrisgroup.com/primo-explore/search?tab=default_tab&amp;search_scope=EVERYTHING&amp;vid=01CRU&amp;lang=en_US&amp;offset=0&amp;query=any,contains,991002377119702656","Catalog Record")</f>
        <v/>
      </c>
      <c r="AT684">
        <f>HYPERLINK("http://www.worldcat.org/oclc/327408","WorldCat Record")</f>
        <v/>
      </c>
      <c r="AU684" t="inlineStr">
        <is>
          <t>2864395380:eng</t>
        </is>
      </c>
      <c r="AV684" t="inlineStr">
        <is>
          <t>327408</t>
        </is>
      </c>
      <c r="AW684" t="inlineStr">
        <is>
          <t>991002377119702656</t>
        </is>
      </c>
      <c r="AX684" t="inlineStr">
        <is>
          <t>991002377119702656</t>
        </is>
      </c>
      <c r="AY684" t="inlineStr">
        <is>
          <t>2272755350002656</t>
        </is>
      </c>
      <c r="AZ684" t="inlineStr">
        <is>
          <t>BOOK</t>
        </is>
      </c>
      <c r="BC684" t="inlineStr">
        <is>
          <t>32285002910064</t>
        </is>
      </c>
      <c r="BD684" t="inlineStr">
        <is>
          <t>893804536</t>
        </is>
      </c>
    </row>
    <row r="685">
      <c r="A685" t="inlineStr">
        <is>
          <t>No</t>
        </is>
      </c>
      <c r="B685" t="inlineStr">
        <is>
          <t>QH405 .C55 1969b</t>
        </is>
      </c>
      <c r="C685" t="inlineStr">
        <is>
          <t>0                      QH 0405000C  55          1969b</t>
        </is>
      </c>
      <c r="D685" t="inlineStr">
        <is>
          <t>Statistics and experimental design [by] Geoffrey M. Clarke.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Clarke, G. M. (Geoffrey Mallin)</t>
        </is>
      </c>
      <c r="L685" t="inlineStr">
        <is>
          <t>New York, American Elsevier Pub. Co. [1969]</t>
        </is>
      </c>
      <c r="M685" t="inlineStr">
        <is>
          <t>1969</t>
        </is>
      </c>
      <c r="O685" t="inlineStr">
        <is>
          <t>eng</t>
        </is>
      </c>
      <c r="P685" t="inlineStr">
        <is>
          <t>nyu</t>
        </is>
      </c>
      <c r="Q685" t="inlineStr">
        <is>
          <t>A Series of student texts in contemporary biology</t>
        </is>
      </c>
      <c r="R685" t="inlineStr">
        <is>
          <t xml:space="preserve">QH </t>
        </is>
      </c>
      <c r="S685" t="n">
        <v>1</v>
      </c>
      <c r="T685" t="n">
        <v>1</v>
      </c>
      <c r="U685" t="inlineStr">
        <is>
          <t>2001-03-25</t>
        </is>
      </c>
      <c r="V685" t="inlineStr">
        <is>
          <t>2001-03-25</t>
        </is>
      </c>
      <c r="W685" t="inlineStr">
        <is>
          <t>1997-07-02</t>
        </is>
      </c>
      <c r="X685" t="inlineStr">
        <is>
          <t>1997-07-02</t>
        </is>
      </c>
      <c r="Y685" t="n">
        <v>300</v>
      </c>
      <c r="Z685" t="n">
        <v>274</v>
      </c>
      <c r="AA685" t="n">
        <v>448</v>
      </c>
      <c r="AB685" t="n">
        <v>3</v>
      </c>
      <c r="AC685" t="n">
        <v>4</v>
      </c>
      <c r="AD685" t="n">
        <v>8</v>
      </c>
      <c r="AE685" t="n">
        <v>15</v>
      </c>
      <c r="AF685" t="n">
        <v>1</v>
      </c>
      <c r="AG685" t="n">
        <v>3</v>
      </c>
      <c r="AH685" t="n">
        <v>2</v>
      </c>
      <c r="AI685" t="n">
        <v>3</v>
      </c>
      <c r="AJ685" t="n">
        <v>5</v>
      </c>
      <c r="AK685" t="n">
        <v>9</v>
      </c>
      <c r="AL685" t="n">
        <v>2</v>
      </c>
      <c r="AM685" t="n">
        <v>3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HYPERLINK("http://catalog.hathitrust.org/Record/001491973","HathiTrust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HYPERLINK("https://creighton-primo.hosted.exlibrisgroup.com/primo-explore/search?tab=default_tab&amp;search_scope=EVERYTHING&amp;vid=01CRU&amp;lang=en_US&amp;offset=0&amp;query=any,contains,991000527869702656","Catalog Record")</f>
        <v/>
      </c>
      <c r="AT685">
        <f>HYPERLINK("http://www.worldcat.org/oclc/89103","WorldCat Record")</f>
        <v/>
      </c>
      <c r="AU685" t="inlineStr">
        <is>
          <t>1237456:eng</t>
        </is>
      </c>
      <c r="AV685" t="inlineStr">
        <is>
          <t>89103</t>
        </is>
      </c>
      <c r="AW685" t="inlineStr">
        <is>
          <t>991000527869702656</t>
        </is>
      </c>
      <c r="AX685" t="inlineStr">
        <is>
          <t>991000527869702656</t>
        </is>
      </c>
      <c r="AY685" t="inlineStr">
        <is>
          <t>2258853980002656</t>
        </is>
      </c>
      <c r="AZ685" t="inlineStr">
        <is>
          <t>BOOK</t>
        </is>
      </c>
      <c r="BB685" t="inlineStr">
        <is>
          <t>9780444196774</t>
        </is>
      </c>
      <c r="BC685" t="inlineStr">
        <is>
          <t>32285002910072</t>
        </is>
      </c>
      <c r="BD685" t="inlineStr">
        <is>
          <t>893595632</t>
        </is>
      </c>
    </row>
    <row r="686">
      <c r="A686" t="inlineStr">
        <is>
          <t>No</t>
        </is>
      </c>
      <c r="B686" t="inlineStr">
        <is>
          <t>QH405 .G6</t>
        </is>
      </c>
      <c r="C686" t="inlineStr">
        <is>
          <t>0                      QH 0405000G  6</t>
        </is>
      </c>
      <c r="D686" t="inlineStr">
        <is>
          <t>Biostatistics, an introductory text.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Goldstein, Avram.</t>
        </is>
      </c>
      <c r="L686" t="inlineStr">
        <is>
          <t>New York, Macmillan [1964]</t>
        </is>
      </c>
      <c r="M686" t="inlineStr">
        <is>
          <t>1964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QH </t>
        </is>
      </c>
      <c r="S686" t="n">
        <v>1</v>
      </c>
      <c r="T686" t="n">
        <v>1</v>
      </c>
      <c r="U686" t="inlineStr">
        <is>
          <t>2002-03-26</t>
        </is>
      </c>
      <c r="V686" t="inlineStr">
        <is>
          <t>2002-03-26</t>
        </is>
      </c>
      <c r="W686" t="inlineStr">
        <is>
          <t>1997-07-02</t>
        </is>
      </c>
      <c r="X686" t="inlineStr">
        <is>
          <t>1997-07-02</t>
        </is>
      </c>
      <c r="Y686" t="n">
        <v>494</v>
      </c>
      <c r="Z686" t="n">
        <v>377</v>
      </c>
      <c r="AA686" t="n">
        <v>388</v>
      </c>
      <c r="AB686" t="n">
        <v>4</v>
      </c>
      <c r="AC686" t="n">
        <v>4</v>
      </c>
      <c r="AD686" t="n">
        <v>11</v>
      </c>
      <c r="AE686" t="n">
        <v>11</v>
      </c>
      <c r="AF686" t="n">
        <v>4</v>
      </c>
      <c r="AG686" t="n">
        <v>4</v>
      </c>
      <c r="AH686" t="n">
        <v>0</v>
      </c>
      <c r="AI686" t="n">
        <v>0</v>
      </c>
      <c r="AJ686" t="n">
        <v>6</v>
      </c>
      <c r="AK686" t="n">
        <v>6</v>
      </c>
      <c r="AL686" t="n">
        <v>3</v>
      </c>
      <c r="AM686" t="n">
        <v>3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HYPERLINK("http://catalog.hathitrust.org/Record/001491978","HathiTrust Record")</f>
        <v/>
      </c>
      <c r="AS686">
        <f>HYPERLINK("https://creighton-primo.hosted.exlibrisgroup.com/primo-explore/search?tab=default_tab&amp;search_scope=EVERYTHING&amp;vid=01CRU&amp;lang=en_US&amp;offset=0&amp;query=any,contains,991002457139702656","Catalog Record")</f>
        <v/>
      </c>
      <c r="AT686">
        <f>HYPERLINK("http://www.worldcat.org/oclc/354911","WorldCat Record")</f>
        <v/>
      </c>
      <c r="AU686" t="inlineStr">
        <is>
          <t>150915329:eng</t>
        </is>
      </c>
      <c r="AV686" t="inlineStr">
        <is>
          <t>354911</t>
        </is>
      </c>
      <c r="AW686" t="inlineStr">
        <is>
          <t>991002457139702656</t>
        </is>
      </c>
      <c r="AX686" t="inlineStr">
        <is>
          <t>991002457139702656</t>
        </is>
      </c>
      <c r="AY686" t="inlineStr">
        <is>
          <t>2266325280002656</t>
        </is>
      </c>
      <c r="AZ686" t="inlineStr">
        <is>
          <t>BOOK</t>
        </is>
      </c>
      <c r="BC686" t="inlineStr">
        <is>
          <t>32285002910080</t>
        </is>
      </c>
      <c r="BD686" t="inlineStr">
        <is>
          <t>893886309</t>
        </is>
      </c>
    </row>
    <row r="687">
      <c r="A687" t="inlineStr">
        <is>
          <t>No</t>
        </is>
      </c>
      <c r="B687" t="inlineStr">
        <is>
          <t>QH405 .H84</t>
        </is>
      </c>
      <c r="C687" t="inlineStr">
        <is>
          <t>0                      QH 0405000H  84</t>
        </is>
      </c>
      <c r="D687" t="inlineStr">
        <is>
          <t>Statistical inference in the biomedical sciences [by] David V. Huntsberger [and] Paul E. Leaverton.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Huntsberger, David V.</t>
        </is>
      </c>
      <c r="L687" t="inlineStr">
        <is>
          <t>Boston, Allyn and Bacon [1970]</t>
        </is>
      </c>
      <c r="M687" t="inlineStr">
        <is>
          <t>1970</t>
        </is>
      </c>
      <c r="O687" t="inlineStr">
        <is>
          <t>eng</t>
        </is>
      </c>
      <c r="P687" t="inlineStr">
        <is>
          <t>mau</t>
        </is>
      </c>
      <c r="R687" t="inlineStr">
        <is>
          <t xml:space="preserve">QH </t>
        </is>
      </c>
      <c r="S687" t="n">
        <v>5</v>
      </c>
      <c r="T687" t="n">
        <v>5</v>
      </c>
      <c r="U687" t="inlineStr">
        <is>
          <t>2002-03-26</t>
        </is>
      </c>
      <c r="V687" t="inlineStr">
        <is>
          <t>2002-03-26</t>
        </is>
      </c>
      <c r="W687" t="inlineStr">
        <is>
          <t>1997-07-02</t>
        </is>
      </c>
      <c r="X687" t="inlineStr">
        <is>
          <t>1997-07-02</t>
        </is>
      </c>
      <c r="Y687" t="n">
        <v>209</v>
      </c>
      <c r="Z687" t="n">
        <v>172</v>
      </c>
      <c r="AA687" t="n">
        <v>174</v>
      </c>
      <c r="AB687" t="n">
        <v>3</v>
      </c>
      <c r="AC687" t="n">
        <v>3</v>
      </c>
      <c r="AD687" t="n">
        <v>7</v>
      </c>
      <c r="AE687" t="n">
        <v>7</v>
      </c>
      <c r="AF687" t="n">
        <v>1</v>
      </c>
      <c r="AG687" t="n">
        <v>1</v>
      </c>
      <c r="AH687" t="n">
        <v>0</v>
      </c>
      <c r="AI687" t="n">
        <v>0</v>
      </c>
      <c r="AJ687" t="n">
        <v>5</v>
      </c>
      <c r="AK687" t="n">
        <v>5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HYPERLINK("http://catalog.hathitrust.org/Record/001491979","HathiTrust Record")</f>
        <v/>
      </c>
      <c r="AS687">
        <f>HYPERLINK("https://creighton-primo.hosted.exlibrisgroup.com/primo-explore/search?tab=default_tab&amp;search_scope=EVERYTHING&amp;vid=01CRU&amp;lang=en_US&amp;offset=0&amp;query=any,contains,991000664039702656","Catalog Record")</f>
        <v/>
      </c>
      <c r="AT687">
        <f>HYPERLINK("http://www.worldcat.org/oclc/118159","WorldCat Record")</f>
        <v/>
      </c>
      <c r="AU687" t="inlineStr">
        <is>
          <t>1237215:eng</t>
        </is>
      </c>
      <c r="AV687" t="inlineStr">
        <is>
          <t>118159</t>
        </is>
      </c>
      <c r="AW687" t="inlineStr">
        <is>
          <t>991000664039702656</t>
        </is>
      </c>
      <c r="AX687" t="inlineStr">
        <is>
          <t>991000664039702656</t>
        </is>
      </c>
      <c r="AY687" t="inlineStr">
        <is>
          <t>2261720600002656</t>
        </is>
      </c>
      <c r="AZ687" t="inlineStr">
        <is>
          <t>BOOK</t>
        </is>
      </c>
      <c r="BC687" t="inlineStr">
        <is>
          <t>32285002910098</t>
        </is>
      </c>
      <c r="BD687" t="inlineStr">
        <is>
          <t>893608158</t>
        </is>
      </c>
    </row>
    <row r="688">
      <c r="A688" t="inlineStr">
        <is>
          <t>No</t>
        </is>
      </c>
      <c r="B688" t="inlineStr">
        <is>
          <t>QH405 .R58</t>
        </is>
      </c>
      <c r="C688" t="inlineStr">
        <is>
          <t>0                      QH 0405000R  58</t>
        </is>
      </c>
      <c r="D688" t="inlineStr">
        <is>
          <t>Statistical tables [by] F. James Rohlf [and] Robert R. Sokal.</t>
        </is>
      </c>
      <c r="F688" t="inlineStr">
        <is>
          <t>No</t>
        </is>
      </c>
      <c r="G688" t="inlineStr">
        <is>
          <t>1</t>
        </is>
      </c>
      <c r="H688" t="inlineStr">
        <is>
          <t>Yes</t>
        </is>
      </c>
      <c r="I688" t="inlineStr">
        <is>
          <t>No</t>
        </is>
      </c>
      <c r="J688" t="inlineStr">
        <is>
          <t>0</t>
        </is>
      </c>
      <c r="K688" t="inlineStr">
        <is>
          <t>Rohlf, F. James, 1936-</t>
        </is>
      </c>
      <c r="L688" t="inlineStr">
        <is>
          <t>San Francisco, W. H. Freeman [1969]</t>
        </is>
      </c>
      <c r="M688" t="inlineStr">
        <is>
          <t>1969</t>
        </is>
      </c>
      <c r="O688" t="inlineStr">
        <is>
          <t>eng</t>
        </is>
      </c>
      <c r="P688" t="inlineStr">
        <is>
          <t>cau</t>
        </is>
      </c>
      <c r="R688" t="inlineStr">
        <is>
          <t xml:space="preserve">QH </t>
        </is>
      </c>
      <c r="S688" t="n">
        <v>0</v>
      </c>
      <c r="T688" t="n">
        <v>5</v>
      </c>
      <c r="V688" t="inlineStr">
        <is>
          <t>2003-09-24</t>
        </is>
      </c>
      <c r="W688" t="inlineStr">
        <is>
          <t>1997-07-02</t>
        </is>
      </c>
      <c r="X688" t="inlineStr">
        <is>
          <t>1997-07-02</t>
        </is>
      </c>
      <c r="Y688" t="n">
        <v>699</v>
      </c>
      <c r="Z688" t="n">
        <v>520</v>
      </c>
      <c r="AA688" t="n">
        <v>810</v>
      </c>
      <c r="AB688" t="n">
        <v>7</v>
      </c>
      <c r="AC688" t="n">
        <v>7</v>
      </c>
      <c r="AD688" t="n">
        <v>19</v>
      </c>
      <c r="AE688" t="n">
        <v>27</v>
      </c>
      <c r="AF688" t="n">
        <v>5</v>
      </c>
      <c r="AG688" t="n">
        <v>11</v>
      </c>
      <c r="AH688" t="n">
        <v>3</v>
      </c>
      <c r="AI688" t="n">
        <v>5</v>
      </c>
      <c r="AJ688" t="n">
        <v>9</v>
      </c>
      <c r="AK688" t="n">
        <v>11</v>
      </c>
      <c r="AL688" t="n">
        <v>4</v>
      </c>
      <c r="AM688" t="n">
        <v>4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HYPERLINK("https://creighton-primo.hosted.exlibrisgroup.com/primo-explore/search?tab=default_tab&amp;search_scope=EVERYTHING&amp;vid=01CRU&amp;lang=en_US&amp;offset=0&amp;query=any,contains,991001771319702656","Catalog Record")</f>
        <v/>
      </c>
      <c r="AT688">
        <f>HYPERLINK("http://www.worldcat.org/oclc/10846","WorldCat Record")</f>
        <v/>
      </c>
      <c r="AU688" t="inlineStr">
        <is>
          <t>3768406946:eng</t>
        </is>
      </c>
      <c r="AV688" t="inlineStr">
        <is>
          <t>10846</t>
        </is>
      </c>
      <c r="AW688" t="inlineStr">
        <is>
          <t>991001771319702656</t>
        </is>
      </c>
      <c r="AX688" t="inlineStr">
        <is>
          <t>991001771319702656</t>
        </is>
      </c>
      <c r="AY688" t="inlineStr">
        <is>
          <t>2268026300002656</t>
        </is>
      </c>
      <c r="AZ688" t="inlineStr">
        <is>
          <t>BOOK</t>
        </is>
      </c>
      <c r="BC688" t="inlineStr">
        <is>
          <t>32285002910106</t>
        </is>
      </c>
      <c r="BD688" t="inlineStr">
        <is>
          <t>893426842</t>
        </is>
      </c>
    </row>
    <row r="689">
      <c r="A689" t="inlineStr">
        <is>
          <t>No</t>
        </is>
      </c>
      <c r="B689" t="inlineStr">
        <is>
          <t>QH408 .B55 1986</t>
        </is>
      </c>
      <c r="C689" t="inlineStr">
        <is>
          <t>0                      QH 0408000B  55          1986</t>
        </is>
      </c>
      <c r="D689" t="inlineStr">
        <is>
          <t>CRC handbook of animal diversity / authors, Richard E. Blackwelder, George S. Garoian.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Blackwelder, Richard E.</t>
        </is>
      </c>
      <c r="L689" t="inlineStr">
        <is>
          <t>Boca Raton, Fla. : CRC Press, c1986.</t>
        </is>
      </c>
      <c r="M689" t="inlineStr">
        <is>
          <t>1986</t>
        </is>
      </c>
      <c r="O689" t="inlineStr">
        <is>
          <t>eng</t>
        </is>
      </c>
      <c r="P689" t="inlineStr">
        <is>
          <t>flu</t>
        </is>
      </c>
      <c r="R689" t="inlineStr">
        <is>
          <t xml:space="preserve">QH </t>
        </is>
      </c>
      <c r="S689" t="n">
        <v>2</v>
      </c>
      <c r="T689" t="n">
        <v>2</v>
      </c>
      <c r="U689" t="inlineStr">
        <is>
          <t>1998-02-25</t>
        </is>
      </c>
      <c r="V689" t="inlineStr">
        <is>
          <t>1998-02-25</t>
        </is>
      </c>
      <c r="W689" t="inlineStr">
        <is>
          <t>1993-02-04</t>
        </is>
      </c>
      <c r="X689" t="inlineStr">
        <is>
          <t>1993-02-04</t>
        </is>
      </c>
      <c r="Y689" t="n">
        <v>236</v>
      </c>
      <c r="Z689" t="n">
        <v>166</v>
      </c>
      <c r="AA689" t="n">
        <v>188</v>
      </c>
      <c r="AB689" t="n">
        <v>1</v>
      </c>
      <c r="AC689" t="n">
        <v>1</v>
      </c>
      <c r="AD689" t="n">
        <v>3</v>
      </c>
      <c r="AE689" t="n">
        <v>3</v>
      </c>
      <c r="AF689" t="n">
        <v>1</v>
      </c>
      <c r="AG689" t="n">
        <v>1</v>
      </c>
      <c r="AH689" t="n">
        <v>1</v>
      </c>
      <c r="AI689" t="n">
        <v>1</v>
      </c>
      <c r="AJ689" t="n">
        <v>1</v>
      </c>
      <c r="AK689" t="n">
        <v>1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HYPERLINK("http://catalog.hathitrust.org/Record/000444008","HathiTrust Record")</f>
        <v/>
      </c>
      <c r="AS689">
        <f>HYPERLINK("https://creighton-primo.hosted.exlibrisgroup.com/primo-explore/search?tab=default_tab&amp;search_scope=EVERYTHING&amp;vid=01CRU&amp;lang=en_US&amp;offset=0&amp;query=any,contains,991000707049702656","Catalog Record")</f>
        <v/>
      </c>
      <c r="AT689">
        <f>HYPERLINK("http://www.worldcat.org/oclc/12557923","WorldCat Record")</f>
        <v/>
      </c>
      <c r="AU689" t="inlineStr">
        <is>
          <t>4940393:eng</t>
        </is>
      </c>
      <c r="AV689" t="inlineStr">
        <is>
          <t>12557923</t>
        </is>
      </c>
      <c r="AW689" t="inlineStr">
        <is>
          <t>991000707049702656</t>
        </is>
      </c>
      <c r="AX689" t="inlineStr">
        <is>
          <t>991000707049702656</t>
        </is>
      </c>
      <c r="AY689" t="inlineStr">
        <is>
          <t>2256490400002656</t>
        </is>
      </c>
      <c r="AZ689" t="inlineStr">
        <is>
          <t>BOOK</t>
        </is>
      </c>
      <c r="BB689" t="inlineStr">
        <is>
          <t>9780849329920</t>
        </is>
      </c>
      <c r="BC689" t="inlineStr">
        <is>
          <t>32285001482784</t>
        </is>
      </c>
      <c r="BD689" t="inlineStr">
        <is>
          <t>893614427</t>
        </is>
      </c>
    </row>
    <row r="690">
      <c r="A690" t="inlineStr">
        <is>
          <t>No</t>
        </is>
      </c>
      <c r="B690" t="inlineStr">
        <is>
          <t>QH409 .E5</t>
        </is>
      </c>
      <c r="C690" t="inlineStr">
        <is>
          <t>0                      QH 0409000E  5</t>
        </is>
      </c>
      <c r="D690" t="inlineStr">
        <is>
          <t>Geographic variation, speciation, and clines / John A. Endler.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Endler, John A., 1947-</t>
        </is>
      </c>
      <c r="L690" t="inlineStr">
        <is>
          <t>Princeton, N.J. : Princeton University Press, 1977.</t>
        </is>
      </c>
      <c r="M690" t="inlineStr">
        <is>
          <t>1977</t>
        </is>
      </c>
      <c r="O690" t="inlineStr">
        <is>
          <t>eng</t>
        </is>
      </c>
      <c r="P690" t="inlineStr">
        <is>
          <t>nju</t>
        </is>
      </c>
      <c r="Q690" t="inlineStr">
        <is>
          <t>Monographs in population biology ; 10</t>
        </is>
      </c>
      <c r="R690" t="inlineStr">
        <is>
          <t xml:space="preserve">QH </t>
        </is>
      </c>
      <c r="S690" t="n">
        <v>4</v>
      </c>
      <c r="T690" t="n">
        <v>4</v>
      </c>
      <c r="U690" t="inlineStr">
        <is>
          <t>1996-02-13</t>
        </is>
      </c>
      <c r="V690" t="inlineStr">
        <is>
          <t>1996-02-13</t>
        </is>
      </c>
      <c r="W690" t="inlineStr">
        <is>
          <t>1993-04-05</t>
        </is>
      </c>
      <c r="X690" t="inlineStr">
        <is>
          <t>1993-04-05</t>
        </is>
      </c>
      <c r="Y690" t="n">
        <v>656</v>
      </c>
      <c r="Z690" t="n">
        <v>485</v>
      </c>
      <c r="AA690" t="n">
        <v>646</v>
      </c>
      <c r="AB690" t="n">
        <v>5</v>
      </c>
      <c r="AC690" t="n">
        <v>5</v>
      </c>
      <c r="AD690" t="n">
        <v>16</v>
      </c>
      <c r="AE690" t="n">
        <v>26</v>
      </c>
      <c r="AF690" t="n">
        <v>5</v>
      </c>
      <c r="AG690" t="n">
        <v>11</v>
      </c>
      <c r="AH690" t="n">
        <v>1</v>
      </c>
      <c r="AI690" t="n">
        <v>4</v>
      </c>
      <c r="AJ690" t="n">
        <v>8</v>
      </c>
      <c r="AK690" t="n">
        <v>13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HYPERLINK("https://creighton-primo.hosted.exlibrisgroup.com/primo-explore/search?tab=default_tab&amp;search_scope=EVERYTHING&amp;vid=01CRU&amp;lang=en_US&amp;offset=0&amp;query=any,contains,991004197809702656","Catalog Record")</f>
        <v/>
      </c>
      <c r="AT690">
        <f>HYPERLINK("http://www.worldcat.org/oclc/2645720","WorldCat Record")</f>
        <v/>
      </c>
      <c r="AU690" t="inlineStr">
        <is>
          <t>442387:eng</t>
        </is>
      </c>
      <c r="AV690" t="inlineStr">
        <is>
          <t>2645720</t>
        </is>
      </c>
      <c r="AW690" t="inlineStr">
        <is>
          <t>991004197809702656</t>
        </is>
      </c>
      <c r="AX690" t="inlineStr">
        <is>
          <t>991004197809702656</t>
        </is>
      </c>
      <c r="AY690" t="inlineStr">
        <is>
          <t>2254946500002656</t>
        </is>
      </c>
      <c r="AZ690" t="inlineStr">
        <is>
          <t>BOOK</t>
        </is>
      </c>
      <c r="BB690" t="inlineStr">
        <is>
          <t>9780691081878</t>
        </is>
      </c>
      <c r="BC690" t="inlineStr">
        <is>
          <t>32285001554350</t>
        </is>
      </c>
      <c r="BD690" t="inlineStr">
        <is>
          <t>893349723</t>
        </is>
      </c>
    </row>
    <row r="691">
      <c r="A691" t="inlineStr">
        <is>
          <t>No</t>
        </is>
      </c>
      <c r="B691" t="inlineStr">
        <is>
          <t>QH41 .M87 2004</t>
        </is>
      </c>
      <c r="C691" t="inlineStr">
        <is>
          <t>0                      QH 0041000M  87          2004</t>
        </is>
      </c>
      <c r="D691" t="inlineStr">
        <is>
          <t>Pliny the Elder's Natural history : the Empire in the encyclopedia / Trevor Murphy.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Murphy, Trevor Morgan.</t>
        </is>
      </c>
      <c r="L691" t="inlineStr">
        <is>
          <t>Oxford ; New York : Oxford University Press, 2004.</t>
        </is>
      </c>
      <c r="M691" t="inlineStr">
        <is>
          <t>2004</t>
        </is>
      </c>
      <c r="O691" t="inlineStr">
        <is>
          <t>eng</t>
        </is>
      </c>
      <c r="P691" t="inlineStr">
        <is>
          <t>enk</t>
        </is>
      </c>
      <c r="R691" t="inlineStr">
        <is>
          <t xml:space="preserve">QH </t>
        </is>
      </c>
      <c r="S691" t="n">
        <v>1</v>
      </c>
      <c r="T691" t="n">
        <v>1</v>
      </c>
      <c r="U691" t="inlineStr">
        <is>
          <t>2008-03-31</t>
        </is>
      </c>
      <c r="V691" t="inlineStr">
        <is>
          <t>2008-03-31</t>
        </is>
      </c>
      <c r="W691" t="inlineStr">
        <is>
          <t>2008-03-31</t>
        </is>
      </c>
      <c r="X691" t="inlineStr">
        <is>
          <t>2008-03-31</t>
        </is>
      </c>
      <c r="Y691" t="n">
        <v>343</v>
      </c>
      <c r="Z691" t="n">
        <v>254</v>
      </c>
      <c r="AA691" t="n">
        <v>523</v>
      </c>
      <c r="AB691" t="n">
        <v>2</v>
      </c>
      <c r="AC691" t="n">
        <v>12</v>
      </c>
      <c r="AD691" t="n">
        <v>19</v>
      </c>
      <c r="AE691" t="n">
        <v>31</v>
      </c>
      <c r="AF691" t="n">
        <v>7</v>
      </c>
      <c r="AG691" t="n">
        <v>9</v>
      </c>
      <c r="AH691" t="n">
        <v>7</v>
      </c>
      <c r="AI691" t="n">
        <v>9</v>
      </c>
      <c r="AJ691" t="n">
        <v>11</v>
      </c>
      <c r="AK691" t="n">
        <v>12</v>
      </c>
      <c r="AL691" t="n">
        <v>1</v>
      </c>
      <c r="AM691" t="n">
        <v>9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HYPERLINK("https://creighton-primo.hosted.exlibrisgroup.com/primo-explore/search?tab=default_tab&amp;search_scope=EVERYTHING&amp;vid=01CRU&amp;lang=en_US&amp;offset=0&amp;query=any,contains,991005194569702656","Catalog Record")</f>
        <v/>
      </c>
      <c r="AT691">
        <f>HYPERLINK("http://www.worldcat.org/oclc/53392996","WorldCat Record")</f>
        <v/>
      </c>
      <c r="AU691" t="inlineStr">
        <is>
          <t>801769676:eng</t>
        </is>
      </c>
      <c r="AV691" t="inlineStr">
        <is>
          <t>53392996</t>
        </is>
      </c>
      <c r="AW691" t="inlineStr">
        <is>
          <t>991005194569702656</t>
        </is>
      </c>
      <c r="AX691" t="inlineStr">
        <is>
          <t>991005194569702656</t>
        </is>
      </c>
      <c r="AY691" t="inlineStr">
        <is>
          <t>2262520770002656</t>
        </is>
      </c>
      <c r="AZ691" t="inlineStr">
        <is>
          <t>BOOK</t>
        </is>
      </c>
      <c r="BB691" t="inlineStr">
        <is>
          <t>9780199262885</t>
        </is>
      </c>
      <c r="BC691" t="inlineStr">
        <is>
          <t>32285005399638</t>
        </is>
      </c>
      <c r="BD691" t="inlineStr">
        <is>
          <t>893801893</t>
        </is>
      </c>
    </row>
    <row r="692">
      <c r="A692" t="inlineStr">
        <is>
          <t>No</t>
        </is>
      </c>
      <c r="B692" t="inlineStr">
        <is>
          <t>QH421 .H83 1993</t>
        </is>
      </c>
      <c r="C692" t="inlineStr">
        <is>
          <t>0                      QH 0421000H  83          1993</t>
        </is>
      </c>
      <c r="D692" t="inlineStr">
        <is>
          <t>Hybrid zones and the evolutionary process / edited by Richard G. Harrison.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L692" t="inlineStr">
        <is>
          <t>New York : Oxford University Press, 1993.</t>
        </is>
      </c>
      <c r="M692" t="inlineStr">
        <is>
          <t>1993</t>
        </is>
      </c>
      <c r="O692" t="inlineStr">
        <is>
          <t>eng</t>
        </is>
      </c>
      <c r="P692" t="inlineStr">
        <is>
          <t>nyu</t>
        </is>
      </c>
      <c r="R692" t="inlineStr">
        <is>
          <t xml:space="preserve">QH </t>
        </is>
      </c>
      <c r="S692" t="n">
        <v>5</v>
      </c>
      <c r="T692" t="n">
        <v>5</v>
      </c>
      <c r="U692" t="inlineStr">
        <is>
          <t>2003-04-28</t>
        </is>
      </c>
      <c r="V692" t="inlineStr">
        <is>
          <t>2003-04-28</t>
        </is>
      </c>
      <c r="W692" t="inlineStr">
        <is>
          <t>1994-05-06</t>
        </is>
      </c>
      <c r="X692" t="inlineStr">
        <is>
          <t>1994-05-06</t>
        </is>
      </c>
      <c r="Y692" t="n">
        <v>326</v>
      </c>
      <c r="Z692" t="n">
        <v>223</v>
      </c>
      <c r="AA692" t="n">
        <v>223</v>
      </c>
      <c r="AB692" t="n">
        <v>4</v>
      </c>
      <c r="AC692" t="n">
        <v>4</v>
      </c>
      <c r="AD692" t="n">
        <v>12</v>
      </c>
      <c r="AE692" t="n">
        <v>12</v>
      </c>
      <c r="AF692" t="n">
        <v>5</v>
      </c>
      <c r="AG692" t="n">
        <v>5</v>
      </c>
      <c r="AH692" t="n">
        <v>3</v>
      </c>
      <c r="AI692" t="n">
        <v>3</v>
      </c>
      <c r="AJ692" t="n">
        <v>5</v>
      </c>
      <c r="AK692" t="n">
        <v>5</v>
      </c>
      <c r="AL692" t="n">
        <v>3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HYPERLINK("https://creighton-primo.hosted.exlibrisgroup.com/primo-explore/search?tab=default_tab&amp;search_scope=EVERYTHING&amp;vid=01CRU&amp;lang=en_US&amp;offset=0&amp;query=any,contains,991002058649702656","Catalog Record")</f>
        <v/>
      </c>
      <c r="AT692">
        <f>HYPERLINK("http://www.worldcat.org/oclc/26352359","WorldCat Record")</f>
        <v/>
      </c>
      <c r="AU692" t="inlineStr">
        <is>
          <t>28597800:eng</t>
        </is>
      </c>
      <c r="AV692" t="inlineStr">
        <is>
          <t>26352359</t>
        </is>
      </c>
      <c r="AW692" t="inlineStr">
        <is>
          <t>991002058649702656</t>
        </is>
      </c>
      <c r="AX692" t="inlineStr">
        <is>
          <t>991002058649702656</t>
        </is>
      </c>
      <c r="AY692" t="inlineStr">
        <is>
          <t>2266230740002656</t>
        </is>
      </c>
      <c r="AZ692" t="inlineStr">
        <is>
          <t>BOOK</t>
        </is>
      </c>
      <c r="BB692" t="inlineStr">
        <is>
          <t>9780195069174</t>
        </is>
      </c>
      <c r="BC692" t="inlineStr">
        <is>
          <t>32285001878338</t>
        </is>
      </c>
      <c r="BD692" t="inlineStr">
        <is>
          <t>893244714</t>
        </is>
      </c>
    </row>
    <row r="693">
      <c r="A693" t="inlineStr">
        <is>
          <t>No</t>
        </is>
      </c>
      <c r="B693" t="inlineStr">
        <is>
          <t>QH421 .O4</t>
        </is>
      </c>
      <c r="C693" t="inlineStr">
        <is>
          <t>0                      QH 0421000O  4</t>
        </is>
      </c>
      <c r="D693" t="inlineStr">
        <is>
          <t>Origins of Mendelism / [by] Robert C. Olby. With an introd. by C.D. Darlington.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Yes</t>
        </is>
      </c>
      <c r="J693" t="inlineStr">
        <is>
          <t>0</t>
        </is>
      </c>
      <c r="K693" t="inlineStr">
        <is>
          <t>Olby, Robert C. (Robert Cecil)</t>
        </is>
      </c>
      <c r="L693" t="inlineStr">
        <is>
          <t>New York : Schocken Books, [1966]</t>
        </is>
      </c>
      <c r="M693" t="inlineStr">
        <is>
          <t>1966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QH </t>
        </is>
      </c>
      <c r="S693" t="n">
        <v>11</v>
      </c>
      <c r="T693" t="n">
        <v>11</v>
      </c>
      <c r="U693" t="inlineStr">
        <is>
          <t>2001-09-21</t>
        </is>
      </c>
      <c r="V693" t="inlineStr">
        <is>
          <t>2001-09-21</t>
        </is>
      </c>
      <c r="W693" t="inlineStr">
        <is>
          <t>1992-09-16</t>
        </is>
      </c>
      <c r="X693" t="inlineStr">
        <is>
          <t>1992-09-16</t>
        </is>
      </c>
      <c r="Y693" t="n">
        <v>568</v>
      </c>
      <c r="Z693" t="n">
        <v>535</v>
      </c>
      <c r="AA693" t="n">
        <v>787</v>
      </c>
      <c r="AB693" t="n">
        <v>8</v>
      </c>
      <c r="AC693" t="n">
        <v>9</v>
      </c>
      <c r="AD693" t="n">
        <v>27</v>
      </c>
      <c r="AE693" t="n">
        <v>37</v>
      </c>
      <c r="AF693" t="n">
        <v>13</v>
      </c>
      <c r="AG693" t="n">
        <v>15</v>
      </c>
      <c r="AH693" t="n">
        <v>4</v>
      </c>
      <c r="AI693" t="n">
        <v>5</v>
      </c>
      <c r="AJ693" t="n">
        <v>9</v>
      </c>
      <c r="AK693" t="n">
        <v>16</v>
      </c>
      <c r="AL693" t="n">
        <v>7</v>
      </c>
      <c r="AM693" t="n">
        <v>8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HYPERLINK("https://creighton-primo.hosted.exlibrisgroup.com/primo-explore/search?tab=default_tab&amp;search_scope=EVERYTHING&amp;vid=01CRU&amp;lang=en_US&amp;offset=0&amp;query=any,contains,991003089439702656","Catalog Record")</f>
        <v/>
      </c>
      <c r="AT693">
        <f>HYPERLINK("http://www.worldcat.org/oclc/639870","WorldCat Record")</f>
        <v/>
      </c>
      <c r="AU693" t="inlineStr">
        <is>
          <t>1784432:eng</t>
        </is>
      </c>
      <c r="AV693" t="inlineStr">
        <is>
          <t>639870</t>
        </is>
      </c>
      <c r="AW693" t="inlineStr">
        <is>
          <t>991003089439702656</t>
        </is>
      </c>
      <c r="AX693" t="inlineStr">
        <is>
          <t>991003089439702656</t>
        </is>
      </c>
      <c r="AY693" t="inlineStr">
        <is>
          <t>2258170310002656</t>
        </is>
      </c>
      <c r="AZ693" t="inlineStr">
        <is>
          <t>BOOK</t>
        </is>
      </c>
      <c r="BC693" t="inlineStr">
        <is>
          <t>32285001300432</t>
        </is>
      </c>
      <c r="BD693" t="inlineStr">
        <is>
          <t>893623144</t>
        </is>
      </c>
    </row>
    <row r="694">
      <c r="A694" t="inlineStr">
        <is>
          <t>No</t>
        </is>
      </c>
      <c r="B694" t="inlineStr">
        <is>
          <t>QH426 .I56 1983b</t>
        </is>
      </c>
      <c r="C694" t="inlineStr">
        <is>
          <t>0                      QH 0426000I  56          1983b</t>
        </is>
      </c>
      <c r="D694" t="inlineStr">
        <is>
          <t>Genetics, new frontiers : proceedings of the XV International Congress of Genetics / editors, V.L. Chopra ... [et al.].</t>
        </is>
      </c>
      <c r="E694" t="inlineStr">
        <is>
          <t>V.4</t>
        </is>
      </c>
      <c r="F694" t="inlineStr">
        <is>
          <t>Yes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International Congress of Genetics (15th : 1983 : New Delhi, India)</t>
        </is>
      </c>
      <c r="L694" t="inlineStr">
        <is>
          <t>New Delhi : Oxford &amp; IBH, c1984.</t>
        </is>
      </c>
      <c r="M694" t="inlineStr">
        <is>
          <t>1984</t>
        </is>
      </c>
      <c r="O694" t="inlineStr">
        <is>
          <t>eng</t>
        </is>
      </c>
      <c r="P694" t="inlineStr">
        <is>
          <t xml:space="preserve">ii </t>
        </is>
      </c>
      <c r="R694" t="inlineStr">
        <is>
          <t xml:space="preserve">QH </t>
        </is>
      </c>
      <c r="S694" t="n">
        <v>3</v>
      </c>
      <c r="T694" t="n">
        <v>6</v>
      </c>
      <c r="U694" t="inlineStr">
        <is>
          <t>2000-04-03</t>
        </is>
      </c>
      <c r="V694" t="inlineStr">
        <is>
          <t>2000-04-03</t>
        </is>
      </c>
      <c r="W694" t="inlineStr">
        <is>
          <t>1993-04-05</t>
        </is>
      </c>
      <c r="X694" t="inlineStr">
        <is>
          <t>1993-04-05</t>
        </is>
      </c>
      <c r="Y694" t="n">
        <v>155</v>
      </c>
      <c r="Z694" t="n">
        <v>122</v>
      </c>
      <c r="AA694" t="n">
        <v>127</v>
      </c>
      <c r="AB694" t="n">
        <v>1</v>
      </c>
      <c r="AC694" t="n">
        <v>1</v>
      </c>
      <c r="AD694" t="n">
        <v>5</v>
      </c>
      <c r="AE694" t="n">
        <v>5</v>
      </c>
      <c r="AF694" t="n">
        <v>2</v>
      </c>
      <c r="AG694" t="n">
        <v>2</v>
      </c>
      <c r="AH694" t="n">
        <v>2</v>
      </c>
      <c r="AI694" t="n">
        <v>2</v>
      </c>
      <c r="AJ694" t="n">
        <v>2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HYPERLINK("http://catalog.hathitrust.org/Record/007972797","HathiTrust Record")</f>
        <v/>
      </c>
      <c r="AS694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4">
        <f>HYPERLINK("http://www.worldcat.org/oclc/11645802","WorldCat Record")</f>
        <v/>
      </c>
      <c r="AU694" t="inlineStr">
        <is>
          <t>4713845:eng</t>
        </is>
      </c>
      <c r="AV694" t="inlineStr">
        <is>
          <t>11645802</t>
        </is>
      </c>
      <c r="AW694" t="inlineStr">
        <is>
          <t>991000570189702656</t>
        </is>
      </c>
      <c r="AX694" t="inlineStr">
        <is>
          <t>991000570189702656</t>
        </is>
      </c>
      <c r="AY694" t="inlineStr">
        <is>
          <t>2259074150002656</t>
        </is>
      </c>
      <c r="AZ694" t="inlineStr">
        <is>
          <t>BOOK</t>
        </is>
      </c>
      <c r="BC694" t="inlineStr">
        <is>
          <t>32285001554418</t>
        </is>
      </c>
      <c r="BD694" t="inlineStr">
        <is>
          <t>893614303</t>
        </is>
      </c>
    </row>
    <row r="695">
      <c r="A695" t="inlineStr">
        <is>
          <t>No</t>
        </is>
      </c>
      <c r="B695" t="inlineStr">
        <is>
          <t>QH426 .I56 1983b</t>
        </is>
      </c>
      <c r="C695" t="inlineStr">
        <is>
          <t>0                      QH 0426000I  56          1983b</t>
        </is>
      </c>
      <c r="D695" t="inlineStr">
        <is>
          <t>Genetics, new frontiers : proceedings of the XV International Congress of Genetics / editors, V.L. Chopra ... [et al.].</t>
        </is>
      </c>
      <c r="E695" t="inlineStr">
        <is>
          <t>V.1</t>
        </is>
      </c>
      <c r="F695" t="inlineStr">
        <is>
          <t>Yes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International Congress of Genetics (15th : 1983 : New Delhi, India)</t>
        </is>
      </c>
      <c r="L695" t="inlineStr">
        <is>
          <t>New Delhi : Oxford &amp; IBH, c1984.</t>
        </is>
      </c>
      <c r="M695" t="inlineStr">
        <is>
          <t>1984</t>
        </is>
      </c>
      <c r="O695" t="inlineStr">
        <is>
          <t>eng</t>
        </is>
      </c>
      <c r="P695" t="inlineStr">
        <is>
          <t xml:space="preserve">ii </t>
        </is>
      </c>
      <c r="R695" t="inlineStr">
        <is>
          <t xml:space="preserve">QH </t>
        </is>
      </c>
      <c r="S695" t="n">
        <v>3</v>
      </c>
      <c r="T695" t="n">
        <v>6</v>
      </c>
      <c r="U695" t="inlineStr">
        <is>
          <t>1995-09-26</t>
        </is>
      </c>
      <c r="V695" t="inlineStr">
        <is>
          <t>2000-04-03</t>
        </is>
      </c>
      <c r="W695" t="inlineStr">
        <is>
          <t>1993-04-05</t>
        </is>
      </c>
      <c r="X695" t="inlineStr">
        <is>
          <t>1993-04-05</t>
        </is>
      </c>
      <c r="Y695" t="n">
        <v>155</v>
      </c>
      <c r="Z695" t="n">
        <v>122</v>
      </c>
      <c r="AA695" t="n">
        <v>127</v>
      </c>
      <c r="AB695" t="n">
        <v>1</v>
      </c>
      <c r="AC695" t="n">
        <v>1</v>
      </c>
      <c r="AD695" t="n">
        <v>5</v>
      </c>
      <c r="AE695" t="n">
        <v>5</v>
      </c>
      <c r="AF695" t="n">
        <v>2</v>
      </c>
      <c r="AG695" t="n">
        <v>2</v>
      </c>
      <c r="AH695" t="n">
        <v>2</v>
      </c>
      <c r="AI695" t="n">
        <v>2</v>
      </c>
      <c r="AJ695" t="n">
        <v>2</v>
      </c>
      <c r="AK695" t="n">
        <v>2</v>
      </c>
      <c r="AL695" t="n">
        <v>0</v>
      </c>
      <c r="AM695" t="n">
        <v>0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HYPERLINK("http://catalog.hathitrust.org/Record/007972797","HathiTrust Record")</f>
        <v/>
      </c>
      <c r="AS695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5">
        <f>HYPERLINK("http://www.worldcat.org/oclc/11645802","WorldCat Record")</f>
        <v/>
      </c>
      <c r="AU695" t="inlineStr">
        <is>
          <t>4713845:eng</t>
        </is>
      </c>
      <c r="AV695" t="inlineStr">
        <is>
          <t>11645802</t>
        </is>
      </c>
      <c r="AW695" t="inlineStr">
        <is>
          <t>991000570189702656</t>
        </is>
      </c>
      <c r="AX695" t="inlineStr">
        <is>
          <t>991000570189702656</t>
        </is>
      </c>
      <c r="AY695" t="inlineStr">
        <is>
          <t>2259074150002656</t>
        </is>
      </c>
      <c r="AZ695" t="inlineStr">
        <is>
          <t>BOOK</t>
        </is>
      </c>
      <c r="BC695" t="inlineStr">
        <is>
          <t>32285001554384</t>
        </is>
      </c>
      <c r="BD695" t="inlineStr">
        <is>
          <t>893608049</t>
        </is>
      </c>
    </row>
    <row r="696">
      <c r="A696" t="inlineStr">
        <is>
          <t>No</t>
        </is>
      </c>
      <c r="B696" t="inlineStr">
        <is>
          <t>QH426 .I56 1983b</t>
        </is>
      </c>
      <c r="C696" t="inlineStr">
        <is>
          <t>0                      QH 0426000I  56          1983b</t>
        </is>
      </c>
      <c r="D696" t="inlineStr">
        <is>
          <t>Genetics, new frontiers : proceedings of the XV International Congress of Genetics / editors, V.L. Chopra ... [et al.].</t>
        </is>
      </c>
      <c r="E696" t="inlineStr">
        <is>
          <t>V.2</t>
        </is>
      </c>
      <c r="F696" t="inlineStr">
        <is>
          <t>Yes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International Congress of Genetics (15th : 1983 : New Delhi, India)</t>
        </is>
      </c>
      <c r="L696" t="inlineStr">
        <is>
          <t>New Delhi : Oxford &amp; IBH, c1984.</t>
        </is>
      </c>
      <c r="M696" t="inlineStr">
        <is>
          <t>1984</t>
        </is>
      </c>
      <c r="O696" t="inlineStr">
        <is>
          <t>eng</t>
        </is>
      </c>
      <c r="P696" t="inlineStr">
        <is>
          <t xml:space="preserve">ii </t>
        </is>
      </c>
      <c r="R696" t="inlineStr">
        <is>
          <t xml:space="preserve">QH </t>
        </is>
      </c>
      <c r="S696" t="n">
        <v>0</v>
      </c>
      <c r="T696" t="n">
        <v>6</v>
      </c>
      <c r="V696" t="inlineStr">
        <is>
          <t>2000-04-03</t>
        </is>
      </c>
      <c r="W696" t="inlineStr">
        <is>
          <t>1993-04-05</t>
        </is>
      </c>
      <c r="X696" t="inlineStr">
        <is>
          <t>1993-04-05</t>
        </is>
      </c>
      <c r="Y696" t="n">
        <v>155</v>
      </c>
      <c r="Z696" t="n">
        <v>122</v>
      </c>
      <c r="AA696" t="n">
        <v>127</v>
      </c>
      <c r="AB696" t="n">
        <v>1</v>
      </c>
      <c r="AC696" t="n">
        <v>1</v>
      </c>
      <c r="AD696" t="n">
        <v>5</v>
      </c>
      <c r="AE696" t="n">
        <v>5</v>
      </c>
      <c r="AF696" t="n">
        <v>2</v>
      </c>
      <c r="AG696" t="n">
        <v>2</v>
      </c>
      <c r="AH696" t="n">
        <v>2</v>
      </c>
      <c r="AI696" t="n">
        <v>2</v>
      </c>
      <c r="AJ696" t="n">
        <v>2</v>
      </c>
      <c r="AK696" t="n">
        <v>2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HYPERLINK("http://catalog.hathitrust.org/Record/007972797","HathiTrust Record")</f>
        <v/>
      </c>
      <c r="AS696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6">
        <f>HYPERLINK("http://www.worldcat.org/oclc/11645802","WorldCat Record")</f>
        <v/>
      </c>
      <c r="AU696" t="inlineStr">
        <is>
          <t>4713845:eng</t>
        </is>
      </c>
      <c r="AV696" t="inlineStr">
        <is>
          <t>11645802</t>
        </is>
      </c>
      <c r="AW696" t="inlineStr">
        <is>
          <t>991000570189702656</t>
        </is>
      </c>
      <c r="AX696" t="inlineStr">
        <is>
          <t>991000570189702656</t>
        </is>
      </c>
      <c r="AY696" t="inlineStr">
        <is>
          <t>2259074150002656</t>
        </is>
      </c>
      <c r="AZ696" t="inlineStr">
        <is>
          <t>BOOK</t>
        </is>
      </c>
      <c r="BC696" t="inlineStr">
        <is>
          <t>32285001554392</t>
        </is>
      </c>
      <c r="BD696" t="inlineStr">
        <is>
          <t>893608050</t>
        </is>
      </c>
    </row>
    <row r="697">
      <c r="A697" t="inlineStr">
        <is>
          <t>No</t>
        </is>
      </c>
      <c r="B697" t="inlineStr">
        <is>
          <t>QH426 .I56 1983b</t>
        </is>
      </c>
      <c r="C697" t="inlineStr">
        <is>
          <t>0                      QH 0426000I  56          1983b</t>
        </is>
      </c>
      <c r="D697" t="inlineStr">
        <is>
          <t>Genetics, new frontiers : proceedings of the XV International Congress of Genetics / editors, V.L. Chopra ... [et al.].</t>
        </is>
      </c>
      <c r="E697" t="inlineStr">
        <is>
          <t>V.3</t>
        </is>
      </c>
      <c r="F697" t="inlineStr">
        <is>
          <t>Yes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International Congress of Genetics (15th : 1983 : New Delhi, India)</t>
        </is>
      </c>
      <c r="L697" t="inlineStr">
        <is>
          <t>New Delhi : Oxford &amp; IBH, c1984.</t>
        </is>
      </c>
      <c r="M697" t="inlineStr">
        <is>
          <t>1984</t>
        </is>
      </c>
      <c r="O697" t="inlineStr">
        <is>
          <t>eng</t>
        </is>
      </c>
      <c r="P697" t="inlineStr">
        <is>
          <t xml:space="preserve">ii </t>
        </is>
      </c>
      <c r="R697" t="inlineStr">
        <is>
          <t xml:space="preserve">QH </t>
        </is>
      </c>
      <c r="S697" t="n">
        <v>0</v>
      </c>
      <c r="T697" t="n">
        <v>6</v>
      </c>
      <c r="V697" t="inlineStr">
        <is>
          <t>2000-04-03</t>
        </is>
      </c>
      <c r="W697" t="inlineStr">
        <is>
          <t>1993-04-05</t>
        </is>
      </c>
      <c r="X697" t="inlineStr">
        <is>
          <t>1993-04-05</t>
        </is>
      </c>
      <c r="Y697" t="n">
        <v>155</v>
      </c>
      <c r="Z697" t="n">
        <v>122</v>
      </c>
      <c r="AA697" t="n">
        <v>127</v>
      </c>
      <c r="AB697" t="n">
        <v>1</v>
      </c>
      <c r="AC697" t="n">
        <v>1</v>
      </c>
      <c r="AD697" t="n">
        <v>5</v>
      </c>
      <c r="AE697" t="n">
        <v>5</v>
      </c>
      <c r="AF697" t="n">
        <v>2</v>
      </c>
      <c r="AG697" t="n">
        <v>2</v>
      </c>
      <c r="AH697" t="n">
        <v>2</v>
      </c>
      <c r="AI697" t="n">
        <v>2</v>
      </c>
      <c r="AJ697" t="n">
        <v>2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HYPERLINK("http://catalog.hathitrust.org/Record/007972797","HathiTrust Record")</f>
        <v/>
      </c>
      <c r="AS697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7">
        <f>HYPERLINK("http://www.worldcat.org/oclc/11645802","WorldCat Record")</f>
        <v/>
      </c>
      <c r="AU697" t="inlineStr">
        <is>
          <t>4713845:eng</t>
        </is>
      </c>
      <c r="AV697" t="inlineStr">
        <is>
          <t>11645802</t>
        </is>
      </c>
      <c r="AW697" t="inlineStr">
        <is>
          <t>991000570189702656</t>
        </is>
      </c>
      <c r="AX697" t="inlineStr">
        <is>
          <t>991000570189702656</t>
        </is>
      </c>
      <c r="AY697" t="inlineStr">
        <is>
          <t>2259074150002656</t>
        </is>
      </c>
      <c r="AZ697" t="inlineStr">
        <is>
          <t>BOOK</t>
        </is>
      </c>
      <c r="BC697" t="inlineStr">
        <is>
          <t>32285001554400</t>
        </is>
      </c>
      <c r="BD697" t="inlineStr">
        <is>
          <t>893614304</t>
        </is>
      </c>
    </row>
    <row r="698">
      <c r="A698" t="inlineStr">
        <is>
          <t>No</t>
        </is>
      </c>
      <c r="B698" t="inlineStr">
        <is>
          <t>QH426 .N38 1983</t>
        </is>
      </c>
      <c r="C698" t="inlineStr">
        <is>
          <t>0                      QH 0426000N  38          1983</t>
        </is>
      </c>
      <c r="D698" t="inlineStr">
        <is>
          <t>Structure and function of the genetic apparatus / edited by Claudio Nicolini and Paul O.P. Ts'o.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NATO Advanced Study Institute (1983 : Erice, Italy)</t>
        </is>
      </c>
      <c r="L698" t="inlineStr">
        <is>
          <t>New York : Plenum Press, c1985.</t>
        </is>
      </c>
      <c r="M698" t="inlineStr">
        <is>
          <t>1985</t>
        </is>
      </c>
      <c r="O698" t="inlineStr">
        <is>
          <t>eng</t>
        </is>
      </c>
      <c r="P698" t="inlineStr">
        <is>
          <t>nyu</t>
        </is>
      </c>
      <c r="Q698" t="inlineStr">
        <is>
          <t>NATO advanced study institutes series. Series A, Life sciences ; v. 98</t>
        </is>
      </c>
      <c r="R698" t="inlineStr">
        <is>
          <t xml:space="preserve">QH </t>
        </is>
      </c>
      <c r="S698" t="n">
        <v>4</v>
      </c>
      <c r="T698" t="n">
        <v>4</v>
      </c>
      <c r="U698" t="inlineStr">
        <is>
          <t>2006-02-25</t>
        </is>
      </c>
      <c r="V698" t="inlineStr">
        <is>
          <t>2006-02-25</t>
        </is>
      </c>
      <c r="W698" t="inlineStr">
        <is>
          <t>1993-04-05</t>
        </is>
      </c>
      <c r="X698" t="inlineStr">
        <is>
          <t>1993-04-05</t>
        </is>
      </c>
      <c r="Y698" t="n">
        <v>199</v>
      </c>
      <c r="Z698" t="n">
        <v>149</v>
      </c>
      <c r="AA698" t="n">
        <v>165</v>
      </c>
      <c r="AB698" t="n">
        <v>2</v>
      </c>
      <c r="AC698" t="n">
        <v>2</v>
      </c>
      <c r="AD698" t="n">
        <v>4</v>
      </c>
      <c r="AE698" t="n">
        <v>5</v>
      </c>
      <c r="AF698" t="n">
        <v>0</v>
      </c>
      <c r="AG698" t="n">
        <v>1</v>
      </c>
      <c r="AH698" t="n">
        <v>0</v>
      </c>
      <c r="AI698" t="n">
        <v>0</v>
      </c>
      <c r="AJ698" t="n">
        <v>3</v>
      </c>
      <c r="AK698" t="n">
        <v>4</v>
      </c>
      <c r="AL698" t="n">
        <v>1</v>
      </c>
      <c r="AM698" t="n">
        <v>1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HYPERLINK("http://catalog.hathitrust.org/Record/000474749","HathiTrust Record")</f>
        <v/>
      </c>
      <c r="AS698">
        <f>HYPERLINK("https://creighton-primo.hosted.exlibrisgroup.com/primo-explore/search?tab=default_tab&amp;search_scope=EVERYTHING&amp;vid=01CRU&amp;lang=en_US&amp;offset=0&amp;query=any,contains,991000720399702656","Catalog Record")</f>
        <v/>
      </c>
      <c r="AT698">
        <f>HYPERLINK("http://www.worldcat.org/oclc/12665512","WorldCat Record")</f>
        <v/>
      </c>
      <c r="AU698" t="inlineStr">
        <is>
          <t>5409913:eng</t>
        </is>
      </c>
      <c r="AV698" t="inlineStr">
        <is>
          <t>12665512</t>
        </is>
      </c>
      <c r="AW698" t="inlineStr">
        <is>
          <t>991000720399702656</t>
        </is>
      </c>
      <c r="AX698" t="inlineStr">
        <is>
          <t>991000720399702656</t>
        </is>
      </c>
      <c r="AY698" t="inlineStr">
        <is>
          <t>2264278510002656</t>
        </is>
      </c>
      <c r="AZ698" t="inlineStr">
        <is>
          <t>BOOK</t>
        </is>
      </c>
      <c r="BB698" t="inlineStr">
        <is>
          <t>9780306421136</t>
        </is>
      </c>
      <c r="BC698" t="inlineStr">
        <is>
          <t>32285001554426</t>
        </is>
      </c>
      <c r="BD698" t="inlineStr">
        <is>
          <t>893696092</t>
        </is>
      </c>
    </row>
    <row r="699">
      <c r="A699" t="inlineStr">
        <is>
          <t>No</t>
        </is>
      </c>
      <c r="B699" t="inlineStr">
        <is>
          <t>QH427 .E53 1999</t>
        </is>
      </c>
      <c r="C699" t="inlineStr">
        <is>
          <t>0                      QH 0427000E  53          1999</t>
        </is>
      </c>
      <c r="D699" t="inlineStr">
        <is>
          <t>Encyclopedia of genetics / editor, Jeffrey A. Knight ; project editor, Robert McClenaghan.</t>
        </is>
      </c>
      <c r="E699" t="inlineStr">
        <is>
          <t>V.2</t>
        </is>
      </c>
      <c r="F699" t="inlineStr">
        <is>
          <t>Yes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L699" t="inlineStr">
        <is>
          <t>Pasadena, Calif. : Salem Press, c1999.</t>
        </is>
      </c>
      <c r="M699" t="inlineStr">
        <is>
          <t>1999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QH </t>
        </is>
      </c>
      <c r="S699" t="n">
        <v>2</v>
      </c>
      <c r="T699" t="n">
        <v>2</v>
      </c>
      <c r="U699" t="inlineStr">
        <is>
          <t>2007-02-09</t>
        </is>
      </c>
      <c r="V699" t="inlineStr">
        <is>
          <t>2007-02-09</t>
        </is>
      </c>
      <c r="W699" t="inlineStr">
        <is>
          <t>2000-08-02</t>
        </is>
      </c>
      <c r="X699" t="inlineStr">
        <is>
          <t>2002-06-04</t>
        </is>
      </c>
      <c r="Y699" t="n">
        <v>611</v>
      </c>
      <c r="Z699" t="n">
        <v>564</v>
      </c>
      <c r="AA699" t="n">
        <v>1219</v>
      </c>
      <c r="AB699" t="n">
        <v>4</v>
      </c>
      <c r="AC699" t="n">
        <v>7</v>
      </c>
      <c r="AD699" t="n">
        <v>12</v>
      </c>
      <c r="AE699" t="n">
        <v>22</v>
      </c>
      <c r="AF699" t="n">
        <v>5</v>
      </c>
      <c r="AG699" t="n">
        <v>10</v>
      </c>
      <c r="AH699" t="n">
        <v>3</v>
      </c>
      <c r="AI699" t="n">
        <v>5</v>
      </c>
      <c r="AJ699" t="n">
        <v>7</v>
      </c>
      <c r="AK699" t="n">
        <v>11</v>
      </c>
      <c r="AL699" t="n">
        <v>1</v>
      </c>
      <c r="AM699" t="n">
        <v>3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HYPERLINK("http://catalog.hathitrust.org/Record/007972734","HathiTrust Record")</f>
        <v/>
      </c>
      <c r="AS699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699">
        <f>HYPERLINK("http://www.worldcat.org/oclc/40200215","WorldCat Record")</f>
        <v/>
      </c>
      <c r="AU699" t="inlineStr">
        <is>
          <t>56340231:eng</t>
        </is>
      </c>
      <c r="AV699" t="inlineStr">
        <is>
          <t>40200215</t>
        </is>
      </c>
      <c r="AW699" t="inlineStr">
        <is>
          <t>991003235319702656</t>
        </is>
      </c>
      <c r="AX699" t="inlineStr">
        <is>
          <t>991003235319702656</t>
        </is>
      </c>
      <c r="AY699" t="inlineStr">
        <is>
          <t>2267256190002656</t>
        </is>
      </c>
      <c r="AZ699" t="inlineStr">
        <is>
          <t>BOOK</t>
        </is>
      </c>
      <c r="BB699" t="inlineStr">
        <is>
          <t>9780893569785</t>
        </is>
      </c>
      <c r="BC699" t="inlineStr">
        <is>
          <t>32285003755146</t>
        </is>
      </c>
      <c r="BD699" t="inlineStr">
        <is>
          <t>893499083</t>
        </is>
      </c>
    </row>
    <row r="700">
      <c r="A700" t="inlineStr">
        <is>
          <t>No</t>
        </is>
      </c>
      <c r="B700" t="inlineStr">
        <is>
          <t>QH427 .E53 1999</t>
        </is>
      </c>
      <c r="C700" t="inlineStr">
        <is>
          <t>0                      QH 0427000E  53          1999</t>
        </is>
      </c>
      <c r="D700" t="inlineStr">
        <is>
          <t>Encyclopedia of genetics / editor, Jeffrey A. Knight ; project editor, Robert McClenaghan.</t>
        </is>
      </c>
      <c r="E700" t="inlineStr">
        <is>
          <t>V. 1</t>
        </is>
      </c>
      <c r="F700" t="inlineStr">
        <is>
          <t>Yes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L700" t="inlineStr">
        <is>
          <t>Pasadena, Calif. : Salem Press, c1999.</t>
        </is>
      </c>
      <c r="M700" t="inlineStr">
        <is>
          <t>1999</t>
        </is>
      </c>
      <c r="O700" t="inlineStr">
        <is>
          <t>eng</t>
        </is>
      </c>
      <c r="P700" t="inlineStr">
        <is>
          <t>cau</t>
        </is>
      </c>
      <c r="R700" t="inlineStr">
        <is>
          <t xml:space="preserve">QH </t>
        </is>
      </c>
      <c r="S700" t="n">
        <v>0</v>
      </c>
      <c r="T700" t="n">
        <v>2</v>
      </c>
      <c r="V700" t="inlineStr">
        <is>
          <t>2007-02-09</t>
        </is>
      </c>
      <c r="W700" t="inlineStr">
        <is>
          <t>2002-06-04</t>
        </is>
      </c>
      <c r="X700" t="inlineStr">
        <is>
          <t>2002-06-04</t>
        </is>
      </c>
      <c r="Y700" t="n">
        <v>611</v>
      </c>
      <c r="Z700" t="n">
        <v>564</v>
      </c>
      <c r="AA700" t="n">
        <v>1219</v>
      </c>
      <c r="AB700" t="n">
        <v>4</v>
      </c>
      <c r="AC700" t="n">
        <v>7</v>
      </c>
      <c r="AD700" t="n">
        <v>12</v>
      </c>
      <c r="AE700" t="n">
        <v>22</v>
      </c>
      <c r="AF700" t="n">
        <v>5</v>
      </c>
      <c r="AG700" t="n">
        <v>10</v>
      </c>
      <c r="AH700" t="n">
        <v>3</v>
      </c>
      <c r="AI700" t="n">
        <v>5</v>
      </c>
      <c r="AJ700" t="n">
        <v>7</v>
      </c>
      <c r="AK700" t="n">
        <v>11</v>
      </c>
      <c r="AL700" t="n">
        <v>1</v>
      </c>
      <c r="AM700" t="n">
        <v>3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HYPERLINK("http://catalog.hathitrust.org/Record/007972734","HathiTrust Record")</f>
        <v/>
      </c>
      <c r="AS700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700">
        <f>HYPERLINK("http://www.worldcat.org/oclc/40200215","WorldCat Record")</f>
        <v/>
      </c>
      <c r="AU700" t="inlineStr">
        <is>
          <t>56340231:eng</t>
        </is>
      </c>
      <c r="AV700" t="inlineStr">
        <is>
          <t>40200215</t>
        </is>
      </c>
      <c r="AW700" t="inlineStr">
        <is>
          <t>991003235319702656</t>
        </is>
      </c>
      <c r="AX700" t="inlineStr">
        <is>
          <t>991003235319702656</t>
        </is>
      </c>
      <c r="AY700" t="inlineStr">
        <is>
          <t>2267256190002656</t>
        </is>
      </c>
      <c r="AZ700" t="inlineStr">
        <is>
          <t>BOOK</t>
        </is>
      </c>
      <c r="BB700" t="inlineStr">
        <is>
          <t>9780893569785</t>
        </is>
      </c>
      <c r="BC700" t="inlineStr">
        <is>
          <t>32285003755138</t>
        </is>
      </c>
      <c r="BD700" t="inlineStr">
        <is>
          <t>893518276</t>
        </is>
      </c>
    </row>
    <row r="701">
      <c r="A701" t="inlineStr">
        <is>
          <t>No</t>
        </is>
      </c>
      <c r="B701" t="inlineStr">
        <is>
          <t>QH428 .B69 1989</t>
        </is>
      </c>
      <c r="C701" t="inlineStr">
        <is>
          <t>0                      QH 0428000B  69          1989</t>
        </is>
      </c>
      <c r="D701" t="inlineStr">
        <is>
          <t>The Mendelian revolution : the emergence of hereditarian concepts in modern science and society / Peter J. Bowler.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Bowler, Peter J.</t>
        </is>
      </c>
      <c r="L701" t="inlineStr">
        <is>
          <t>London : Athlone, 1989.</t>
        </is>
      </c>
      <c r="M701" t="inlineStr">
        <is>
          <t>1989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QH </t>
        </is>
      </c>
      <c r="S701" t="n">
        <v>14</v>
      </c>
      <c r="T701" t="n">
        <v>14</v>
      </c>
      <c r="U701" t="inlineStr">
        <is>
          <t>1998-02-12</t>
        </is>
      </c>
      <c r="V701" t="inlineStr">
        <is>
          <t>1998-02-12</t>
        </is>
      </c>
      <c r="W701" t="inlineStr">
        <is>
          <t>1990-01-18</t>
        </is>
      </c>
      <c r="X701" t="inlineStr">
        <is>
          <t>1990-01-18</t>
        </is>
      </c>
      <c r="Y701" t="n">
        <v>113</v>
      </c>
      <c r="Z701" t="n">
        <v>37</v>
      </c>
      <c r="AA701" t="n">
        <v>1004</v>
      </c>
      <c r="AB701" t="n">
        <v>1</v>
      </c>
      <c r="AC701" t="n">
        <v>7</v>
      </c>
      <c r="AD701" t="n">
        <v>1</v>
      </c>
      <c r="AE701" t="n">
        <v>33</v>
      </c>
      <c r="AF701" t="n">
        <v>0</v>
      </c>
      <c r="AG701" t="n">
        <v>13</v>
      </c>
      <c r="AH701" t="n">
        <v>1</v>
      </c>
      <c r="AI701" t="n">
        <v>9</v>
      </c>
      <c r="AJ701" t="n">
        <v>0</v>
      </c>
      <c r="AK701" t="n">
        <v>14</v>
      </c>
      <c r="AL701" t="n">
        <v>0</v>
      </c>
      <c r="AM701" t="n">
        <v>6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HYPERLINK("https://creighton-primo.hosted.exlibrisgroup.com/primo-explore/search?tab=default_tab&amp;search_scope=EVERYTHING&amp;vid=01CRU&amp;lang=en_US&amp;offset=0&amp;query=any,contains,991001492669702656","Catalog Record")</f>
        <v/>
      </c>
      <c r="AT701">
        <f>HYPERLINK("http://www.worldcat.org/oclc/21413787","WorldCat Record")</f>
        <v/>
      </c>
      <c r="AU701" t="inlineStr">
        <is>
          <t>836898371:eng</t>
        </is>
      </c>
      <c r="AV701" t="inlineStr">
        <is>
          <t>21413787</t>
        </is>
      </c>
      <c r="AW701" t="inlineStr">
        <is>
          <t>991001492669702656</t>
        </is>
      </c>
      <c r="AX701" t="inlineStr">
        <is>
          <t>991001492669702656</t>
        </is>
      </c>
      <c r="AY701" t="inlineStr">
        <is>
          <t>2259349980002656</t>
        </is>
      </c>
      <c r="AZ701" t="inlineStr">
        <is>
          <t>BOOK</t>
        </is>
      </c>
      <c r="BB701" t="inlineStr">
        <is>
          <t>9780485113754</t>
        </is>
      </c>
      <c r="BC701" t="inlineStr">
        <is>
          <t>32285000029453</t>
        </is>
      </c>
      <c r="BD701" t="inlineStr">
        <is>
          <t>893803642</t>
        </is>
      </c>
    </row>
    <row r="702">
      <c r="A702" t="inlineStr">
        <is>
          <t>No</t>
        </is>
      </c>
      <c r="B702" t="inlineStr">
        <is>
          <t>QH428 .B766 2001</t>
        </is>
      </c>
      <c r="C702" t="inlineStr">
        <is>
          <t>0                      QH 0428000B  766         2001</t>
        </is>
      </c>
      <c r="D702" t="inlineStr">
        <is>
          <t>Fly : the unsung hero of twentieth-century science / Martin Brookes.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Brookes, Martin, 1967-</t>
        </is>
      </c>
      <c r="L702" t="inlineStr">
        <is>
          <t>New York : Ecco, c2001.</t>
        </is>
      </c>
      <c r="M702" t="inlineStr">
        <is>
          <t>2001</t>
        </is>
      </c>
      <c r="N702" t="inlineStr">
        <is>
          <t>1st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QH </t>
        </is>
      </c>
      <c r="S702" t="n">
        <v>3</v>
      </c>
      <c r="T702" t="n">
        <v>3</v>
      </c>
      <c r="U702" t="inlineStr">
        <is>
          <t>2006-11-15</t>
        </is>
      </c>
      <c r="V702" t="inlineStr">
        <is>
          <t>2006-11-15</t>
        </is>
      </c>
      <c r="W702" t="inlineStr">
        <is>
          <t>2001-10-30</t>
        </is>
      </c>
      <c r="X702" t="inlineStr">
        <is>
          <t>2001-10-30</t>
        </is>
      </c>
      <c r="Y702" t="n">
        <v>485</v>
      </c>
      <c r="Z702" t="n">
        <v>461</v>
      </c>
      <c r="AA702" t="n">
        <v>467</v>
      </c>
      <c r="AB702" t="n">
        <v>4</v>
      </c>
      <c r="AC702" t="n">
        <v>4</v>
      </c>
      <c r="AD702" t="n">
        <v>15</v>
      </c>
      <c r="AE702" t="n">
        <v>15</v>
      </c>
      <c r="AF702" t="n">
        <v>5</v>
      </c>
      <c r="AG702" t="n">
        <v>5</v>
      </c>
      <c r="AH702" t="n">
        <v>3</v>
      </c>
      <c r="AI702" t="n">
        <v>3</v>
      </c>
      <c r="AJ702" t="n">
        <v>7</v>
      </c>
      <c r="AK702" t="n">
        <v>7</v>
      </c>
      <c r="AL702" t="n">
        <v>2</v>
      </c>
      <c r="AM702" t="n">
        <v>2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HYPERLINK("https://creighton-primo.hosted.exlibrisgroup.com/primo-explore/search?tab=default_tab&amp;search_scope=EVERYTHING&amp;vid=01CRU&amp;lang=en_US&amp;offset=0&amp;query=any,contains,991003639939702656","Catalog Record")</f>
        <v/>
      </c>
      <c r="AT702">
        <f>HYPERLINK("http://www.worldcat.org/oclc/46565106","WorldCat Record")</f>
        <v/>
      </c>
      <c r="AU702" t="inlineStr">
        <is>
          <t>3377169515:eng</t>
        </is>
      </c>
      <c r="AV702" t="inlineStr">
        <is>
          <t>46565106</t>
        </is>
      </c>
      <c r="AW702" t="inlineStr">
        <is>
          <t>991003639939702656</t>
        </is>
      </c>
      <c r="AX702" t="inlineStr">
        <is>
          <t>991003639939702656</t>
        </is>
      </c>
      <c r="AY702" t="inlineStr">
        <is>
          <t>2264051950002656</t>
        </is>
      </c>
      <c r="AZ702" t="inlineStr">
        <is>
          <t>BOOK</t>
        </is>
      </c>
      <c r="BB702" t="inlineStr">
        <is>
          <t>9780066212517</t>
        </is>
      </c>
      <c r="BC702" t="inlineStr">
        <is>
          <t>32285004416599</t>
        </is>
      </c>
      <c r="BD702" t="inlineStr">
        <is>
          <t>893429022</t>
        </is>
      </c>
    </row>
    <row r="703">
      <c r="A703" t="inlineStr">
        <is>
          <t>No</t>
        </is>
      </c>
      <c r="B703" t="inlineStr">
        <is>
          <t>QH428 .E53 2008</t>
        </is>
      </c>
      <c r="C703" t="inlineStr">
        <is>
          <t>0                      QH 0428000E  53          2008</t>
        </is>
      </c>
      <c r="D703" t="inlineStr">
        <is>
          <t>Ending the Mendel-Fisher controversy / Allan Franklin ... [et al.].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Pittsburgh, PA : University of Pittsburgh Press, c2008.</t>
        </is>
      </c>
      <c r="M703" t="inlineStr">
        <is>
          <t>2008</t>
        </is>
      </c>
      <c r="O703" t="inlineStr">
        <is>
          <t>eng</t>
        </is>
      </c>
      <c r="P703" t="inlineStr">
        <is>
          <t>pau</t>
        </is>
      </c>
      <c r="R703" t="inlineStr">
        <is>
          <t xml:space="preserve">QH </t>
        </is>
      </c>
      <c r="S703" t="n">
        <v>1</v>
      </c>
      <c r="T703" t="n">
        <v>1</v>
      </c>
      <c r="U703" t="inlineStr">
        <is>
          <t>2008-11-24</t>
        </is>
      </c>
      <c r="V703" t="inlineStr">
        <is>
          <t>2008-11-24</t>
        </is>
      </c>
      <c r="W703" t="inlineStr">
        <is>
          <t>2008-11-24</t>
        </is>
      </c>
      <c r="X703" t="inlineStr">
        <is>
          <t>2008-11-24</t>
        </is>
      </c>
      <c r="Y703" t="n">
        <v>260</v>
      </c>
      <c r="Z703" t="n">
        <v>210</v>
      </c>
      <c r="AA703" t="n">
        <v>424</v>
      </c>
      <c r="AB703" t="n">
        <v>2</v>
      </c>
      <c r="AC703" t="n">
        <v>3</v>
      </c>
      <c r="AD703" t="n">
        <v>10</v>
      </c>
      <c r="AE703" t="n">
        <v>23</v>
      </c>
      <c r="AF703" t="n">
        <v>4</v>
      </c>
      <c r="AG703" t="n">
        <v>10</v>
      </c>
      <c r="AH703" t="n">
        <v>2</v>
      </c>
      <c r="AI703" t="n">
        <v>5</v>
      </c>
      <c r="AJ703" t="n">
        <v>5</v>
      </c>
      <c r="AK703" t="n">
        <v>12</v>
      </c>
      <c r="AL703" t="n">
        <v>1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HYPERLINK("http://catalog.hathitrust.org/Record/005904248","HathiTrust Record")</f>
        <v/>
      </c>
      <c r="AS703">
        <f>HYPERLINK("https://creighton-primo.hosted.exlibrisgroup.com/primo-explore/search?tab=default_tab&amp;search_scope=EVERYTHING&amp;vid=01CRU&amp;lang=en_US&amp;offset=0&amp;query=any,contains,991005277769702656","Catalog Record")</f>
        <v/>
      </c>
      <c r="AT703">
        <f>HYPERLINK("http://www.worldcat.org/oclc/174094383","WorldCat Record")</f>
        <v/>
      </c>
      <c r="AU703" t="inlineStr">
        <is>
          <t>114613014:eng</t>
        </is>
      </c>
      <c r="AV703" t="inlineStr">
        <is>
          <t>174094383</t>
        </is>
      </c>
      <c r="AW703" t="inlineStr">
        <is>
          <t>991005277769702656</t>
        </is>
      </c>
      <c r="AX703" t="inlineStr">
        <is>
          <t>991005277769702656</t>
        </is>
      </c>
      <c r="AY703" t="inlineStr">
        <is>
          <t>2263282610002656</t>
        </is>
      </c>
      <c r="AZ703" t="inlineStr">
        <is>
          <t>BOOK</t>
        </is>
      </c>
      <c r="BB703" t="inlineStr">
        <is>
          <t>9780822943198</t>
        </is>
      </c>
      <c r="BC703" t="inlineStr">
        <is>
          <t>32285005468441</t>
        </is>
      </c>
      <c r="BD703" t="inlineStr">
        <is>
          <t>893902413</t>
        </is>
      </c>
    </row>
    <row r="704">
      <c r="A704" t="inlineStr">
        <is>
          <t>No</t>
        </is>
      </c>
      <c r="B704" t="inlineStr">
        <is>
          <t>QH428 .J313 1974b</t>
        </is>
      </c>
      <c r="C704" t="inlineStr">
        <is>
          <t>0                      QH 0428000J  313         1974b</t>
        </is>
      </c>
      <c r="D704" t="inlineStr">
        <is>
          <t>The logic of living systems : a history of heredity / [by] François Jacob ; translated [from the French] by Betty E. Spillmann.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Jacob, François, 1920-2013.</t>
        </is>
      </c>
      <c r="L704" t="inlineStr">
        <is>
          <t>London : Allen Lane, 1974.</t>
        </is>
      </c>
      <c r="M704" t="inlineStr">
        <is>
          <t>1974</t>
        </is>
      </c>
      <c r="O704" t="inlineStr">
        <is>
          <t>eng</t>
        </is>
      </c>
      <c r="P704" t="inlineStr">
        <is>
          <t>enk</t>
        </is>
      </c>
      <c r="R704" t="inlineStr">
        <is>
          <t xml:space="preserve">QH </t>
        </is>
      </c>
      <c r="S704" t="n">
        <v>4</v>
      </c>
      <c r="T704" t="n">
        <v>4</v>
      </c>
      <c r="U704" t="inlineStr">
        <is>
          <t>1994-11-09</t>
        </is>
      </c>
      <c r="V704" t="inlineStr">
        <is>
          <t>1994-11-09</t>
        </is>
      </c>
      <c r="W704" t="inlineStr">
        <is>
          <t>1991-01-11</t>
        </is>
      </c>
      <c r="X704" t="inlineStr">
        <is>
          <t>1991-01-11</t>
        </is>
      </c>
      <c r="Y704" t="n">
        <v>176</v>
      </c>
      <c r="Z704" t="n">
        <v>63</v>
      </c>
      <c r="AA704" t="n">
        <v>68</v>
      </c>
      <c r="AB704" t="n">
        <v>1</v>
      </c>
      <c r="AC704" t="n">
        <v>1</v>
      </c>
      <c r="AD704" t="n">
        <v>2</v>
      </c>
      <c r="AE704" t="n">
        <v>2</v>
      </c>
      <c r="AF704" t="n">
        <v>0</v>
      </c>
      <c r="AG704" t="n">
        <v>0</v>
      </c>
      <c r="AH704" t="n">
        <v>0</v>
      </c>
      <c r="AI704" t="n">
        <v>0</v>
      </c>
      <c r="AJ704" t="n">
        <v>2</v>
      </c>
      <c r="AK704" t="n">
        <v>2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HYPERLINK("https://creighton-primo.hosted.exlibrisgroup.com/primo-explore/search?tab=default_tab&amp;search_scope=EVERYTHING&amp;vid=01CRU&amp;lang=en_US&amp;offset=0&amp;query=any,contains,991004378199702656","Catalog Record")</f>
        <v/>
      </c>
      <c r="AT704">
        <f>HYPERLINK("http://www.worldcat.org/oclc/3207364","WorldCat Record")</f>
        <v/>
      </c>
      <c r="AU704" t="inlineStr">
        <is>
          <t>5090810352:eng</t>
        </is>
      </c>
      <c r="AV704" t="inlineStr">
        <is>
          <t>3207364</t>
        </is>
      </c>
      <c r="AW704" t="inlineStr">
        <is>
          <t>991004378199702656</t>
        </is>
      </c>
      <c r="AX704" t="inlineStr">
        <is>
          <t>991004378199702656</t>
        </is>
      </c>
      <c r="AY704" t="inlineStr">
        <is>
          <t>2272053890002656</t>
        </is>
      </c>
      <c r="AZ704" t="inlineStr">
        <is>
          <t>BOOK</t>
        </is>
      </c>
      <c r="BB704" t="inlineStr">
        <is>
          <t>9780713903607</t>
        </is>
      </c>
      <c r="BC704" t="inlineStr">
        <is>
          <t>32285000428002</t>
        </is>
      </c>
      <c r="BD704" t="inlineStr">
        <is>
          <t>893247519</t>
        </is>
      </c>
    </row>
    <row r="705">
      <c r="A705" t="inlineStr">
        <is>
          <t>No</t>
        </is>
      </c>
      <c r="B705" t="inlineStr">
        <is>
          <t>QH428 .K45 1995</t>
        </is>
      </c>
      <c r="C705" t="inlineStr">
        <is>
          <t>0                      QH 0428000K  45          1995</t>
        </is>
      </c>
      <c r="D705" t="inlineStr">
        <is>
          <t>Refiguring life : metaphors of twentieth-century biology / Evelyn Fox Keller.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Keller, Evelyn Fox, 1936-</t>
        </is>
      </c>
      <c r="L705" t="inlineStr">
        <is>
          <t>New York : Columbia University Press, c1995.</t>
        </is>
      </c>
      <c r="M705" t="inlineStr">
        <is>
          <t>1995</t>
        </is>
      </c>
      <c r="O705" t="inlineStr">
        <is>
          <t>eng</t>
        </is>
      </c>
      <c r="P705" t="inlineStr">
        <is>
          <t>nyu</t>
        </is>
      </c>
      <c r="Q705" t="inlineStr">
        <is>
          <t>The Wellek Library lectures series at the University of California, Irvine</t>
        </is>
      </c>
      <c r="R705" t="inlineStr">
        <is>
          <t xml:space="preserve">QH </t>
        </is>
      </c>
      <c r="S705" t="n">
        <v>3</v>
      </c>
      <c r="T705" t="n">
        <v>3</v>
      </c>
      <c r="U705" t="inlineStr">
        <is>
          <t>1997-01-30</t>
        </is>
      </c>
      <c r="V705" t="inlineStr">
        <is>
          <t>1997-01-30</t>
        </is>
      </c>
      <c r="W705" t="inlineStr">
        <is>
          <t>1996-02-14</t>
        </is>
      </c>
      <c r="X705" t="inlineStr">
        <is>
          <t>1996-02-14</t>
        </is>
      </c>
      <c r="Y705" t="n">
        <v>693</v>
      </c>
      <c r="Z705" t="n">
        <v>564</v>
      </c>
      <c r="AA705" t="n">
        <v>568</v>
      </c>
      <c r="AB705" t="n">
        <v>7</v>
      </c>
      <c r="AC705" t="n">
        <v>7</v>
      </c>
      <c r="AD705" t="n">
        <v>28</v>
      </c>
      <c r="AE705" t="n">
        <v>29</v>
      </c>
      <c r="AF705" t="n">
        <v>9</v>
      </c>
      <c r="AG705" t="n">
        <v>9</v>
      </c>
      <c r="AH705" t="n">
        <v>5</v>
      </c>
      <c r="AI705" t="n">
        <v>5</v>
      </c>
      <c r="AJ705" t="n">
        <v>16</v>
      </c>
      <c r="AK705" t="n">
        <v>17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S705">
        <f>HYPERLINK("https://creighton-primo.hosted.exlibrisgroup.com/primo-explore/search?tab=default_tab&amp;search_scope=EVERYTHING&amp;vid=01CRU&amp;lang=en_US&amp;offset=0&amp;query=any,contains,991002424659702656","Catalog Record")</f>
        <v/>
      </c>
      <c r="AT705">
        <f>HYPERLINK("http://www.worldcat.org/oclc/31606662","WorldCat Record")</f>
        <v/>
      </c>
      <c r="AU705" t="inlineStr">
        <is>
          <t>27154869:eng</t>
        </is>
      </c>
      <c r="AV705" t="inlineStr">
        <is>
          <t>31606662</t>
        </is>
      </c>
      <c r="AW705" t="inlineStr">
        <is>
          <t>991002424659702656</t>
        </is>
      </c>
      <c r="AX705" t="inlineStr">
        <is>
          <t>991002424659702656</t>
        </is>
      </c>
      <c r="AY705" t="inlineStr">
        <is>
          <t>2262519050002656</t>
        </is>
      </c>
      <c r="AZ705" t="inlineStr">
        <is>
          <t>BOOK</t>
        </is>
      </c>
      <c r="BB705" t="inlineStr">
        <is>
          <t>9780231102049</t>
        </is>
      </c>
      <c r="BC705" t="inlineStr">
        <is>
          <t>32285002135506</t>
        </is>
      </c>
      <c r="BD705" t="inlineStr">
        <is>
          <t>893433866</t>
        </is>
      </c>
    </row>
    <row r="706">
      <c r="A706" t="inlineStr">
        <is>
          <t>No</t>
        </is>
      </c>
      <c r="B706" t="inlineStr">
        <is>
          <t>QH428 .K56 1994</t>
        </is>
      </c>
      <c r="C706" t="inlineStr">
        <is>
          <t>0                      QH 0428000K  56          1994</t>
        </is>
      </c>
      <c r="D706" t="inlineStr">
        <is>
          <t>Explaining scientific consensus : the case of Mendelian genetics / Kyung-Man Kim ; foreword by Donald T. Campbell ; commentaries by Robert Olby and Nils Roll-Hansen.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Kim, Kyung-Man, 1958-</t>
        </is>
      </c>
      <c r="L706" t="inlineStr">
        <is>
          <t>New York : Guilford Press, c1994.</t>
        </is>
      </c>
      <c r="M706" t="inlineStr">
        <is>
          <t>1994</t>
        </is>
      </c>
      <c r="O706" t="inlineStr">
        <is>
          <t>eng</t>
        </is>
      </c>
      <c r="P706" t="inlineStr">
        <is>
          <t>nyu</t>
        </is>
      </c>
      <c r="Q706" t="inlineStr">
        <is>
          <t>The Conduct of science series</t>
        </is>
      </c>
      <c r="R706" t="inlineStr">
        <is>
          <t xml:space="preserve">QH </t>
        </is>
      </c>
      <c r="S706" t="n">
        <v>2</v>
      </c>
      <c r="T706" t="n">
        <v>2</v>
      </c>
      <c r="U706" t="inlineStr">
        <is>
          <t>2006-12-15</t>
        </is>
      </c>
      <c r="V706" t="inlineStr">
        <is>
          <t>2006-12-15</t>
        </is>
      </c>
      <c r="W706" t="inlineStr">
        <is>
          <t>1994-07-29</t>
        </is>
      </c>
      <c r="X706" t="inlineStr">
        <is>
          <t>1994-07-29</t>
        </is>
      </c>
      <c r="Y706" t="n">
        <v>225</v>
      </c>
      <c r="Z706" t="n">
        <v>182</v>
      </c>
      <c r="AA706" t="n">
        <v>183</v>
      </c>
      <c r="AB706" t="n">
        <v>1</v>
      </c>
      <c r="AC706" t="n">
        <v>1</v>
      </c>
      <c r="AD706" t="n">
        <v>6</v>
      </c>
      <c r="AE706" t="n">
        <v>6</v>
      </c>
      <c r="AF706" t="n">
        <v>1</v>
      </c>
      <c r="AG706" t="n">
        <v>1</v>
      </c>
      <c r="AH706" t="n">
        <v>2</v>
      </c>
      <c r="AI706" t="n">
        <v>2</v>
      </c>
      <c r="AJ706" t="n">
        <v>6</v>
      </c>
      <c r="AK706" t="n">
        <v>6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S706">
        <f>HYPERLINK("https://creighton-primo.hosted.exlibrisgroup.com/primo-explore/search?tab=default_tab&amp;search_scope=EVERYTHING&amp;vid=01CRU&amp;lang=en_US&amp;offset=0&amp;query=any,contains,991002322499702656","Catalog Record")</f>
        <v/>
      </c>
      <c r="AT706">
        <f>HYPERLINK("http://www.worldcat.org/oclc/30110993","WorldCat Record")</f>
        <v/>
      </c>
      <c r="AU706" t="inlineStr">
        <is>
          <t>355795798:eng</t>
        </is>
      </c>
      <c r="AV706" t="inlineStr">
        <is>
          <t>30110993</t>
        </is>
      </c>
      <c r="AW706" t="inlineStr">
        <is>
          <t>991002322499702656</t>
        </is>
      </c>
      <c r="AX706" t="inlineStr">
        <is>
          <t>991002322499702656</t>
        </is>
      </c>
      <c r="AY706" t="inlineStr">
        <is>
          <t>2255758010002656</t>
        </is>
      </c>
      <c r="AZ706" t="inlineStr">
        <is>
          <t>BOOK</t>
        </is>
      </c>
      <c r="BB706" t="inlineStr">
        <is>
          <t>9780898620887</t>
        </is>
      </c>
      <c r="BC706" t="inlineStr">
        <is>
          <t>32285001934560</t>
        </is>
      </c>
      <c r="BD706" t="inlineStr">
        <is>
          <t>893710145</t>
        </is>
      </c>
    </row>
    <row r="707">
      <c r="A707" t="inlineStr">
        <is>
          <t>No</t>
        </is>
      </c>
      <c r="B707" t="inlineStr">
        <is>
          <t>QH428 .O43 1985</t>
        </is>
      </c>
      <c r="C707" t="inlineStr">
        <is>
          <t>0                      QH 0428000O  43          1985</t>
        </is>
      </c>
      <c r="D707" t="inlineStr">
        <is>
          <t>Origins of Mendelism / Robert Olby.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Olby, Robert C. (Robert Cecil)</t>
        </is>
      </c>
      <c r="L707" t="inlineStr">
        <is>
          <t>Chicago : University of Chicago Press, 1985.</t>
        </is>
      </c>
      <c r="M707" t="inlineStr">
        <is>
          <t>1985</t>
        </is>
      </c>
      <c r="N707" t="inlineStr">
        <is>
          <t>2nd ed.</t>
        </is>
      </c>
      <c r="O707" t="inlineStr">
        <is>
          <t>eng</t>
        </is>
      </c>
      <c r="P707" t="inlineStr">
        <is>
          <t>ilu</t>
        </is>
      </c>
      <c r="R707" t="inlineStr">
        <is>
          <t xml:space="preserve">QH </t>
        </is>
      </c>
      <c r="S707" t="n">
        <v>14</v>
      </c>
      <c r="T707" t="n">
        <v>14</v>
      </c>
      <c r="U707" t="inlineStr">
        <is>
          <t>1998-02-12</t>
        </is>
      </c>
      <c r="V707" t="inlineStr">
        <is>
          <t>1998-02-12</t>
        </is>
      </c>
      <c r="W707" t="inlineStr">
        <is>
          <t>1991-02-14</t>
        </is>
      </c>
      <c r="X707" t="inlineStr">
        <is>
          <t>1991-02-14</t>
        </is>
      </c>
      <c r="Y707" t="n">
        <v>380</v>
      </c>
      <c r="Z707" t="n">
        <v>307</v>
      </c>
      <c r="AA707" t="n">
        <v>787</v>
      </c>
      <c r="AB707" t="n">
        <v>4</v>
      </c>
      <c r="AC707" t="n">
        <v>9</v>
      </c>
      <c r="AD707" t="n">
        <v>11</v>
      </c>
      <c r="AE707" t="n">
        <v>37</v>
      </c>
      <c r="AF707" t="n">
        <v>2</v>
      </c>
      <c r="AG707" t="n">
        <v>15</v>
      </c>
      <c r="AH707" t="n">
        <v>2</v>
      </c>
      <c r="AI707" t="n">
        <v>5</v>
      </c>
      <c r="AJ707" t="n">
        <v>5</v>
      </c>
      <c r="AK707" t="n">
        <v>16</v>
      </c>
      <c r="AL707" t="n">
        <v>3</v>
      </c>
      <c r="AM707" t="n">
        <v>8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HYPERLINK("https://creighton-primo.hosted.exlibrisgroup.com/primo-explore/search?tab=default_tab&amp;search_scope=EVERYTHING&amp;vid=01CRU&amp;lang=en_US&amp;offset=0&amp;query=any,contains,991000398039702656","Catalog Record")</f>
        <v/>
      </c>
      <c r="AT707">
        <f>HYPERLINK("http://www.worldcat.org/oclc/10605137","WorldCat Record")</f>
        <v/>
      </c>
      <c r="AU707" t="inlineStr">
        <is>
          <t>1784432:eng</t>
        </is>
      </c>
      <c r="AV707" t="inlineStr">
        <is>
          <t>10605137</t>
        </is>
      </c>
      <c r="AW707" t="inlineStr">
        <is>
          <t>991000398039702656</t>
        </is>
      </c>
      <c r="AX707" t="inlineStr">
        <is>
          <t>991000398039702656</t>
        </is>
      </c>
      <c r="AY707" t="inlineStr">
        <is>
          <t>2258887560002656</t>
        </is>
      </c>
      <c r="AZ707" t="inlineStr">
        <is>
          <t>BOOK</t>
        </is>
      </c>
      <c r="BB707" t="inlineStr">
        <is>
          <t>9780226625911</t>
        </is>
      </c>
      <c r="BC707" t="inlineStr">
        <is>
          <t>32285000464676</t>
        </is>
      </c>
      <c r="BD707" t="inlineStr">
        <is>
          <t>893407141</t>
        </is>
      </c>
    </row>
    <row r="708">
      <c r="A708" t="inlineStr">
        <is>
          <t>No</t>
        </is>
      </c>
      <c r="B708" t="inlineStr">
        <is>
          <t>QH429.2.B37 B37 2003</t>
        </is>
      </c>
      <c r="C708" t="inlineStr">
        <is>
          <t>0                      QH 0429200B  37                 B  37          2003</t>
        </is>
      </c>
      <c r="D708" t="inlineStr">
        <is>
          <t>George Beadle, an uncommon farmer : the emergence of genetics in the 20th century / Paul Berg, Maxine Singer.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Berg, Paul.</t>
        </is>
      </c>
      <c r="L708" t="inlineStr">
        <is>
          <t>Cold Spring Harbor, N.Y. : Cold Spring Harbor Laboratory Press, c2003.</t>
        </is>
      </c>
      <c r="M708" t="inlineStr">
        <is>
          <t>2003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QH </t>
        </is>
      </c>
      <c r="S708" t="n">
        <v>3</v>
      </c>
      <c r="T708" t="n">
        <v>3</v>
      </c>
      <c r="U708" t="inlineStr">
        <is>
          <t>2005-05-17</t>
        </is>
      </c>
      <c r="V708" t="inlineStr">
        <is>
          <t>2005-05-17</t>
        </is>
      </c>
      <c r="W708" t="inlineStr">
        <is>
          <t>2005-05-17</t>
        </is>
      </c>
      <c r="X708" t="inlineStr">
        <is>
          <t>2005-05-17</t>
        </is>
      </c>
      <c r="Y708" t="n">
        <v>535</v>
      </c>
      <c r="Z708" t="n">
        <v>450</v>
      </c>
      <c r="AA708" t="n">
        <v>457</v>
      </c>
      <c r="AB708" t="n">
        <v>14</v>
      </c>
      <c r="AC708" t="n">
        <v>14</v>
      </c>
      <c r="AD708" t="n">
        <v>34</v>
      </c>
      <c r="AE708" t="n">
        <v>34</v>
      </c>
      <c r="AF708" t="n">
        <v>11</v>
      </c>
      <c r="AG708" t="n">
        <v>11</v>
      </c>
      <c r="AH708" t="n">
        <v>6</v>
      </c>
      <c r="AI708" t="n">
        <v>6</v>
      </c>
      <c r="AJ708" t="n">
        <v>16</v>
      </c>
      <c r="AK708" t="n">
        <v>16</v>
      </c>
      <c r="AL708" t="n">
        <v>8</v>
      </c>
      <c r="AM708" t="n">
        <v>8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HYPERLINK("https://creighton-primo.hosted.exlibrisgroup.com/primo-explore/search?tab=default_tab&amp;search_scope=EVERYTHING&amp;vid=01CRU&amp;lang=en_US&amp;offset=0&amp;query=any,contains,991004537699702656","Catalog Record")</f>
        <v/>
      </c>
      <c r="AT708">
        <f>HYPERLINK("http://www.worldcat.org/oclc/52182634","WorldCat Record")</f>
        <v/>
      </c>
      <c r="AU708" t="inlineStr">
        <is>
          <t>838904299:eng</t>
        </is>
      </c>
      <c r="AV708" t="inlineStr">
        <is>
          <t>52182634</t>
        </is>
      </c>
      <c r="AW708" t="inlineStr">
        <is>
          <t>991004537699702656</t>
        </is>
      </c>
      <c r="AX708" t="inlineStr">
        <is>
          <t>991004537699702656</t>
        </is>
      </c>
      <c r="AY708" t="inlineStr">
        <is>
          <t>2260741700002656</t>
        </is>
      </c>
      <c r="AZ708" t="inlineStr">
        <is>
          <t>BOOK</t>
        </is>
      </c>
      <c r="BB708" t="inlineStr">
        <is>
          <t>9780879696887</t>
        </is>
      </c>
      <c r="BC708" t="inlineStr">
        <is>
          <t>32285005038269</t>
        </is>
      </c>
      <c r="BD708" t="inlineStr">
        <is>
          <t>893325486</t>
        </is>
      </c>
    </row>
    <row r="709">
      <c r="A709" t="inlineStr">
        <is>
          <t>No</t>
        </is>
      </c>
      <c r="B709" t="inlineStr">
        <is>
          <t>QH429.2.J33 A3 1988</t>
        </is>
      </c>
      <c r="C709" t="inlineStr">
        <is>
          <t>0                      QH 0429200J  33                 A  3           1988</t>
        </is>
      </c>
      <c r="D709" t="inlineStr">
        <is>
          <t>The statue within : an autobiography / François Jacob ; translated by Franklin Philip.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Jacob, François, 1920-2013.</t>
        </is>
      </c>
      <c r="L709" t="inlineStr">
        <is>
          <t>New York : Basic Books, 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Alfred P. Sloan Foundation series</t>
        </is>
      </c>
      <c r="R709" t="inlineStr">
        <is>
          <t xml:space="preserve">QH </t>
        </is>
      </c>
      <c r="S709" t="n">
        <v>4</v>
      </c>
      <c r="T709" t="n">
        <v>4</v>
      </c>
      <c r="U709" t="inlineStr">
        <is>
          <t>2005-11-04</t>
        </is>
      </c>
      <c r="V709" t="inlineStr">
        <is>
          <t>2005-11-04</t>
        </is>
      </c>
      <c r="W709" t="inlineStr">
        <is>
          <t>1993-04-05</t>
        </is>
      </c>
      <c r="X709" t="inlineStr">
        <is>
          <t>1993-04-05</t>
        </is>
      </c>
      <c r="Y709" t="n">
        <v>729</v>
      </c>
      <c r="Z709" t="n">
        <v>650</v>
      </c>
      <c r="AA709" t="n">
        <v>699</v>
      </c>
      <c r="AB709" t="n">
        <v>6</v>
      </c>
      <c r="AC709" t="n">
        <v>6</v>
      </c>
      <c r="AD709" t="n">
        <v>27</v>
      </c>
      <c r="AE709" t="n">
        <v>28</v>
      </c>
      <c r="AF709" t="n">
        <v>8</v>
      </c>
      <c r="AG709" t="n">
        <v>9</v>
      </c>
      <c r="AH709" t="n">
        <v>5</v>
      </c>
      <c r="AI709" t="n">
        <v>5</v>
      </c>
      <c r="AJ709" t="n">
        <v>14</v>
      </c>
      <c r="AK709" t="n">
        <v>14</v>
      </c>
      <c r="AL709" t="n">
        <v>4</v>
      </c>
      <c r="AM709" t="n">
        <v>4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HYPERLINK("http://catalog.hathitrust.org/Record/000879914","HathiTrust Record")</f>
        <v/>
      </c>
      <c r="AS709">
        <f>HYPERLINK("https://creighton-primo.hosted.exlibrisgroup.com/primo-explore/search?tab=default_tab&amp;search_scope=EVERYTHING&amp;vid=01CRU&amp;lang=en_US&amp;offset=0&amp;query=any,contains,991001205509702656","Catalog Record")</f>
        <v/>
      </c>
      <c r="AT709">
        <f>HYPERLINK("http://www.worldcat.org/oclc/17353378","WorldCat Record")</f>
        <v/>
      </c>
      <c r="AU709" t="inlineStr">
        <is>
          <t>15438806:eng</t>
        </is>
      </c>
      <c r="AV709" t="inlineStr">
        <is>
          <t>17353378</t>
        </is>
      </c>
      <c r="AW709" t="inlineStr">
        <is>
          <t>991001205509702656</t>
        </is>
      </c>
      <c r="AX709" t="inlineStr">
        <is>
          <t>991001205509702656</t>
        </is>
      </c>
      <c r="AY709" t="inlineStr">
        <is>
          <t>2265471210002656</t>
        </is>
      </c>
      <c r="AZ709" t="inlineStr">
        <is>
          <t>BOOK</t>
        </is>
      </c>
      <c r="BB709" t="inlineStr">
        <is>
          <t>9780465082230</t>
        </is>
      </c>
      <c r="BC709" t="inlineStr">
        <is>
          <t>32285001554442</t>
        </is>
      </c>
      <c r="BD709" t="inlineStr">
        <is>
          <t>893426419</t>
        </is>
      </c>
    </row>
    <row r="710">
      <c r="A710" t="inlineStr">
        <is>
          <t>No</t>
        </is>
      </c>
      <c r="B710" t="inlineStr">
        <is>
          <t>QH429.2.M67 A44</t>
        </is>
      </c>
      <c r="C710" t="inlineStr">
        <is>
          <t>0                      QH 0429200M  67                 A  44</t>
        </is>
      </c>
      <c r="D710" t="inlineStr">
        <is>
          <t>Thomas Hunt Morgan : the man and his science / Garland E. Allen.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Allen, Garland E.</t>
        </is>
      </c>
      <c r="L710" t="inlineStr">
        <is>
          <t>Princeton, N.J. : Princeton University Press, c1978.</t>
        </is>
      </c>
      <c r="M710" t="inlineStr">
        <is>
          <t>1978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QH </t>
        </is>
      </c>
      <c r="S710" t="n">
        <v>3</v>
      </c>
      <c r="T710" t="n">
        <v>3</v>
      </c>
      <c r="U710" t="inlineStr">
        <is>
          <t>1995-04-05</t>
        </is>
      </c>
      <c r="V710" t="inlineStr">
        <is>
          <t>1995-04-05</t>
        </is>
      </c>
      <c r="W710" t="inlineStr">
        <is>
          <t>1993-04-05</t>
        </is>
      </c>
      <c r="X710" t="inlineStr">
        <is>
          <t>1993-04-05</t>
        </is>
      </c>
      <c r="Y710" t="n">
        <v>531</v>
      </c>
      <c r="Z710" t="n">
        <v>422</v>
      </c>
      <c r="AA710" t="n">
        <v>423</v>
      </c>
      <c r="AB710" t="n">
        <v>3</v>
      </c>
      <c r="AC710" t="n">
        <v>3</v>
      </c>
      <c r="AD710" t="n">
        <v>14</v>
      </c>
      <c r="AE710" t="n">
        <v>14</v>
      </c>
      <c r="AF710" t="n">
        <v>3</v>
      </c>
      <c r="AG710" t="n">
        <v>3</v>
      </c>
      <c r="AH710" t="n">
        <v>7</v>
      </c>
      <c r="AI710" t="n">
        <v>7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HYPERLINK("http://catalog.hathitrust.org/Record/000697753","HathiTrust Record")</f>
        <v/>
      </c>
      <c r="AS710">
        <f>HYPERLINK("https://creighton-primo.hosted.exlibrisgroup.com/primo-explore/search?tab=default_tab&amp;search_scope=EVERYTHING&amp;vid=01CRU&amp;lang=en_US&amp;offset=0&amp;query=any,contains,991004499569702656","Catalog Record")</f>
        <v/>
      </c>
      <c r="AT710">
        <f>HYPERLINK("http://www.worldcat.org/oclc/3710729","WorldCat Record")</f>
        <v/>
      </c>
      <c r="AU710" t="inlineStr">
        <is>
          <t>796032395:eng</t>
        </is>
      </c>
      <c r="AV710" t="inlineStr">
        <is>
          <t>3710729</t>
        </is>
      </c>
      <c r="AW710" t="inlineStr">
        <is>
          <t>991004499569702656</t>
        </is>
      </c>
      <c r="AX710" t="inlineStr">
        <is>
          <t>991004499569702656</t>
        </is>
      </c>
      <c r="AY710" t="inlineStr">
        <is>
          <t>2263892840002656</t>
        </is>
      </c>
      <c r="AZ710" t="inlineStr">
        <is>
          <t>BOOK</t>
        </is>
      </c>
      <c r="BB710" t="inlineStr">
        <is>
          <t>9780691082004</t>
        </is>
      </c>
      <c r="BC710" t="inlineStr">
        <is>
          <t>32285001554459</t>
        </is>
      </c>
      <c r="BD710" t="inlineStr">
        <is>
          <t>893882531</t>
        </is>
      </c>
    </row>
    <row r="711">
      <c r="A711" t="inlineStr">
        <is>
          <t>No</t>
        </is>
      </c>
      <c r="B711" t="inlineStr">
        <is>
          <t>QH430 .E95</t>
        </is>
      </c>
      <c r="C711" t="inlineStr">
        <is>
          <t>0                      QH 0430000E  95</t>
        </is>
      </c>
      <c r="D711" t="inlineStr">
        <is>
          <t>Evolutionary genetics / edited by D. L. Jameson. --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L711" t="inlineStr">
        <is>
          <t>Stroudsburg, Pa. : Dowden, Hutchinson &amp; Ross ; [New York] : Distributed by Academic Press, c1977.</t>
        </is>
      </c>
      <c r="M711" t="inlineStr">
        <is>
          <t>1977</t>
        </is>
      </c>
      <c r="O711" t="inlineStr">
        <is>
          <t>eng</t>
        </is>
      </c>
      <c r="P711" t="inlineStr">
        <is>
          <t>pau</t>
        </is>
      </c>
      <c r="Q711" t="inlineStr">
        <is>
          <t>Benchmark papers in genetics ; v. 8</t>
        </is>
      </c>
      <c r="R711" t="inlineStr">
        <is>
          <t xml:space="preserve">QH </t>
        </is>
      </c>
      <c r="S711" t="n">
        <v>3</v>
      </c>
      <c r="T711" t="n">
        <v>3</v>
      </c>
      <c r="U711" t="inlineStr">
        <is>
          <t>1994-09-10</t>
        </is>
      </c>
      <c r="V711" t="inlineStr">
        <is>
          <t>1994-09-10</t>
        </is>
      </c>
      <c r="W711" t="inlineStr">
        <is>
          <t>1993-04-05</t>
        </is>
      </c>
      <c r="X711" t="inlineStr">
        <is>
          <t>1993-04-05</t>
        </is>
      </c>
      <c r="Y711" t="n">
        <v>315</v>
      </c>
      <c r="Z711" t="n">
        <v>234</v>
      </c>
      <c r="AA711" t="n">
        <v>235</v>
      </c>
      <c r="AB711" t="n">
        <v>3</v>
      </c>
      <c r="AC711" t="n">
        <v>3</v>
      </c>
      <c r="AD711" t="n">
        <v>5</v>
      </c>
      <c r="AE711" t="n">
        <v>5</v>
      </c>
      <c r="AF711" t="n">
        <v>1</v>
      </c>
      <c r="AG711" t="n">
        <v>1</v>
      </c>
      <c r="AH711" t="n">
        <v>1</v>
      </c>
      <c r="AI711" t="n">
        <v>1</v>
      </c>
      <c r="AJ711" t="n">
        <v>2</v>
      </c>
      <c r="AK711" t="n">
        <v>2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HYPERLINK("https://creighton-primo.hosted.exlibrisgroup.com/primo-explore/search?tab=default_tab&amp;search_scope=EVERYTHING&amp;vid=01CRU&amp;lang=en_US&amp;offset=0&amp;query=any,contains,991004295729702656","Catalog Record")</f>
        <v/>
      </c>
      <c r="AT711">
        <f>HYPERLINK("http://www.worldcat.org/oclc/2963933","WorldCat Record")</f>
        <v/>
      </c>
      <c r="AU711" t="inlineStr">
        <is>
          <t>365125008:eng</t>
        </is>
      </c>
      <c r="AV711" t="inlineStr">
        <is>
          <t>2963933</t>
        </is>
      </c>
      <c r="AW711" t="inlineStr">
        <is>
          <t>991004295729702656</t>
        </is>
      </c>
      <c r="AX711" t="inlineStr">
        <is>
          <t>991004295729702656</t>
        </is>
      </c>
      <c r="AY711" t="inlineStr">
        <is>
          <t>2271181920002656</t>
        </is>
      </c>
      <c r="AZ711" t="inlineStr">
        <is>
          <t>BOOK</t>
        </is>
      </c>
      <c r="BB711" t="inlineStr">
        <is>
          <t>9780879332952</t>
        </is>
      </c>
      <c r="BC711" t="inlineStr">
        <is>
          <t>32285001554483</t>
        </is>
      </c>
      <c r="BD711" t="inlineStr">
        <is>
          <t>893349833</t>
        </is>
      </c>
    </row>
    <row r="712">
      <c r="A712" t="inlineStr">
        <is>
          <t>No</t>
        </is>
      </c>
      <c r="B712" t="inlineStr">
        <is>
          <t>QH430 .G37 1984</t>
        </is>
      </c>
      <c r="C712" t="inlineStr">
        <is>
          <t>0                      QH 0430000G  37          1984</t>
        </is>
      </c>
      <c r="D712" t="inlineStr">
        <is>
          <t>Principles of genetics / Eldon J. Gardner, D. Peter Snustad.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Yes</t>
        </is>
      </c>
      <c r="J712" t="inlineStr">
        <is>
          <t>0</t>
        </is>
      </c>
      <c r="K712" t="inlineStr">
        <is>
          <t>Gardner, Eldon J. (Eldon John), 1909-1989.</t>
        </is>
      </c>
      <c r="L712" t="inlineStr">
        <is>
          <t>New York : Wiley, c1984.</t>
        </is>
      </c>
      <c r="M712" t="inlineStr">
        <is>
          <t>1984</t>
        </is>
      </c>
      <c r="N712" t="inlineStr">
        <is>
          <t>7th ed.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QH </t>
        </is>
      </c>
      <c r="S712" t="n">
        <v>33</v>
      </c>
      <c r="T712" t="n">
        <v>33</v>
      </c>
      <c r="U712" t="inlineStr">
        <is>
          <t>2008-10-21</t>
        </is>
      </c>
      <c r="V712" t="inlineStr">
        <is>
          <t>2008-10-21</t>
        </is>
      </c>
      <c r="W712" t="inlineStr">
        <is>
          <t>1990-02-05</t>
        </is>
      </c>
      <c r="X712" t="inlineStr">
        <is>
          <t>1990-02-05</t>
        </is>
      </c>
      <c r="Y712" t="n">
        <v>330</v>
      </c>
      <c r="Z712" t="n">
        <v>232</v>
      </c>
      <c r="AA712" t="n">
        <v>1282</v>
      </c>
      <c r="AB712" t="n">
        <v>1</v>
      </c>
      <c r="AC712" t="n">
        <v>12</v>
      </c>
      <c r="AD712" t="n">
        <v>2</v>
      </c>
      <c r="AE712" t="n">
        <v>36</v>
      </c>
      <c r="AF712" t="n">
        <v>1</v>
      </c>
      <c r="AG712" t="n">
        <v>13</v>
      </c>
      <c r="AH712" t="n">
        <v>1</v>
      </c>
      <c r="AI712" t="n">
        <v>7</v>
      </c>
      <c r="AJ712" t="n">
        <v>2</v>
      </c>
      <c r="AK712" t="n">
        <v>14</v>
      </c>
      <c r="AL712" t="n">
        <v>0</v>
      </c>
      <c r="AM712" t="n">
        <v>9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HYPERLINK("http://catalog.hathitrust.org/Record/000243584","HathiTrust Record")</f>
        <v/>
      </c>
      <c r="AS712">
        <f>HYPERLINK("https://creighton-primo.hosted.exlibrisgroup.com/primo-explore/search?tab=default_tab&amp;search_scope=EVERYTHING&amp;vid=01CRU&amp;lang=en_US&amp;offset=0&amp;query=any,contains,991000307349702656","Catalog Record")</f>
        <v/>
      </c>
      <c r="AT712">
        <f>HYPERLINK("http://www.worldcat.org/oclc/10072342","WorldCat Record")</f>
        <v/>
      </c>
      <c r="AU712" t="inlineStr">
        <is>
          <t>844653:eng</t>
        </is>
      </c>
      <c r="AV712" t="inlineStr">
        <is>
          <t>10072342</t>
        </is>
      </c>
      <c r="AW712" t="inlineStr">
        <is>
          <t>991000307349702656</t>
        </is>
      </c>
      <c r="AX712" t="inlineStr">
        <is>
          <t>991000307349702656</t>
        </is>
      </c>
      <c r="AY712" t="inlineStr">
        <is>
          <t>2264776910002656</t>
        </is>
      </c>
      <c r="AZ712" t="inlineStr">
        <is>
          <t>BOOK</t>
        </is>
      </c>
      <c r="BB712" t="inlineStr">
        <is>
          <t>9780471876106</t>
        </is>
      </c>
      <c r="BC712" t="inlineStr">
        <is>
          <t>32285000032788</t>
        </is>
      </c>
      <c r="BD712" t="inlineStr">
        <is>
          <t>893431846</t>
        </is>
      </c>
    </row>
    <row r="713">
      <c r="A713" t="inlineStr">
        <is>
          <t>No</t>
        </is>
      </c>
      <c r="B713" t="inlineStr">
        <is>
          <t>QH430 .G455 1987</t>
        </is>
      </c>
      <c r="C713" t="inlineStr">
        <is>
          <t>0                      QH 0430000G  455         1987</t>
        </is>
      </c>
      <c r="D713" t="inlineStr">
        <is>
          <t>Genes / Benjamin Lewin.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Yes</t>
        </is>
      </c>
      <c r="J713" t="inlineStr">
        <is>
          <t>0</t>
        </is>
      </c>
      <c r="L713" t="inlineStr">
        <is>
          <t>New York : Wiley, c1987.</t>
        </is>
      </c>
      <c r="M713" t="inlineStr">
        <is>
          <t>1987</t>
        </is>
      </c>
      <c r="N713" t="inlineStr">
        <is>
          <t>3rd ed.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QH </t>
        </is>
      </c>
      <c r="S713" t="n">
        <v>21</v>
      </c>
      <c r="T713" t="n">
        <v>21</v>
      </c>
      <c r="U713" t="inlineStr">
        <is>
          <t>2007-09-12</t>
        </is>
      </c>
      <c r="V713" t="inlineStr">
        <is>
          <t>2007-09-12</t>
        </is>
      </c>
      <c r="W713" t="inlineStr">
        <is>
          <t>1990-02-05</t>
        </is>
      </c>
      <c r="X713" t="inlineStr">
        <is>
          <t>1990-02-05</t>
        </is>
      </c>
      <c r="Y713" t="n">
        <v>560</v>
      </c>
      <c r="Z713" t="n">
        <v>418</v>
      </c>
      <c r="AA713" t="n">
        <v>798</v>
      </c>
      <c r="AB713" t="n">
        <v>3</v>
      </c>
      <c r="AC713" t="n">
        <v>7</v>
      </c>
      <c r="AD713" t="n">
        <v>16</v>
      </c>
      <c r="AE713" t="n">
        <v>32</v>
      </c>
      <c r="AF713" t="n">
        <v>5</v>
      </c>
      <c r="AG713" t="n">
        <v>11</v>
      </c>
      <c r="AH713" t="n">
        <v>3</v>
      </c>
      <c r="AI713" t="n">
        <v>6</v>
      </c>
      <c r="AJ713" t="n">
        <v>8</v>
      </c>
      <c r="AK713" t="n">
        <v>16</v>
      </c>
      <c r="AL713" t="n">
        <v>2</v>
      </c>
      <c r="AM713" t="n">
        <v>6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HYPERLINK("http://catalog.hathitrust.org/Record/000597241","HathiTrust Record")</f>
        <v/>
      </c>
      <c r="AS713">
        <f>HYPERLINK("https://creighton-primo.hosted.exlibrisgroup.com/primo-explore/search?tab=default_tab&amp;search_scope=EVERYTHING&amp;vid=01CRU&amp;lang=en_US&amp;offset=0&amp;query=any,contains,991000903079702656","Catalog Record")</f>
        <v/>
      </c>
      <c r="AT713">
        <f>HYPERLINK("http://www.worldcat.org/oclc/14069165","WorldCat Record")</f>
        <v/>
      </c>
      <c r="AU713" t="inlineStr">
        <is>
          <t>3891714:eng</t>
        </is>
      </c>
      <c r="AV713" t="inlineStr">
        <is>
          <t>14069165</t>
        </is>
      </c>
      <c r="AW713" t="inlineStr">
        <is>
          <t>991000903079702656</t>
        </is>
      </c>
      <c r="AX713" t="inlineStr">
        <is>
          <t>991000903079702656</t>
        </is>
      </c>
      <c r="AY713" t="inlineStr">
        <is>
          <t>2255520190002656</t>
        </is>
      </c>
      <c r="AZ713" t="inlineStr">
        <is>
          <t>BOOK</t>
        </is>
      </c>
      <c r="BB713" t="inlineStr">
        <is>
          <t>9780471832782</t>
        </is>
      </c>
      <c r="BC713" t="inlineStr">
        <is>
          <t>32285000032796</t>
        </is>
      </c>
      <c r="BD713" t="inlineStr">
        <is>
          <t>893784618</t>
        </is>
      </c>
    </row>
    <row r="714">
      <c r="A714" t="inlineStr">
        <is>
          <t>No</t>
        </is>
      </c>
      <c r="B714" t="inlineStr">
        <is>
          <t>QH430 .K574 1994</t>
        </is>
      </c>
      <c r="C714" t="inlineStr">
        <is>
          <t>0                      QH 0430000K  574         1994</t>
        </is>
      </c>
      <c r="D714" t="inlineStr">
        <is>
          <t>Concepts of genetics / William S. Klug, Michael R. Cummings.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Klug, William S.</t>
        </is>
      </c>
      <c r="L714" t="inlineStr">
        <is>
          <t>New York : Macmillan ; Toronto : Maxwell Macmillan Canada ; New York : Maxwell Macmillan International, c1994.</t>
        </is>
      </c>
      <c r="M714" t="inlineStr">
        <is>
          <t>1994</t>
        </is>
      </c>
      <c r="N714" t="inlineStr">
        <is>
          <t>4th ed.</t>
        </is>
      </c>
      <c r="O714" t="inlineStr">
        <is>
          <t>eng</t>
        </is>
      </c>
      <c r="P714" t="inlineStr">
        <is>
          <t>nyu</t>
        </is>
      </c>
      <c r="R714" t="inlineStr">
        <is>
          <t xml:space="preserve">QH </t>
        </is>
      </c>
      <c r="S714" t="n">
        <v>83</v>
      </c>
      <c r="T714" t="n">
        <v>83</v>
      </c>
      <c r="U714" t="inlineStr">
        <is>
          <t>2007-04-11</t>
        </is>
      </c>
      <c r="V714" t="inlineStr">
        <is>
          <t>2007-04-11</t>
        </is>
      </c>
      <c r="W714" t="inlineStr">
        <is>
          <t>1996-12-17</t>
        </is>
      </c>
      <c r="X714" t="inlineStr">
        <is>
          <t>1996-12-17</t>
        </is>
      </c>
      <c r="Y714" t="n">
        <v>135</v>
      </c>
      <c r="Z714" t="n">
        <v>87</v>
      </c>
      <c r="AA714" t="n">
        <v>723</v>
      </c>
      <c r="AB714" t="n">
        <v>1</v>
      </c>
      <c r="AC714" t="n">
        <v>6</v>
      </c>
      <c r="AD714" t="n">
        <v>1</v>
      </c>
      <c r="AE714" t="n">
        <v>22</v>
      </c>
      <c r="AF714" t="n">
        <v>1</v>
      </c>
      <c r="AG714" t="n">
        <v>9</v>
      </c>
      <c r="AH714" t="n">
        <v>0</v>
      </c>
      <c r="AI714" t="n">
        <v>3</v>
      </c>
      <c r="AJ714" t="n">
        <v>0</v>
      </c>
      <c r="AK714" t="n">
        <v>10</v>
      </c>
      <c r="AL714" t="n">
        <v>0</v>
      </c>
      <c r="AM714" t="n">
        <v>4</v>
      </c>
      <c r="AN714" t="n">
        <v>0</v>
      </c>
      <c r="AO714" t="n">
        <v>0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HYPERLINK("http://catalog.hathitrust.org/Record/007476338","HathiTrust Record")</f>
        <v/>
      </c>
      <c r="AS714">
        <f>HYPERLINK("https://creighton-primo.hosted.exlibrisgroup.com/primo-explore/search?tab=default_tab&amp;search_scope=EVERYTHING&amp;vid=01CRU&amp;lang=en_US&amp;offset=0&amp;query=any,contains,991005418419702656","Catalog Record")</f>
        <v/>
      </c>
      <c r="AT714">
        <f>HYPERLINK("http://www.worldcat.org/oclc/29844295","WorldCat Record")</f>
        <v/>
      </c>
      <c r="AU714" t="inlineStr">
        <is>
          <t>4916560561:eng</t>
        </is>
      </c>
      <c r="AV714" t="inlineStr">
        <is>
          <t>29844295</t>
        </is>
      </c>
      <c r="AW714" t="inlineStr">
        <is>
          <t>991005418419702656</t>
        </is>
      </c>
      <c r="AX714" t="inlineStr">
        <is>
          <t>991005418419702656</t>
        </is>
      </c>
      <c r="AY714" t="inlineStr">
        <is>
          <t>2265000540002656</t>
        </is>
      </c>
      <c r="AZ714" t="inlineStr">
        <is>
          <t>BOOK</t>
        </is>
      </c>
      <c r="BB714" t="inlineStr">
        <is>
          <t>9780023648014</t>
        </is>
      </c>
      <c r="BC714" t="inlineStr">
        <is>
          <t>32285002394640</t>
        </is>
      </c>
      <c r="BD714" t="inlineStr">
        <is>
          <t>893796197</t>
        </is>
      </c>
    </row>
    <row r="715">
      <c r="A715" t="inlineStr">
        <is>
          <t>No</t>
        </is>
      </c>
      <c r="B715" t="inlineStr">
        <is>
          <t>QH430 .L56 1986</t>
        </is>
      </c>
      <c r="C715" t="inlineStr">
        <is>
          <t>0                      QH 0430000L  56          1986</t>
        </is>
      </c>
      <c r="D715" t="inlineStr">
        <is>
          <t>Genes and chromosomes / J.R. Lloyd.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Lloyd, J. R. (J. Rob)</t>
        </is>
      </c>
      <c r="L715" t="inlineStr">
        <is>
          <t>London : Macmillan, 1986.</t>
        </is>
      </c>
      <c r="M715" t="inlineStr">
        <is>
          <t>1986</t>
        </is>
      </c>
      <c r="O715" t="inlineStr">
        <is>
          <t>eng</t>
        </is>
      </c>
      <c r="P715" t="inlineStr">
        <is>
          <t>enk</t>
        </is>
      </c>
      <c r="Q715" t="inlineStr">
        <is>
          <t>Dimensions of science</t>
        </is>
      </c>
      <c r="R715" t="inlineStr">
        <is>
          <t xml:space="preserve">QH </t>
        </is>
      </c>
      <c r="S715" t="n">
        <v>8</v>
      </c>
      <c r="T715" t="n">
        <v>8</v>
      </c>
      <c r="U715" t="inlineStr">
        <is>
          <t>2005-04-11</t>
        </is>
      </c>
      <c r="V715" t="inlineStr">
        <is>
          <t>2005-04-11</t>
        </is>
      </c>
      <c r="W715" t="inlineStr">
        <is>
          <t>1993-04-06</t>
        </is>
      </c>
      <c r="X715" t="inlineStr">
        <is>
          <t>1993-04-06</t>
        </is>
      </c>
      <c r="Y715" t="n">
        <v>84</v>
      </c>
      <c r="Z715" t="n">
        <v>15</v>
      </c>
      <c r="AA715" t="n">
        <v>40</v>
      </c>
      <c r="AB715" t="n">
        <v>1</v>
      </c>
      <c r="AC715" t="n">
        <v>1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HYPERLINK("https://creighton-primo.hosted.exlibrisgroup.com/primo-explore/search?tab=default_tab&amp;search_scope=EVERYTHING&amp;vid=01CRU&amp;lang=en_US&amp;offset=0&amp;query=any,contains,991000791579702656","Catalog Record")</f>
        <v/>
      </c>
      <c r="AT715">
        <f>HYPERLINK("http://www.worldcat.org/oclc/19399604","WorldCat Record")</f>
        <v/>
      </c>
      <c r="AU715" t="inlineStr">
        <is>
          <t>5569377:eng</t>
        </is>
      </c>
      <c r="AV715" t="inlineStr">
        <is>
          <t>19399604</t>
        </is>
      </c>
      <c r="AW715" t="inlineStr">
        <is>
          <t>991000791579702656</t>
        </is>
      </c>
      <c r="AX715" t="inlineStr">
        <is>
          <t>991000791579702656</t>
        </is>
      </c>
      <c r="AY715" t="inlineStr">
        <is>
          <t>2265197850002656</t>
        </is>
      </c>
      <c r="AZ715" t="inlineStr">
        <is>
          <t>BOOK</t>
        </is>
      </c>
      <c r="BB715" t="inlineStr">
        <is>
          <t>9780333404027</t>
        </is>
      </c>
      <c r="BC715" t="inlineStr">
        <is>
          <t>32285001554517</t>
        </is>
      </c>
      <c r="BD715" t="inlineStr">
        <is>
          <t>893225311</t>
        </is>
      </c>
    </row>
    <row r="716">
      <c r="A716" t="inlineStr">
        <is>
          <t>No</t>
        </is>
      </c>
      <c r="B716" t="inlineStr">
        <is>
          <t>QH430 .M33 1989</t>
        </is>
      </c>
      <c r="C716" t="inlineStr">
        <is>
          <t>0                      QH 0430000M  33          1989</t>
        </is>
      </c>
      <c r="D716" t="inlineStr">
        <is>
          <t>Genes and gene regulation / Norman Maclean.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Maclean, Norman, 1932-</t>
        </is>
      </c>
      <c r="L716" t="inlineStr">
        <is>
          <t>London ; New York : Edward Arnold, 1989.</t>
        </is>
      </c>
      <c r="M716" t="inlineStr">
        <is>
          <t>1989</t>
        </is>
      </c>
      <c r="O716" t="inlineStr">
        <is>
          <t>eng</t>
        </is>
      </c>
      <c r="P716" t="inlineStr">
        <is>
          <t>enk</t>
        </is>
      </c>
      <c r="Q716" t="inlineStr">
        <is>
          <t>New studies in biology</t>
        </is>
      </c>
      <c r="R716" t="inlineStr">
        <is>
          <t xml:space="preserve">QH </t>
        </is>
      </c>
      <c r="S716" t="n">
        <v>6</v>
      </c>
      <c r="T716" t="n">
        <v>6</v>
      </c>
      <c r="U716" t="inlineStr">
        <is>
          <t>2000-04-03</t>
        </is>
      </c>
      <c r="V716" t="inlineStr">
        <is>
          <t>2000-04-03</t>
        </is>
      </c>
      <c r="W716" t="inlineStr">
        <is>
          <t>1990-09-07</t>
        </is>
      </c>
      <c r="X716" t="inlineStr">
        <is>
          <t>1990-09-07</t>
        </is>
      </c>
      <c r="Y716" t="n">
        <v>501</v>
      </c>
      <c r="Z716" t="n">
        <v>368</v>
      </c>
      <c r="AA716" t="n">
        <v>373</v>
      </c>
      <c r="AB716" t="n">
        <v>3</v>
      </c>
      <c r="AC716" t="n">
        <v>3</v>
      </c>
      <c r="AD716" t="n">
        <v>21</v>
      </c>
      <c r="AE716" t="n">
        <v>21</v>
      </c>
      <c r="AF716" t="n">
        <v>7</v>
      </c>
      <c r="AG716" t="n">
        <v>7</v>
      </c>
      <c r="AH716" t="n">
        <v>4</v>
      </c>
      <c r="AI716" t="n">
        <v>4</v>
      </c>
      <c r="AJ716" t="n">
        <v>13</v>
      </c>
      <c r="AK716" t="n">
        <v>13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No</t>
        </is>
      </c>
      <c r="AS716">
        <f>HYPERLINK("https://creighton-primo.hosted.exlibrisgroup.com/primo-explore/search?tab=default_tab&amp;search_scope=EVERYTHING&amp;vid=01CRU&amp;lang=en_US&amp;offset=0&amp;query=any,contains,991001310139702656","Catalog Record")</f>
        <v/>
      </c>
      <c r="AT716">
        <f>HYPERLINK("http://www.worldcat.org/oclc/18135876","WorldCat Record")</f>
        <v/>
      </c>
      <c r="AU716" t="inlineStr">
        <is>
          <t>16944446:eng</t>
        </is>
      </c>
      <c r="AV716" t="inlineStr">
        <is>
          <t>18135876</t>
        </is>
      </c>
      <c r="AW716" t="inlineStr">
        <is>
          <t>991001310139702656</t>
        </is>
      </c>
      <c r="AX716" t="inlineStr">
        <is>
          <t>991001310139702656</t>
        </is>
      </c>
      <c r="AY716" t="inlineStr">
        <is>
          <t>2260397930002656</t>
        </is>
      </c>
      <c r="AZ716" t="inlineStr">
        <is>
          <t>BOOK</t>
        </is>
      </c>
      <c r="BB716" t="inlineStr">
        <is>
          <t>9780713129519</t>
        </is>
      </c>
      <c r="BC716" t="inlineStr">
        <is>
          <t>32285000276476</t>
        </is>
      </c>
      <c r="BD716" t="inlineStr">
        <is>
          <t>893608764</t>
        </is>
      </c>
    </row>
    <row r="717">
      <c r="A717" t="inlineStr">
        <is>
          <t>No</t>
        </is>
      </c>
      <c r="B717" t="inlineStr">
        <is>
          <t>QH430 .M677 1983</t>
        </is>
      </c>
      <c r="C717" t="inlineStr">
        <is>
          <t>0                      QH 0430000M  677         1983</t>
        </is>
      </c>
      <c r="D717" t="inlineStr">
        <is>
          <t>Eukaryotic cell genetics / John Morrow.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Morrow, John, 1938-</t>
        </is>
      </c>
      <c r="L717" t="inlineStr">
        <is>
          <t>New York : Academic Press, 1983.</t>
        </is>
      </c>
      <c r="M717" t="inlineStr">
        <is>
          <t>1982</t>
        </is>
      </c>
      <c r="O717" t="inlineStr">
        <is>
          <t>eng</t>
        </is>
      </c>
      <c r="P717" t="inlineStr">
        <is>
          <t>nyu</t>
        </is>
      </c>
      <c r="Q717" t="inlineStr">
        <is>
          <t>Cell biology</t>
        </is>
      </c>
      <c r="R717" t="inlineStr">
        <is>
          <t xml:space="preserve">QH </t>
        </is>
      </c>
      <c r="S717" t="n">
        <v>6</v>
      </c>
      <c r="T717" t="n">
        <v>6</v>
      </c>
      <c r="U717" t="inlineStr">
        <is>
          <t>1999-06-25</t>
        </is>
      </c>
      <c r="V717" t="inlineStr">
        <is>
          <t>1999-06-25</t>
        </is>
      </c>
      <c r="W717" t="inlineStr">
        <is>
          <t>1993-04-06</t>
        </is>
      </c>
      <c r="X717" t="inlineStr">
        <is>
          <t>1993-04-06</t>
        </is>
      </c>
      <c r="Y717" t="n">
        <v>500</v>
      </c>
      <c r="Z717" t="n">
        <v>387</v>
      </c>
      <c r="AA717" t="n">
        <v>425</v>
      </c>
      <c r="AB717" t="n">
        <v>5</v>
      </c>
      <c r="AC717" t="n">
        <v>5</v>
      </c>
      <c r="AD717" t="n">
        <v>21</v>
      </c>
      <c r="AE717" t="n">
        <v>24</v>
      </c>
      <c r="AF717" t="n">
        <v>7</v>
      </c>
      <c r="AG717" t="n">
        <v>9</v>
      </c>
      <c r="AH717" t="n">
        <v>5</v>
      </c>
      <c r="AI717" t="n">
        <v>7</v>
      </c>
      <c r="AJ717" t="n">
        <v>11</v>
      </c>
      <c r="AK717" t="n">
        <v>11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HYPERLINK("http://catalog.hathitrust.org/Record/000204031","HathiTrust Record")</f>
        <v/>
      </c>
      <c r="AS717">
        <f>HYPERLINK("https://creighton-primo.hosted.exlibrisgroup.com/primo-explore/search?tab=default_tab&amp;search_scope=EVERYTHING&amp;vid=01CRU&amp;lang=en_US&amp;offset=0&amp;query=any,contains,991000033209702656","Catalog Record")</f>
        <v/>
      </c>
      <c r="AT717">
        <f>HYPERLINK("http://www.worldcat.org/oclc/8626476","WorldCat Record")</f>
        <v/>
      </c>
      <c r="AU717" t="inlineStr">
        <is>
          <t>32542076:eng</t>
        </is>
      </c>
      <c r="AV717" t="inlineStr">
        <is>
          <t>8626476</t>
        </is>
      </c>
      <c r="AW717" t="inlineStr">
        <is>
          <t>991000033209702656</t>
        </is>
      </c>
      <c r="AX717" t="inlineStr">
        <is>
          <t>991000033209702656</t>
        </is>
      </c>
      <c r="AY717" t="inlineStr">
        <is>
          <t>2261067460002656</t>
        </is>
      </c>
      <c r="AZ717" t="inlineStr">
        <is>
          <t>BOOK</t>
        </is>
      </c>
      <c r="BB717" t="inlineStr">
        <is>
          <t>9780125073608</t>
        </is>
      </c>
      <c r="BC717" t="inlineStr">
        <is>
          <t>32285001554533</t>
        </is>
      </c>
      <c r="BD717" t="inlineStr">
        <is>
          <t>893796343</t>
        </is>
      </c>
    </row>
    <row r="718">
      <c r="A718" t="inlineStr">
        <is>
          <t>No</t>
        </is>
      </c>
      <c r="B718" t="inlineStr">
        <is>
          <t>QH430 .N45 1987</t>
        </is>
      </c>
      <c r="C718" t="inlineStr">
        <is>
          <t>0                      QH 0430000N  45          1987</t>
        </is>
      </c>
      <c r="D718" t="inlineStr">
        <is>
          <t>Molecular evolutionary genetics / Masatoshi Nei.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Nei, Masatoshi.</t>
        </is>
      </c>
      <c r="L718" t="inlineStr">
        <is>
          <t>New York : Columbia University Press, 1987.</t>
        </is>
      </c>
      <c r="M718" t="inlineStr">
        <is>
          <t>1987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QH </t>
        </is>
      </c>
      <c r="S718" t="n">
        <v>8</v>
      </c>
      <c r="T718" t="n">
        <v>8</v>
      </c>
      <c r="U718" t="inlineStr">
        <is>
          <t>1999-05-03</t>
        </is>
      </c>
      <c r="V718" t="inlineStr">
        <is>
          <t>1999-05-03</t>
        </is>
      </c>
      <c r="W718" t="inlineStr">
        <is>
          <t>1993-04-07</t>
        </is>
      </c>
      <c r="X718" t="inlineStr">
        <is>
          <t>1993-04-07</t>
        </is>
      </c>
      <c r="Y718" t="n">
        <v>745</v>
      </c>
      <c r="Z718" t="n">
        <v>591</v>
      </c>
      <c r="AA718" t="n">
        <v>594</v>
      </c>
      <c r="AB718" t="n">
        <v>6</v>
      </c>
      <c r="AC718" t="n">
        <v>6</v>
      </c>
      <c r="AD718" t="n">
        <v>31</v>
      </c>
      <c r="AE718" t="n">
        <v>31</v>
      </c>
      <c r="AF718" t="n">
        <v>13</v>
      </c>
      <c r="AG718" t="n">
        <v>13</v>
      </c>
      <c r="AH718" t="n">
        <v>4</v>
      </c>
      <c r="AI718" t="n">
        <v>4</v>
      </c>
      <c r="AJ718" t="n">
        <v>17</v>
      </c>
      <c r="AK718" t="n">
        <v>17</v>
      </c>
      <c r="AL718" t="n">
        <v>4</v>
      </c>
      <c r="AM718" t="n">
        <v>4</v>
      </c>
      <c r="AN718" t="n">
        <v>1</v>
      </c>
      <c r="AO718" t="n">
        <v>1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HYPERLINK("https://creighton-primo.hosted.exlibrisgroup.com/primo-explore/search?tab=default_tab&amp;search_scope=EVERYTHING&amp;vid=01CRU&amp;lang=en_US&amp;offset=0&amp;query=any,contains,991000892699702656","Catalog Record")</f>
        <v/>
      </c>
      <c r="AT718">
        <f>HYPERLINK("http://www.worldcat.org/oclc/13945914","WorldCat Record")</f>
        <v/>
      </c>
      <c r="AU718" t="inlineStr">
        <is>
          <t>4903439:eng</t>
        </is>
      </c>
      <c r="AV718" t="inlineStr">
        <is>
          <t>13945914</t>
        </is>
      </c>
      <c r="AW718" t="inlineStr">
        <is>
          <t>991000892699702656</t>
        </is>
      </c>
      <c r="AX718" t="inlineStr">
        <is>
          <t>991000892699702656</t>
        </is>
      </c>
      <c r="AY718" t="inlineStr">
        <is>
          <t>2258855030002656</t>
        </is>
      </c>
      <c r="AZ718" t="inlineStr">
        <is>
          <t>BOOK</t>
        </is>
      </c>
      <c r="BB718" t="inlineStr">
        <is>
          <t>9780231063203</t>
        </is>
      </c>
      <c r="BC718" t="inlineStr">
        <is>
          <t>32285001554541</t>
        </is>
      </c>
      <c r="BD718" t="inlineStr">
        <is>
          <t>893534345</t>
        </is>
      </c>
    </row>
    <row r="719">
      <c r="A719" t="inlineStr">
        <is>
          <t>No</t>
        </is>
      </c>
      <c r="B719" t="inlineStr">
        <is>
          <t>QH430 .N48 1978</t>
        </is>
      </c>
      <c r="C719" t="inlineStr">
        <is>
          <t>0                      QH 0430000N  48          1978</t>
        </is>
      </c>
      <c r="D719" t="inlineStr">
        <is>
          <t>New approaches to genetics : developments in molecular genetics / edited by P. W. Kent.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Stocksfield, Eng. : Oriel Press, 1978.</t>
        </is>
      </c>
      <c r="M719" t="inlineStr">
        <is>
          <t>1978</t>
        </is>
      </c>
      <c r="O719" t="inlineStr">
        <is>
          <t>eng</t>
        </is>
      </c>
      <c r="P719" t="inlineStr">
        <is>
          <t>enk</t>
        </is>
      </c>
      <c r="R719" t="inlineStr">
        <is>
          <t xml:space="preserve">QH </t>
        </is>
      </c>
      <c r="S719" t="n">
        <v>2</v>
      </c>
      <c r="T719" t="n">
        <v>2</v>
      </c>
      <c r="U719" t="inlineStr">
        <is>
          <t>2000-04-03</t>
        </is>
      </c>
      <c r="V719" t="inlineStr">
        <is>
          <t>2000-04-03</t>
        </is>
      </c>
      <c r="W719" t="inlineStr">
        <is>
          <t>1993-04-07</t>
        </is>
      </c>
      <c r="X719" t="inlineStr">
        <is>
          <t>1993-04-07</t>
        </is>
      </c>
      <c r="Y719" t="n">
        <v>199</v>
      </c>
      <c r="Z719" t="n">
        <v>135</v>
      </c>
      <c r="AA719" t="n">
        <v>142</v>
      </c>
      <c r="AB719" t="n">
        <v>3</v>
      </c>
      <c r="AC719" t="n">
        <v>3</v>
      </c>
      <c r="AD719" t="n">
        <v>5</v>
      </c>
      <c r="AE719" t="n">
        <v>5</v>
      </c>
      <c r="AF719" t="n">
        <v>1</v>
      </c>
      <c r="AG719" t="n">
        <v>1</v>
      </c>
      <c r="AH719" t="n">
        <v>2</v>
      </c>
      <c r="AI719" t="n">
        <v>2</v>
      </c>
      <c r="AJ719" t="n">
        <v>1</v>
      </c>
      <c r="AK719" t="n">
        <v>1</v>
      </c>
      <c r="AL719" t="n">
        <v>2</v>
      </c>
      <c r="AM719" t="n">
        <v>2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HYPERLINK("http://catalog.hathitrust.org/Record/008000589","HathiTrust Record")</f>
        <v/>
      </c>
      <c r="AS719">
        <f>HYPERLINK("https://creighton-primo.hosted.exlibrisgroup.com/primo-explore/search?tab=default_tab&amp;search_scope=EVERYTHING&amp;vid=01CRU&amp;lang=en_US&amp;offset=0&amp;query=any,contains,991004642749702656","Catalog Record")</f>
        <v/>
      </c>
      <c r="AT719">
        <f>HYPERLINK("http://www.worldcat.org/oclc/4471788","WorldCat Record")</f>
        <v/>
      </c>
      <c r="AU719" t="inlineStr">
        <is>
          <t>796032322:eng</t>
        </is>
      </c>
      <c r="AV719" t="inlineStr">
        <is>
          <t>4471788</t>
        </is>
      </c>
      <c r="AW719" t="inlineStr">
        <is>
          <t>991004642749702656</t>
        </is>
      </c>
      <c r="AX719" t="inlineStr">
        <is>
          <t>991004642749702656</t>
        </is>
      </c>
      <c r="AY719" t="inlineStr">
        <is>
          <t>2267977540002656</t>
        </is>
      </c>
      <c r="AZ719" t="inlineStr">
        <is>
          <t>BOOK</t>
        </is>
      </c>
      <c r="BB719" t="inlineStr">
        <is>
          <t>9780853621690</t>
        </is>
      </c>
      <c r="BC719" t="inlineStr">
        <is>
          <t>32285001554558</t>
        </is>
      </c>
      <c r="BD719" t="inlineStr">
        <is>
          <t>893436546</t>
        </is>
      </c>
    </row>
    <row r="720">
      <c r="A720" t="inlineStr">
        <is>
          <t>No</t>
        </is>
      </c>
      <c r="B720" t="inlineStr">
        <is>
          <t>QH430 .P367 1979</t>
        </is>
      </c>
      <c r="C720" t="inlineStr">
        <is>
          <t>0                      QH 0430000P  367         1979</t>
        </is>
      </c>
      <c r="D720" t="inlineStr">
        <is>
          <t>An introduction to evolutionary genetics / David T. Parkin.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Parkin, David T.</t>
        </is>
      </c>
      <c r="L720" t="inlineStr">
        <is>
          <t>Baltimore : University Park Press, c1979.</t>
        </is>
      </c>
      <c r="M720" t="inlineStr">
        <is>
          <t>1979</t>
        </is>
      </c>
      <c r="O720" t="inlineStr">
        <is>
          <t>eng</t>
        </is>
      </c>
      <c r="P720" t="inlineStr">
        <is>
          <t>mdu</t>
        </is>
      </c>
      <c r="Q720" t="inlineStr">
        <is>
          <t>A series of student texts in contemporary biology</t>
        </is>
      </c>
      <c r="R720" t="inlineStr">
        <is>
          <t xml:space="preserve">QH </t>
        </is>
      </c>
      <c r="S720" t="n">
        <v>6</v>
      </c>
      <c r="T720" t="n">
        <v>6</v>
      </c>
      <c r="U720" t="inlineStr">
        <is>
          <t>2000-04-03</t>
        </is>
      </c>
      <c r="V720" t="inlineStr">
        <is>
          <t>2000-04-03</t>
        </is>
      </c>
      <c r="W720" t="inlineStr">
        <is>
          <t>1993-04-07</t>
        </is>
      </c>
      <c r="X720" t="inlineStr">
        <is>
          <t>1993-04-07</t>
        </is>
      </c>
      <c r="Y720" t="n">
        <v>181</v>
      </c>
      <c r="Z720" t="n">
        <v>155</v>
      </c>
      <c r="AA720" t="n">
        <v>192</v>
      </c>
      <c r="AB720" t="n">
        <v>1</v>
      </c>
      <c r="AC720" t="n">
        <v>3</v>
      </c>
      <c r="AD720" t="n">
        <v>2</v>
      </c>
      <c r="AE720" t="n">
        <v>4</v>
      </c>
      <c r="AF720" t="n">
        <v>2</v>
      </c>
      <c r="AG720" t="n">
        <v>2</v>
      </c>
      <c r="AH720" t="n">
        <v>0</v>
      </c>
      <c r="AI720" t="n">
        <v>0</v>
      </c>
      <c r="AJ720" t="n">
        <v>1</v>
      </c>
      <c r="AK720" t="n">
        <v>1</v>
      </c>
      <c r="AL720" t="n">
        <v>0</v>
      </c>
      <c r="AM720" t="n">
        <v>2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HYPERLINK("http://catalog.hathitrust.org/Record/000685806","HathiTrust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HYPERLINK("https://creighton-primo.hosted.exlibrisgroup.com/primo-explore/search?tab=default_tab&amp;search_scope=EVERYTHING&amp;vid=01CRU&amp;lang=en_US&amp;offset=0&amp;query=any,contains,991004759099702656","Catalog Record")</f>
        <v/>
      </c>
      <c r="AT720">
        <f>HYPERLINK("http://www.worldcat.org/oclc/4983552","WorldCat Record")</f>
        <v/>
      </c>
      <c r="AU720" t="inlineStr">
        <is>
          <t>7331974:eng</t>
        </is>
      </c>
      <c r="AV720" t="inlineStr">
        <is>
          <t>4983552</t>
        </is>
      </c>
      <c r="AW720" t="inlineStr">
        <is>
          <t>991004759099702656</t>
        </is>
      </c>
      <c r="AX720" t="inlineStr">
        <is>
          <t>991004759099702656</t>
        </is>
      </c>
      <c r="AY720" t="inlineStr">
        <is>
          <t>2265924500002656</t>
        </is>
      </c>
      <c r="AZ720" t="inlineStr">
        <is>
          <t>BOOK</t>
        </is>
      </c>
      <c r="BB720" t="inlineStr">
        <is>
          <t>9780839114437</t>
        </is>
      </c>
      <c r="BC720" t="inlineStr">
        <is>
          <t>32285001554566</t>
        </is>
      </c>
      <c r="BD720" t="inlineStr">
        <is>
          <t>893350354</t>
        </is>
      </c>
    </row>
    <row r="721">
      <c r="A721" t="inlineStr">
        <is>
          <t>No</t>
        </is>
      </c>
      <c r="B721" t="inlineStr">
        <is>
          <t>QH430 .S56 1991</t>
        </is>
      </c>
      <c r="C721" t="inlineStr">
        <is>
          <t>0                      QH 0430000S  56          1991</t>
        </is>
      </c>
      <c r="D721" t="inlineStr">
        <is>
          <t>Genes &amp; genomes : a changing perspective / Maxine Singer, Paul Berg.</t>
        </is>
      </c>
      <c r="F721" t="inlineStr">
        <is>
          <t>No</t>
        </is>
      </c>
      <c r="G721" t="inlineStr">
        <is>
          <t>1</t>
        </is>
      </c>
      <c r="H721" t="inlineStr">
        <is>
          <t>Yes</t>
        </is>
      </c>
      <c r="I721" t="inlineStr">
        <is>
          <t>No</t>
        </is>
      </c>
      <c r="J721" t="inlineStr">
        <is>
          <t>0</t>
        </is>
      </c>
      <c r="K721" t="inlineStr">
        <is>
          <t>Singer, Maxine.</t>
        </is>
      </c>
      <c r="L721" t="inlineStr">
        <is>
          <t>Mill Valley, CA : University Science Books, c1991.</t>
        </is>
      </c>
      <c r="M721" t="inlineStr">
        <is>
          <t>1991</t>
        </is>
      </c>
      <c r="O721" t="inlineStr">
        <is>
          <t>eng</t>
        </is>
      </c>
      <c r="P721" t="inlineStr">
        <is>
          <t>cau</t>
        </is>
      </c>
      <c r="R721" t="inlineStr">
        <is>
          <t xml:space="preserve">QH </t>
        </is>
      </c>
      <c r="S721" t="n">
        <v>6</v>
      </c>
      <c r="T721" t="n">
        <v>18</v>
      </c>
      <c r="U721" t="inlineStr">
        <is>
          <t>2002-09-24</t>
        </is>
      </c>
      <c r="V721" t="inlineStr">
        <is>
          <t>2002-09-24</t>
        </is>
      </c>
      <c r="W721" t="inlineStr">
        <is>
          <t>1990-11-27</t>
        </is>
      </c>
      <c r="X721" t="inlineStr">
        <is>
          <t>1991-07-12</t>
        </is>
      </c>
      <c r="Y721" t="n">
        <v>741</v>
      </c>
      <c r="Z721" t="n">
        <v>550</v>
      </c>
      <c r="AA721" t="n">
        <v>555</v>
      </c>
      <c r="AB721" t="n">
        <v>6</v>
      </c>
      <c r="AC721" t="n">
        <v>6</v>
      </c>
      <c r="AD721" t="n">
        <v>25</v>
      </c>
      <c r="AE721" t="n">
        <v>25</v>
      </c>
      <c r="AF721" t="n">
        <v>10</v>
      </c>
      <c r="AG721" t="n">
        <v>10</v>
      </c>
      <c r="AH721" t="n">
        <v>4</v>
      </c>
      <c r="AI721" t="n">
        <v>4</v>
      </c>
      <c r="AJ721" t="n">
        <v>13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HYPERLINK("https://creighton-primo.hosted.exlibrisgroup.com/primo-explore/search?tab=default_tab&amp;search_scope=EVERYTHING&amp;vid=01CRU&amp;lang=en_US&amp;offset=0&amp;query=any,contains,991001777289702656","Catalog Record")</f>
        <v/>
      </c>
      <c r="AT721">
        <f>HYPERLINK("http://www.worldcat.org/oclc/25284757","WorldCat Record")</f>
        <v/>
      </c>
      <c r="AU721" t="inlineStr">
        <is>
          <t>4916566181:eng</t>
        </is>
      </c>
      <c r="AV721" t="inlineStr">
        <is>
          <t>25284757</t>
        </is>
      </c>
      <c r="AW721" t="inlineStr">
        <is>
          <t>991001777289702656</t>
        </is>
      </c>
      <c r="AX721" t="inlineStr">
        <is>
          <t>991001777289702656</t>
        </is>
      </c>
      <c r="AY721" t="inlineStr">
        <is>
          <t>2261428590002656</t>
        </is>
      </c>
      <c r="AZ721" t="inlineStr">
        <is>
          <t>BOOK</t>
        </is>
      </c>
      <c r="BB721" t="inlineStr">
        <is>
          <t>9780935702170</t>
        </is>
      </c>
      <c r="BC721" t="inlineStr">
        <is>
          <t>32285000357482</t>
        </is>
      </c>
      <c r="BD721" t="inlineStr">
        <is>
          <t>893420618</t>
        </is>
      </c>
    </row>
    <row r="722">
      <c r="A722" t="inlineStr">
        <is>
          <t>No</t>
        </is>
      </c>
      <c r="B722" t="inlineStr">
        <is>
          <t>QH430 .S73 1978</t>
        </is>
      </c>
      <c r="C722" t="inlineStr">
        <is>
          <t>0                      QH 0430000S  73          1978</t>
        </is>
      </c>
      <c r="D722" t="inlineStr">
        <is>
          <t>Molecular genetics : an introductory narrative / Gunther S. Stent, Richard Calendar.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Stent, Gunther S. (Gunther Siegmund), 1924-2008.</t>
        </is>
      </c>
      <c r="L722" t="inlineStr">
        <is>
          <t>San Francisco : W. H. Freeman, c1978.</t>
        </is>
      </c>
      <c r="M722" t="inlineStr">
        <is>
          <t>1978</t>
        </is>
      </c>
      <c r="N722" t="inlineStr">
        <is>
          <t>2d ed.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QH </t>
        </is>
      </c>
      <c r="S722" t="n">
        <v>6</v>
      </c>
      <c r="T722" t="n">
        <v>6</v>
      </c>
      <c r="U722" t="inlineStr">
        <is>
          <t>1995-01-16</t>
        </is>
      </c>
      <c r="V722" t="inlineStr">
        <is>
          <t>1995-01-16</t>
        </is>
      </c>
      <c r="W722" t="inlineStr">
        <is>
          <t>1992-07-14</t>
        </is>
      </c>
      <c r="X722" t="inlineStr">
        <is>
          <t>1992-07-14</t>
        </is>
      </c>
      <c r="Y722" t="n">
        <v>542</v>
      </c>
      <c r="Z722" t="n">
        <v>376</v>
      </c>
      <c r="AA722" t="n">
        <v>709</v>
      </c>
      <c r="AB722" t="n">
        <v>4</v>
      </c>
      <c r="AC722" t="n">
        <v>7</v>
      </c>
      <c r="AD722" t="n">
        <v>16</v>
      </c>
      <c r="AE722" t="n">
        <v>30</v>
      </c>
      <c r="AF722" t="n">
        <v>6</v>
      </c>
      <c r="AG722" t="n">
        <v>10</v>
      </c>
      <c r="AH722" t="n">
        <v>4</v>
      </c>
      <c r="AI722" t="n">
        <v>7</v>
      </c>
      <c r="AJ722" t="n">
        <v>8</v>
      </c>
      <c r="AK722" t="n">
        <v>15</v>
      </c>
      <c r="AL722" t="n">
        <v>3</v>
      </c>
      <c r="AM722" t="n">
        <v>6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HYPERLINK("https://creighton-primo.hosted.exlibrisgroup.com/primo-explore/search?tab=default_tab&amp;search_scope=EVERYTHING&amp;vid=01CRU&amp;lang=en_US&amp;offset=0&amp;query=any,contains,991004481319702656","Catalog Record")</f>
        <v/>
      </c>
      <c r="AT722">
        <f>HYPERLINK("http://www.worldcat.org/oclc/3627623","WorldCat Record")</f>
        <v/>
      </c>
      <c r="AU722" t="inlineStr">
        <is>
          <t>836903042:eng</t>
        </is>
      </c>
      <c r="AV722" t="inlineStr">
        <is>
          <t>3627623</t>
        </is>
      </c>
      <c r="AW722" t="inlineStr">
        <is>
          <t>991004481319702656</t>
        </is>
      </c>
      <c r="AX722" t="inlineStr">
        <is>
          <t>991004481319702656</t>
        </is>
      </c>
      <c r="AY722" t="inlineStr">
        <is>
          <t>2269262200002656</t>
        </is>
      </c>
      <c r="AZ722" t="inlineStr">
        <is>
          <t>BOOK</t>
        </is>
      </c>
      <c r="BB722" t="inlineStr">
        <is>
          <t>9780716700487</t>
        </is>
      </c>
      <c r="BC722" t="inlineStr">
        <is>
          <t>32285001152270</t>
        </is>
      </c>
      <c r="BD722" t="inlineStr">
        <is>
          <t>893319289</t>
        </is>
      </c>
    </row>
    <row r="723">
      <c r="A723" t="inlineStr">
        <is>
          <t>No</t>
        </is>
      </c>
      <c r="B723" t="inlineStr">
        <is>
          <t>QH430 .S94 1986</t>
        </is>
      </c>
      <c r="C723" t="inlineStr">
        <is>
          <t>0                      QH 0430000S  94          1986</t>
        </is>
      </c>
      <c r="D723" t="inlineStr">
        <is>
          <t>An Introduction to genetic analysis / David T. Suzuki ... [et al.].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Suzuki, David, 1936-</t>
        </is>
      </c>
      <c r="L723" t="inlineStr">
        <is>
          <t>New York : W.H. Freeman, c1986.</t>
        </is>
      </c>
      <c r="M723" t="inlineStr">
        <is>
          <t>1986</t>
        </is>
      </c>
      <c r="N723" t="inlineStr">
        <is>
          <t>3rd ed.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QH </t>
        </is>
      </c>
      <c r="S723" t="n">
        <v>12</v>
      </c>
      <c r="T723" t="n">
        <v>12</v>
      </c>
      <c r="U723" t="inlineStr">
        <is>
          <t>2002-09-19</t>
        </is>
      </c>
      <c r="V723" t="inlineStr">
        <is>
          <t>2002-09-19</t>
        </is>
      </c>
      <c r="W723" t="inlineStr">
        <is>
          <t>1990-02-15</t>
        </is>
      </c>
      <c r="X723" t="inlineStr">
        <is>
          <t>1990-02-15</t>
        </is>
      </c>
      <c r="Y723" t="n">
        <v>334</v>
      </c>
      <c r="Z723" t="n">
        <v>216</v>
      </c>
      <c r="AA723" t="n">
        <v>371</v>
      </c>
      <c r="AB723" t="n">
        <v>1</v>
      </c>
      <c r="AC723" t="n">
        <v>3</v>
      </c>
      <c r="AD723" t="n">
        <v>5</v>
      </c>
      <c r="AE723" t="n">
        <v>10</v>
      </c>
      <c r="AF723" t="n">
        <v>4</v>
      </c>
      <c r="AG723" t="n">
        <v>6</v>
      </c>
      <c r="AH723" t="n">
        <v>0</v>
      </c>
      <c r="AI723" t="n">
        <v>1</v>
      </c>
      <c r="AJ723" t="n">
        <v>4</v>
      </c>
      <c r="AK723" t="n">
        <v>7</v>
      </c>
      <c r="AL723" t="n">
        <v>0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HYPERLINK("https://creighton-primo.hosted.exlibrisgroup.com/primo-explore/search?tab=default_tab&amp;search_scope=EVERYTHING&amp;vid=01CRU&amp;lang=en_US&amp;offset=0&amp;query=any,contains,991000652839702656","Catalog Record")</f>
        <v/>
      </c>
      <c r="AT723">
        <f>HYPERLINK("http://www.worldcat.org/oclc/12188697","WorldCat Record")</f>
        <v/>
      </c>
      <c r="AU723" t="inlineStr">
        <is>
          <t>4918215511:eng</t>
        </is>
      </c>
      <c r="AV723" t="inlineStr">
        <is>
          <t>12188697</t>
        </is>
      </c>
      <c r="AW723" t="inlineStr">
        <is>
          <t>991000652839702656</t>
        </is>
      </c>
      <c r="AX723" t="inlineStr">
        <is>
          <t>991000652839702656</t>
        </is>
      </c>
      <c r="AY723" t="inlineStr">
        <is>
          <t>2254801340002656</t>
        </is>
      </c>
      <c r="AZ723" t="inlineStr">
        <is>
          <t>BOOK</t>
        </is>
      </c>
      <c r="BB723" t="inlineStr">
        <is>
          <t>9780716717058</t>
        </is>
      </c>
      <c r="BC723" t="inlineStr">
        <is>
          <t>32285000053578</t>
        </is>
      </c>
      <c r="BD723" t="inlineStr">
        <is>
          <t>893802970</t>
        </is>
      </c>
    </row>
    <row r="724">
      <c r="A724" t="inlineStr">
        <is>
          <t>No</t>
        </is>
      </c>
      <c r="B724" t="inlineStr">
        <is>
          <t>QH431 .B33 1913</t>
        </is>
      </c>
      <c r="C724" t="inlineStr">
        <is>
          <t>0                      QH 0431000B  33          1913</t>
        </is>
      </c>
      <c r="D724" t="inlineStr">
        <is>
          <t>Mendel's principles of heredity / by W. Bateson.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Bateson, William, 1861-1926.</t>
        </is>
      </c>
      <c r="L724" t="inlineStr">
        <is>
          <t>Cambridge, [Eng.] : University Press, 1913.</t>
        </is>
      </c>
      <c r="M724" t="inlineStr">
        <is>
          <t>1913</t>
        </is>
      </c>
      <c r="O724" t="inlineStr">
        <is>
          <t>eng</t>
        </is>
      </c>
      <c r="P724" t="inlineStr">
        <is>
          <t>enk</t>
        </is>
      </c>
      <c r="R724" t="inlineStr">
        <is>
          <t xml:space="preserve">QH </t>
        </is>
      </c>
      <c r="S724" t="n">
        <v>9</v>
      </c>
      <c r="T724" t="n">
        <v>9</v>
      </c>
      <c r="U724" t="inlineStr">
        <is>
          <t>2006-12-15</t>
        </is>
      </c>
      <c r="V724" t="inlineStr">
        <is>
          <t>2006-12-15</t>
        </is>
      </c>
      <c r="W724" t="inlineStr">
        <is>
          <t>1994-10-05</t>
        </is>
      </c>
      <c r="X724" t="inlineStr">
        <is>
          <t>1994-10-05</t>
        </is>
      </c>
      <c r="Y724" t="n">
        <v>245</v>
      </c>
      <c r="Z724" t="n">
        <v>195</v>
      </c>
      <c r="AA724" t="n">
        <v>583</v>
      </c>
      <c r="AB724" t="n">
        <v>2</v>
      </c>
      <c r="AC724" t="n">
        <v>4</v>
      </c>
      <c r="AD724" t="n">
        <v>8</v>
      </c>
      <c r="AE724" t="n">
        <v>29</v>
      </c>
      <c r="AF724" t="n">
        <v>3</v>
      </c>
      <c r="AG724" t="n">
        <v>10</v>
      </c>
      <c r="AH724" t="n">
        <v>3</v>
      </c>
      <c r="AI724" t="n">
        <v>9</v>
      </c>
      <c r="AJ724" t="n">
        <v>4</v>
      </c>
      <c r="AK724" t="n">
        <v>17</v>
      </c>
      <c r="AL724" t="n">
        <v>1</v>
      </c>
      <c r="AM724" t="n">
        <v>3</v>
      </c>
      <c r="AN724" t="n">
        <v>0</v>
      </c>
      <c r="AO724" t="n">
        <v>1</v>
      </c>
      <c r="AP724" t="inlineStr">
        <is>
          <t>Yes</t>
        </is>
      </c>
      <c r="AQ724" t="inlineStr">
        <is>
          <t>No</t>
        </is>
      </c>
      <c r="AR724">
        <f>HYPERLINK("http://catalog.hathitrust.org/Record/002001402","HathiTrust Record")</f>
        <v/>
      </c>
      <c r="AS724">
        <f>HYPERLINK("https://creighton-primo.hosted.exlibrisgroup.com/primo-explore/search?tab=default_tab&amp;search_scope=EVERYTHING&amp;vid=01CRU&amp;lang=en_US&amp;offset=0&amp;query=any,contains,991003481479702656","Catalog Record")</f>
        <v/>
      </c>
      <c r="AT724">
        <f>HYPERLINK("http://www.worldcat.org/oclc/1029214","WorldCat Record")</f>
        <v/>
      </c>
      <c r="AU724" t="inlineStr">
        <is>
          <t>1393680:eng</t>
        </is>
      </c>
      <c r="AV724" t="inlineStr">
        <is>
          <t>1029214</t>
        </is>
      </c>
      <c r="AW724" t="inlineStr">
        <is>
          <t>991003481479702656</t>
        </is>
      </c>
      <c r="AX724" t="inlineStr">
        <is>
          <t>991003481479702656</t>
        </is>
      </c>
      <c r="AY724" t="inlineStr">
        <is>
          <t>2255396960002656</t>
        </is>
      </c>
      <c r="AZ724" t="inlineStr">
        <is>
          <t>BOOK</t>
        </is>
      </c>
      <c r="BC724" t="inlineStr">
        <is>
          <t>32285001953875</t>
        </is>
      </c>
      <c r="BD724" t="inlineStr">
        <is>
          <t>893881201</t>
        </is>
      </c>
    </row>
    <row r="725">
      <c r="A725" t="inlineStr">
        <is>
          <t>No</t>
        </is>
      </c>
      <c r="B725" t="inlineStr">
        <is>
          <t>QH431 .B63</t>
        </is>
      </c>
      <c r="C725" t="inlineStr">
        <is>
          <t>0                      QH 0431000B  63</t>
        </is>
      </c>
      <c r="D725" t="inlineStr">
        <is>
          <t>The molecular biology of development, by James Bonner.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Bonner, James, 1910-1996.</t>
        </is>
      </c>
      <c r="L725" t="inlineStr">
        <is>
          <t>New York, Oxford University Press, 1965.</t>
        </is>
      </c>
      <c r="M725" t="inlineStr">
        <is>
          <t>1965</t>
        </is>
      </c>
      <c r="O725" t="inlineStr">
        <is>
          <t>eng</t>
        </is>
      </c>
      <c r="P725" t="inlineStr">
        <is>
          <t>nyu</t>
        </is>
      </c>
      <c r="R725" t="inlineStr">
        <is>
          <t xml:space="preserve">QH </t>
        </is>
      </c>
      <c r="S725" t="n">
        <v>1</v>
      </c>
      <c r="T725" t="n">
        <v>1</v>
      </c>
      <c r="U725" t="inlineStr">
        <is>
          <t>1999-03-03</t>
        </is>
      </c>
      <c r="V725" t="inlineStr">
        <is>
          <t>1999-03-03</t>
        </is>
      </c>
      <c r="W725" t="inlineStr">
        <is>
          <t>1997-07-02</t>
        </is>
      </c>
      <c r="X725" t="inlineStr">
        <is>
          <t>1997-07-02</t>
        </is>
      </c>
      <c r="Y725" t="n">
        <v>665</v>
      </c>
      <c r="Z725" t="n">
        <v>576</v>
      </c>
      <c r="AA725" t="n">
        <v>585</v>
      </c>
      <c r="AB725" t="n">
        <v>4</v>
      </c>
      <c r="AC725" t="n">
        <v>4</v>
      </c>
      <c r="AD725" t="n">
        <v>23</v>
      </c>
      <c r="AE725" t="n">
        <v>23</v>
      </c>
      <c r="AF725" t="n">
        <v>7</v>
      </c>
      <c r="AG725" t="n">
        <v>7</v>
      </c>
      <c r="AH725" t="n">
        <v>3</v>
      </c>
      <c r="AI725" t="n">
        <v>3</v>
      </c>
      <c r="AJ725" t="n">
        <v>15</v>
      </c>
      <c r="AK725" t="n">
        <v>15</v>
      </c>
      <c r="AL725" t="n">
        <v>2</v>
      </c>
      <c r="AM725" t="n">
        <v>2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HYPERLINK("http://catalog.hathitrust.org/Record/001492072","HathiTrust Record")</f>
        <v/>
      </c>
      <c r="AS725">
        <f>HYPERLINK("https://creighton-primo.hosted.exlibrisgroup.com/primo-explore/search?tab=default_tab&amp;search_scope=EVERYTHING&amp;vid=01CRU&amp;lang=en_US&amp;offset=0&amp;query=any,contains,991002375979702656","Catalog Record")</f>
        <v/>
      </c>
      <c r="AT725">
        <f>HYPERLINK("http://www.worldcat.org/oclc/327333","WorldCat Record")</f>
        <v/>
      </c>
      <c r="AU725" t="inlineStr">
        <is>
          <t>1418931:eng</t>
        </is>
      </c>
      <c r="AV725" t="inlineStr">
        <is>
          <t>327333</t>
        </is>
      </c>
      <c r="AW725" t="inlineStr">
        <is>
          <t>991002375979702656</t>
        </is>
      </c>
      <c r="AX725" t="inlineStr">
        <is>
          <t>991002375979702656</t>
        </is>
      </c>
      <c r="AY725" t="inlineStr">
        <is>
          <t>2272788470002656</t>
        </is>
      </c>
      <c r="AZ725" t="inlineStr">
        <is>
          <t>BOOK</t>
        </is>
      </c>
      <c r="BC725" t="inlineStr">
        <is>
          <t>32285002910304</t>
        </is>
      </c>
      <c r="BD725" t="inlineStr">
        <is>
          <t>893341356</t>
        </is>
      </c>
    </row>
    <row r="726">
      <c r="A726" t="inlineStr">
        <is>
          <t>No</t>
        </is>
      </c>
      <c r="B726" t="inlineStr">
        <is>
          <t>QH431 .B664 1985</t>
        </is>
      </c>
      <c r="C726" t="inlineStr">
        <is>
          <t>0                      QH 0431000B  664         1985</t>
        </is>
      </c>
      <c r="D726" t="inlineStr">
        <is>
          <t>Patterns of human heredity : an introduction to human genetics / James R. Brennan.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Brennan, James R., 1930-</t>
        </is>
      </c>
      <c r="L726" t="inlineStr">
        <is>
          <t>Englewood Cliffs, N.J. : Prentice-Hall, c1985.</t>
        </is>
      </c>
      <c r="M726" t="inlineStr">
        <is>
          <t>1985</t>
        </is>
      </c>
      <c r="O726" t="inlineStr">
        <is>
          <t>eng</t>
        </is>
      </c>
      <c r="P726" t="inlineStr">
        <is>
          <t>nju</t>
        </is>
      </c>
      <c r="R726" t="inlineStr">
        <is>
          <t xml:space="preserve">QH </t>
        </is>
      </c>
      <c r="S726" t="n">
        <v>9</v>
      </c>
      <c r="T726" t="n">
        <v>9</v>
      </c>
      <c r="U726" t="inlineStr">
        <is>
          <t>2002-09-19</t>
        </is>
      </c>
      <c r="V726" t="inlineStr">
        <is>
          <t>2002-09-19</t>
        </is>
      </c>
      <c r="W726" t="inlineStr">
        <is>
          <t>1993-04-07</t>
        </is>
      </c>
      <c r="X726" t="inlineStr">
        <is>
          <t>1993-04-07</t>
        </is>
      </c>
      <c r="Y726" t="n">
        <v>221</v>
      </c>
      <c r="Z726" t="n">
        <v>185</v>
      </c>
      <c r="AA726" t="n">
        <v>185</v>
      </c>
      <c r="AB726" t="n">
        <v>2</v>
      </c>
      <c r="AC726" t="n">
        <v>2</v>
      </c>
      <c r="AD726" t="n">
        <v>2</v>
      </c>
      <c r="AE726" t="n">
        <v>2</v>
      </c>
      <c r="AF726" t="n">
        <v>0</v>
      </c>
      <c r="AG726" t="n">
        <v>0</v>
      </c>
      <c r="AH726" t="n">
        <v>1</v>
      </c>
      <c r="AI726" t="n">
        <v>1</v>
      </c>
      <c r="AJ726" t="n">
        <v>1</v>
      </c>
      <c r="AK726" t="n">
        <v>1</v>
      </c>
      <c r="AL726" t="n">
        <v>1</v>
      </c>
      <c r="AM726" t="n">
        <v>1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HYPERLINK("https://creighton-primo.hosted.exlibrisgroup.com/primo-explore/search?tab=default_tab&amp;search_scope=EVERYTHING&amp;vid=01CRU&amp;lang=en_US&amp;offset=0&amp;query=any,contains,991000398939702656","Catalog Record")</f>
        <v/>
      </c>
      <c r="AT726">
        <f>HYPERLINK("http://www.worldcat.org/oclc/10605531","WorldCat Record")</f>
        <v/>
      </c>
      <c r="AU726" t="inlineStr">
        <is>
          <t>2869789:eng</t>
        </is>
      </c>
      <c r="AV726" t="inlineStr">
        <is>
          <t>10605531</t>
        </is>
      </c>
      <c r="AW726" t="inlineStr">
        <is>
          <t>991000398939702656</t>
        </is>
      </c>
      <c r="AX726" t="inlineStr">
        <is>
          <t>991000398939702656</t>
        </is>
      </c>
      <c r="AY726" t="inlineStr">
        <is>
          <t>2258727390002656</t>
        </is>
      </c>
      <c r="AZ726" t="inlineStr">
        <is>
          <t>BOOK</t>
        </is>
      </c>
      <c r="BB726" t="inlineStr">
        <is>
          <t>9780136542452</t>
        </is>
      </c>
      <c r="BC726" t="inlineStr">
        <is>
          <t>32285001554608</t>
        </is>
      </c>
      <c r="BD726" t="inlineStr">
        <is>
          <t>893871627</t>
        </is>
      </c>
    </row>
    <row r="727">
      <c r="A727" t="inlineStr">
        <is>
          <t>No</t>
        </is>
      </c>
      <c r="B727" t="inlineStr">
        <is>
          <t>QH431 .B9826</t>
        </is>
      </c>
      <c r="C727" t="inlineStr">
        <is>
          <t>0                      QH 0431000B  9826</t>
        </is>
      </c>
      <c r="D727" t="inlineStr">
        <is>
          <t>Gene control in the living cell [by] J. A. V. Butler.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Butler, J. A. V. (John Alfred Valentine), 1899-1977.</t>
        </is>
      </c>
      <c r="L727" t="inlineStr">
        <is>
          <t>New York, Basic Books [1968]</t>
        </is>
      </c>
      <c r="M727" t="inlineStr">
        <is>
          <t>1968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QH </t>
        </is>
      </c>
      <c r="S727" t="n">
        <v>3</v>
      </c>
      <c r="T727" t="n">
        <v>3</v>
      </c>
      <c r="U727" t="inlineStr">
        <is>
          <t>1999-10-12</t>
        </is>
      </c>
      <c r="V727" t="inlineStr">
        <is>
          <t>1999-10-12</t>
        </is>
      </c>
      <c r="W727" t="inlineStr">
        <is>
          <t>1997-07-02</t>
        </is>
      </c>
      <c r="X727" t="inlineStr">
        <is>
          <t>1997-07-02</t>
        </is>
      </c>
      <c r="Y727" t="n">
        <v>312</v>
      </c>
      <c r="Z727" t="n">
        <v>290</v>
      </c>
      <c r="AA727" t="n">
        <v>311</v>
      </c>
      <c r="AB727" t="n">
        <v>2</v>
      </c>
      <c r="AC727" t="n">
        <v>2</v>
      </c>
      <c r="AD727" t="n">
        <v>8</v>
      </c>
      <c r="AE727" t="n">
        <v>8</v>
      </c>
      <c r="AF727" t="n">
        <v>1</v>
      </c>
      <c r="AG727" t="n">
        <v>1</v>
      </c>
      <c r="AH727" t="n">
        <v>2</v>
      </c>
      <c r="AI727" t="n">
        <v>2</v>
      </c>
      <c r="AJ727" t="n">
        <v>6</v>
      </c>
      <c r="AK727" t="n">
        <v>6</v>
      </c>
      <c r="AL727" t="n">
        <v>1</v>
      </c>
      <c r="AM727" t="n">
        <v>1</v>
      </c>
      <c r="AN727" t="n">
        <v>0</v>
      </c>
      <c r="AO727" t="n">
        <v>0</v>
      </c>
      <c r="AP727" t="inlineStr">
        <is>
          <t>No</t>
        </is>
      </c>
      <c r="AQ727" t="inlineStr">
        <is>
          <t>Yes</t>
        </is>
      </c>
      <c r="AR727">
        <f>HYPERLINK("http://catalog.hathitrust.org/Record/001492087","HathiTrust Record")</f>
        <v/>
      </c>
      <c r="AS727">
        <f>HYPERLINK("https://creighton-primo.hosted.exlibrisgroup.com/primo-explore/search?tab=default_tab&amp;search_scope=EVERYTHING&amp;vid=01CRU&amp;lang=en_US&amp;offset=0&amp;query=any,contains,991002788859702656","Catalog Record")</f>
        <v/>
      </c>
      <c r="AT727">
        <f>HYPERLINK("http://www.worldcat.org/oclc/442693","WorldCat Record")</f>
        <v/>
      </c>
      <c r="AU727" t="inlineStr">
        <is>
          <t>1172455:eng</t>
        </is>
      </c>
      <c r="AV727" t="inlineStr">
        <is>
          <t>442693</t>
        </is>
      </c>
      <c r="AW727" t="inlineStr">
        <is>
          <t>991002788859702656</t>
        </is>
      </c>
      <c r="AX727" t="inlineStr">
        <is>
          <t>991002788859702656</t>
        </is>
      </c>
      <c r="AY727" t="inlineStr">
        <is>
          <t>2256125430002656</t>
        </is>
      </c>
      <c r="AZ727" t="inlineStr">
        <is>
          <t>BOOK</t>
        </is>
      </c>
      <c r="BC727" t="inlineStr">
        <is>
          <t>32285002910361</t>
        </is>
      </c>
      <c r="BD727" t="inlineStr">
        <is>
          <t>893517748</t>
        </is>
      </c>
    </row>
    <row r="728">
      <c r="A728" t="inlineStr">
        <is>
          <t>No</t>
        </is>
      </c>
      <c r="B728" t="inlineStr">
        <is>
          <t>QH431 .C25</t>
        </is>
      </c>
      <c r="C728" t="inlineStr">
        <is>
          <t>0                      QH 0431000C  25</t>
        </is>
      </c>
      <c r="D728" t="inlineStr">
        <is>
          <t>Contributions to the genetics of Drosophila melanogaster.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Carnegie Institution of Washington.</t>
        </is>
      </c>
      <c r="L728" t="inlineStr">
        <is>
          <t>Washington : Carnegie Institution of Washington, 1919.</t>
        </is>
      </c>
      <c r="M728" t="inlineStr">
        <is>
          <t>1919</t>
        </is>
      </c>
      <c r="O728" t="inlineStr">
        <is>
          <t>eng</t>
        </is>
      </c>
      <c r="P728" t="inlineStr">
        <is>
          <t>dcu</t>
        </is>
      </c>
      <c r="Q728" t="inlineStr">
        <is>
          <t>Carnegie Institution of Washington publication ; no. 278</t>
        </is>
      </c>
      <c r="R728" t="inlineStr">
        <is>
          <t xml:space="preserve">QH </t>
        </is>
      </c>
      <c r="S728" t="n">
        <v>2</v>
      </c>
      <c r="T728" t="n">
        <v>2</v>
      </c>
      <c r="U728" t="inlineStr">
        <is>
          <t>2002-03-06</t>
        </is>
      </c>
      <c r="V728" t="inlineStr">
        <is>
          <t>2002-03-06</t>
        </is>
      </c>
      <c r="W728" t="inlineStr">
        <is>
          <t>2000-01-18</t>
        </is>
      </c>
      <c r="X728" t="inlineStr">
        <is>
          <t>2000-01-18</t>
        </is>
      </c>
      <c r="Y728" t="n">
        <v>206</v>
      </c>
      <c r="Z728" t="n">
        <v>155</v>
      </c>
      <c r="AA728" t="n">
        <v>188</v>
      </c>
      <c r="AB728" t="n">
        <v>2</v>
      </c>
      <c r="AC728" t="n">
        <v>2</v>
      </c>
      <c r="AD728" t="n">
        <v>5</v>
      </c>
      <c r="AE728" t="n">
        <v>6</v>
      </c>
      <c r="AF728" t="n">
        <v>2</v>
      </c>
      <c r="AG728" t="n">
        <v>2</v>
      </c>
      <c r="AH728" t="n">
        <v>2</v>
      </c>
      <c r="AI728" t="n">
        <v>3</v>
      </c>
      <c r="AJ728" t="n">
        <v>1</v>
      </c>
      <c r="AK728" t="n">
        <v>1</v>
      </c>
      <c r="AL728" t="n">
        <v>1</v>
      </c>
      <c r="AM728" t="n">
        <v>1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HYPERLINK("http://catalog.hathitrust.org/Record/001492090","HathiTrust Record")</f>
        <v/>
      </c>
      <c r="AS728">
        <f>HYPERLINK("https://creighton-primo.hosted.exlibrisgroup.com/primo-explore/search?tab=default_tab&amp;search_scope=EVERYTHING&amp;vid=01CRU&amp;lang=en_US&amp;offset=0&amp;query=any,contains,991004131889702656","Catalog Record")</f>
        <v/>
      </c>
      <c r="AT728">
        <f>HYPERLINK("http://www.worldcat.org/oclc/2472179","WorldCat Record")</f>
        <v/>
      </c>
      <c r="AU728" t="inlineStr">
        <is>
          <t>364173942:eng</t>
        </is>
      </c>
      <c r="AV728" t="inlineStr">
        <is>
          <t>2472179</t>
        </is>
      </c>
      <c r="AW728" t="inlineStr">
        <is>
          <t>991004131889702656</t>
        </is>
      </c>
      <c r="AX728" t="inlineStr">
        <is>
          <t>991004131889702656</t>
        </is>
      </c>
      <c r="AY728" t="inlineStr">
        <is>
          <t>2257698720002656</t>
        </is>
      </c>
      <c r="AZ728" t="inlineStr">
        <is>
          <t>BOOK</t>
        </is>
      </c>
      <c r="BC728" t="inlineStr">
        <is>
          <t>32285003642328</t>
        </is>
      </c>
      <c r="BD728" t="inlineStr">
        <is>
          <t>893618274</t>
        </is>
      </c>
    </row>
    <row r="729">
      <c r="A729" t="inlineStr">
        <is>
          <t>No</t>
        </is>
      </c>
      <c r="B729" t="inlineStr">
        <is>
          <t>QH431 .C27 1924</t>
        </is>
      </c>
      <c r="C729" t="inlineStr">
        <is>
          <t>0                      QH 0431000C  27          1924</t>
        </is>
      </c>
      <c r="D729" t="inlineStr">
        <is>
          <t>Genetics and eugenics : a text-book for students of biology and a reference book for animal and plant breeders / by W.E. Castle.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Castle, William E. (William Ernest), 1867-1962.</t>
        </is>
      </c>
      <c r="L729" t="inlineStr">
        <is>
          <t>Cambridge : Harvard university press, 1924.</t>
        </is>
      </c>
      <c r="M729" t="inlineStr">
        <is>
          <t>1924</t>
        </is>
      </c>
      <c r="N729" t="inlineStr">
        <is>
          <t>[3d ed.].</t>
        </is>
      </c>
      <c r="O729" t="inlineStr">
        <is>
          <t>eng</t>
        </is>
      </c>
      <c r="P729" t="inlineStr">
        <is>
          <t>mau</t>
        </is>
      </c>
      <c r="R729" t="inlineStr">
        <is>
          <t xml:space="preserve">QH </t>
        </is>
      </c>
      <c r="S729" t="n">
        <v>7</v>
      </c>
      <c r="T729" t="n">
        <v>7</v>
      </c>
      <c r="U729" t="inlineStr">
        <is>
          <t>2000-11-15</t>
        </is>
      </c>
      <c r="V729" t="inlineStr">
        <is>
          <t>2000-11-15</t>
        </is>
      </c>
      <c r="W729" t="inlineStr">
        <is>
          <t>1993-04-15</t>
        </is>
      </c>
      <c r="X729" t="inlineStr">
        <is>
          <t>1993-04-15</t>
        </is>
      </c>
      <c r="Y729" t="n">
        <v>87</v>
      </c>
      <c r="Z729" t="n">
        <v>70</v>
      </c>
      <c r="AA729" t="n">
        <v>407</v>
      </c>
      <c r="AB729" t="n">
        <v>3</v>
      </c>
      <c r="AC729" t="n">
        <v>4</v>
      </c>
      <c r="AD729" t="n">
        <v>3</v>
      </c>
      <c r="AE729" t="n">
        <v>12</v>
      </c>
      <c r="AF729" t="n">
        <v>0</v>
      </c>
      <c r="AG729" t="n">
        <v>3</v>
      </c>
      <c r="AH729" t="n">
        <v>1</v>
      </c>
      <c r="AI729" t="n">
        <v>3</v>
      </c>
      <c r="AJ729" t="n">
        <v>0</v>
      </c>
      <c r="AK729" t="n">
        <v>4</v>
      </c>
      <c r="AL729" t="n">
        <v>2</v>
      </c>
      <c r="AM729" t="n">
        <v>3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HYPERLINK("http://catalog.hathitrust.org/Record/102102040","HathiTrust Record")</f>
        <v/>
      </c>
      <c r="AS729">
        <f>HYPERLINK("https://creighton-primo.hosted.exlibrisgroup.com/primo-explore/search?tab=default_tab&amp;search_scope=EVERYTHING&amp;vid=01CRU&amp;lang=en_US&amp;offset=0&amp;query=any,contains,991001078079702656","Catalog Record")</f>
        <v/>
      </c>
      <c r="AT729">
        <f>HYPERLINK("http://www.worldcat.org/oclc/16080362","WorldCat Record")</f>
        <v/>
      </c>
      <c r="AU729" t="inlineStr">
        <is>
          <t>3493682:eng</t>
        </is>
      </c>
      <c r="AV729" t="inlineStr">
        <is>
          <t>16080362</t>
        </is>
      </c>
      <c r="AW729" t="inlineStr">
        <is>
          <t>991001078079702656</t>
        </is>
      </c>
      <c r="AX729" t="inlineStr">
        <is>
          <t>991001078079702656</t>
        </is>
      </c>
      <c r="AY729" t="inlineStr">
        <is>
          <t>2261524790002656</t>
        </is>
      </c>
      <c r="AZ729" t="inlineStr">
        <is>
          <t>BOOK</t>
        </is>
      </c>
      <c r="BC729" t="inlineStr">
        <is>
          <t>32285001620540</t>
        </is>
      </c>
      <c r="BD729" t="inlineStr">
        <is>
          <t>893315490</t>
        </is>
      </c>
    </row>
    <row r="730">
      <c r="A730" t="inlineStr">
        <is>
          <t>No</t>
        </is>
      </c>
      <c r="B730" t="inlineStr">
        <is>
          <t>QH431 .C395 1994</t>
        </is>
      </c>
      <c r="C730" t="inlineStr">
        <is>
          <t>0                      QH 0431000C  395         1994</t>
        </is>
      </c>
      <c r="D730" t="inlineStr">
        <is>
          <t>The history and geography of human genes / L. Luca Cavalli-Sforza, Paolo Menozzi, Alberto Piazza.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K730" t="inlineStr">
        <is>
          <t>Cavalli-Sforza, L. L. (Luigi Luca), 1922-2018.</t>
        </is>
      </c>
      <c r="L730" t="inlineStr">
        <is>
          <t>Princeton, N.J. : Princeton University Press, c1994.</t>
        </is>
      </c>
      <c r="M730" t="inlineStr">
        <is>
          <t>1994</t>
        </is>
      </c>
      <c r="O730" t="inlineStr">
        <is>
          <t>eng</t>
        </is>
      </c>
      <c r="P730" t="inlineStr">
        <is>
          <t>nju</t>
        </is>
      </c>
      <c r="R730" t="inlineStr">
        <is>
          <t xml:space="preserve">QH </t>
        </is>
      </c>
      <c r="S730" t="n">
        <v>7</v>
      </c>
      <c r="T730" t="n">
        <v>7</v>
      </c>
      <c r="U730" t="inlineStr">
        <is>
          <t>2004-09-07</t>
        </is>
      </c>
      <c r="V730" t="inlineStr">
        <is>
          <t>2004-09-07</t>
        </is>
      </c>
      <c r="W730" t="inlineStr">
        <is>
          <t>1994-12-28</t>
        </is>
      </c>
      <c r="X730" t="inlineStr">
        <is>
          <t>1994-12-28</t>
        </is>
      </c>
      <c r="Y730" t="n">
        <v>788</v>
      </c>
      <c r="Z730" t="n">
        <v>632</v>
      </c>
      <c r="AA730" t="n">
        <v>946</v>
      </c>
      <c r="AB730" t="n">
        <v>5</v>
      </c>
      <c r="AC730" t="n">
        <v>6</v>
      </c>
      <c r="AD730" t="n">
        <v>25</v>
      </c>
      <c r="AE730" t="n">
        <v>42</v>
      </c>
      <c r="AF730" t="n">
        <v>10</v>
      </c>
      <c r="AG730" t="n">
        <v>17</v>
      </c>
      <c r="AH730" t="n">
        <v>3</v>
      </c>
      <c r="AI730" t="n">
        <v>8</v>
      </c>
      <c r="AJ730" t="n">
        <v>13</v>
      </c>
      <c r="AK730" t="n">
        <v>20</v>
      </c>
      <c r="AL730" t="n">
        <v>4</v>
      </c>
      <c r="AM730" t="n">
        <v>5</v>
      </c>
      <c r="AN730" t="n">
        <v>1</v>
      </c>
      <c r="AO730" t="n">
        <v>1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HYPERLINK("https://creighton-primo.hosted.exlibrisgroup.com/primo-explore/search?tab=default_tab&amp;search_scope=EVERYTHING&amp;vid=01CRU&amp;lang=en_US&amp;offset=0&amp;query=any,contains,991002171209702656","Catalog Record")</f>
        <v/>
      </c>
      <c r="AT730">
        <f>HYPERLINK("http://www.worldcat.org/oclc/27936937","WorldCat Record")</f>
        <v/>
      </c>
      <c r="AU730" t="inlineStr">
        <is>
          <t>347886:eng</t>
        </is>
      </c>
      <c r="AV730" t="inlineStr">
        <is>
          <t>27936937</t>
        </is>
      </c>
      <c r="AW730" t="inlineStr">
        <is>
          <t>991002171209702656</t>
        </is>
      </c>
      <c r="AX730" t="inlineStr">
        <is>
          <t>991002171209702656</t>
        </is>
      </c>
      <c r="AY730" t="inlineStr">
        <is>
          <t>2259374330002656</t>
        </is>
      </c>
      <c r="AZ730" t="inlineStr">
        <is>
          <t>BOOK</t>
        </is>
      </c>
      <c r="BB730" t="inlineStr">
        <is>
          <t>9780691087504</t>
        </is>
      </c>
      <c r="BC730" t="inlineStr">
        <is>
          <t>32285001979425</t>
        </is>
      </c>
      <c r="BD730" t="inlineStr">
        <is>
          <t>893779493</t>
        </is>
      </c>
    </row>
    <row r="731">
      <c r="A731" t="inlineStr">
        <is>
          <t>No</t>
        </is>
      </c>
      <c r="B731" t="inlineStr">
        <is>
          <t>QH431 .C395 1996</t>
        </is>
      </c>
      <c r="C731" t="inlineStr">
        <is>
          <t>0                      QH 0431000C  395         1996</t>
        </is>
      </c>
      <c r="D731" t="inlineStr">
        <is>
          <t>The history and geography of human genes / L. Luca Cavalli-Sforza, Paolo Menozzi, Alberto Piazza.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Yes</t>
        </is>
      </c>
      <c r="J731" t="inlineStr">
        <is>
          <t>0</t>
        </is>
      </c>
      <c r="K731" t="inlineStr">
        <is>
          <t>Cavalli-Sforza, L. L. (Luigi Luca), 1922-2018.</t>
        </is>
      </c>
      <c r="L731" t="inlineStr">
        <is>
          <t>Princeton, N.J. : Princeton University Press, 1996, c1994.</t>
        </is>
      </c>
      <c r="M731" t="inlineStr">
        <is>
          <t>1996</t>
        </is>
      </c>
      <c r="N731" t="inlineStr">
        <is>
          <t>Abridged paperback ed.</t>
        </is>
      </c>
      <c r="O731" t="inlineStr">
        <is>
          <t>eng</t>
        </is>
      </c>
      <c r="P731" t="inlineStr">
        <is>
          <t>nju</t>
        </is>
      </c>
      <c r="R731" t="inlineStr">
        <is>
          <t xml:space="preserve">QH </t>
        </is>
      </c>
      <c r="S731" t="n">
        <v>9</v>
      </c>
      <c r="T731" t="n">
        <v>9</v>
      </c>
      <c r="U731" t="inlineStr">
        <is>
          <t>2008-09-28</t>
        </is>
      </c>
      <c r="V731" t="inlineStr">
        <is>
          <t>2008-09-28</t>
        </is>
      </c>
      <c r="W731" t="inlineStr">
        <is>
          <t>1997-10-01</t>
        </is>
      </c>
      <c r="X731" t="inlineStr">
        <is>
          <t>1997-10-01</t>
        </is>
      </c>
      <c r="Y731" t="n">
        <v>271</v>
      </c>
      <c r="Z731" t="n">
        <v>230</v>
      </c>
      <c r="AA731" t="n">
        <v>946</v>
      </c>
      <c r="AB731" t="n">
        <v>3</v>
      </c>
      <c r="AC731" t="n">
        <v>6</v>
      </c>
      <c r="AD731" t="n">
        <v>9</v>
      </c>
      <c r="AE731" t="n">
        <v>42</v>
      </c>
      <c r="AF731" t="n">
        <v>3</v>
      </c>
      <c r="AG731" t="n">
        <v>17</v>
      </c>
      <c r="AH731" t="n">
        <v>2</v>
      </c>
      <c r="AI731" t="n">
        <v>8</v>
      </c>
      <c r="AJ731" t="n">
        <v>2</v>
      </c>
      <c r="AK731" t="n">
        <v>20</v>
      </c>
      <c r="AL731" t="n">
        <v>2</v>
      </c>
      <c r="AM731" t="n">
        <v>5</v>
      </c>
      <c r="AN731" t="n">
        <v>0</v>
      </c>
      <c r="AO731" t="n">
        <v>1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HYPERLINK("https://creighton-primo.hosted.exlibrisgroup.com/primo-explore/search?tab=default_tab&amp;search_scope=EVERYTHING&amp;vid=01CRU&amp;lang=en_US&amp;offset=0&amp;query=any,contains,991002710459702656","Catalog Record")</f>
        <v/>
      </c>
      <c r="AT731">
        <f>HYPERLINK("http://www.worldcat.org/oclc/35527063","WorldCat Record")</f>
        <v/>
      </c>
      <c r="AU731" t="inlineStr">
        <is>
          <t>347886:eng</t>
        </is>
      </c>
      <c r="AV731" t="inlineStr">
        <is>
          <t>35527063</t>
        </is>
      </c>
      <c r="AW731" t="inlineStr">
        <is>
          <t>991002710459702656</t>
        </is>
      </c>
      <c r="AX731" t="inlineStr">
        <is>
          <t>991002710459702656</t>
        </is>
      </c>
      <c r="AY731" t="inlineStr">
        <is>
          <t>2260868640002656</t>
        </is>
      </c>
      <c r="AZ731" t="inlineStr">
        <is>
          <t>BOOK</t>
        </is>
      </c>
      <c r="BB731" t="inlineStr">
        <is>
          <t>9780691029054</t>
        </is>
      </c>
      <c r="BC731" t="inlineStr">
        <is>
          <t>32285003251682</t>
        </is>
      </c>
      <c r="BD731" t="inlineStr">
        <is>
          <t>893591675</t>
        </is>
      </c>
    </row>
    <row r="732">
      <c r="A732" t="inlineStr">
        <is>
          <t>No</t>
        </is>
      </c>
      <c r="B732" t="inlineStr">
        <is>
          <t>QH431 .C886</t>
        </is>
      </c>
      <c r="C732" t="inlineStr">
        <is>
          <t>0                      QH 0431000C  886</t>
        </is>
      </c>
      <c r="D732" t="inlineStr">
        <is>
          <t>An introduction to population genetics theory / [by] James F. Crow [and] Motoo Kimura.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Crow, James F. (James Franklin), 1916-2012.</t>
        </is>
      </c>
      <c r="L732" t="inlineStr">
        <is>
          <t>New York : Harper &amp; Row, [1970].</t>
        </is>
      </c>
      <c r="M732" t="inlineStr">
        <is>
          <t>1970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QH </t>
        </is>
      </c>
      <c r="S732" t="n">
        <v>89</v>
      </c>
      <c r="T732" t="n">
        <v>89</v>
      </c>
      <c r="U732" t="inlineStr">
        <is>
          <t>2005-07-20</t>
        </is>
      </c>
      <c r="V732" t="inlineStr">
        <is>
          <t>2005-07-20</t>
        </is>
      </c>
      <c r="W732" t="inlineStr">
        <is>
          <t>1990-03-07</t>
        </is>
      </c>
      <c r="X732" t="inlineStr">
        <is>
          <t>1990-03-07</t>
        </is>
      </c>
      <c r="Y732" t="n">
        <v>751</v>
      </c>
      <c r="Z732" t="n">
        <v>584</v>
      </c>
      <c r="AA732" t="n">
        <v>607</v>
      </c>
      <c r="AB732" t="n">
        <v>4</v>
      </c>
      <c r="AC732" t="n">
        <v>4</v>
      </c>
      <c r="AD732" t="n">
        <v>24</v>
      </c>
      <c r="AE732" t="n">
        <v>24</v>
      </c>
      <c r="AF732" t="n">
        <v>9</v>
      </c>
      <c r="AG732" t="n">
        <v>9</v>
      </c>
      <c r="AH732" t="n">
        <v>4</v>
      </c>
      <c r="AI732" t="n">
        <v>4</v>
      </c>
      <c r="AJ732" t="n">
        <v>14</v>
      </c>
      <c r="AK732" t="n">
        <v>14</v>
      </c>
      <c r="AL732" t="n">
        <v>3</v>
      </c>
      <c r="AM732" t="n">
        <v>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HYPERLINK("http://catalog.hathitrust.org/Record/004395230","HathiTrust Record")</f>
        <v/>
      </c>
      <c r="AS732">
        <f>HYPERLINK("https://creighton-primo.hosted.exlibrisgroup.com/primo-explore/search?tab=default_tab&amp;search_scope=EVERYTHING&amp;vid=01CRU&amp;lang=en_US&amp;offset=0&amp;query=any,contains,991000543639702656","Catalog Record")</f>
        <v/>
      </c>
      <c r="AT732">
        <f>HYPERLINK("http://www.worldcat.org/oclc/91086","WorldCat Record")</f>
        <v/>
      </c>
      <c r="AU732" t="inlineStr">
        <is>
          <t>465623:eng</t>
        </is>
      </c>
      <c r="AV732" t="inlineStr">
        <is>
          <t>91086</t>
        </is>
      </c>
      <c r="AW732" t="inlineStr">
        <is>
          <t>991000543639702656</t>
        </is>
      </c>
      <c r="AX732" t="inlineStr">
        <is>
          <t>991000543639702656</t>
        </is>
      </c>
      <c r="AY732" t="inlineStr">
        <is>
          <t>2264569000002656</t>
        </is>
      </c>
      <c r="AZ732" t="inlineStr">
        <is>
          <t>BOOK</t>
        </is>
      </c>
      <c r="BC732" t="inlineStr">
        <is>
          <t>32285000080530</t>
        </is>
      </c>
      <c r="BD732" t="inlineStr">
        <is>
          <t>893689792</t>
        </is>
      </c>
    </row>
    <row r="733">
      <c r="A733" t="inlineStr">
        <is>
          <t>No</t>
        </is>
      </c>
      <c r="B733" t="inlineStr">
        <is>
          <t>QH431 .D212 1958</t>
        </is>
      </c>
      <c r="C733" t="inlineStr">
        <is>
          <t>0                      QH 0431000D  212         1958</t>
        </is>
      </c>
      <c r="D733" t="inlineStr">
        <is>
          <t>The evolution of genetic systems / C.D. Darlington.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Darlington, C. D. (Cyril Dean), 1903-1981.</t>
        </is>
      </c>
      <c r="L733" t="inlineStr">
        <is>
          <t>New York : Basic Books, [1958]</t>
        </is>
      </c>
      <c r="M733" t="inlineStr">
        <is>
          <t>1958</t>
        </is>
      </c>
      <c r="N733" t="inlineStr">
        <is>
          <t>[2d ed., rev. and enl.].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QH </t>
        </is>
      </c>
      <c r="S733" t="n">
        <v>1</v>
      </c>
      <c r="T733" t="n">
        <v>1</v>
      </c>
      <c r="U733" t="inlineStr">
        <is>
          <t>2000-11-21</t>
        </is>
      </c>
      <c r="V733" t="inlineStr">
        <is>
          <t>2000-11-21</t>
        </is>
      </c>
      <c r="W733" t="inlineStr">
        <is>
          <t>2000-11-21</t>
        </is>
      </c>
      <c r="X733" t="inlineStr">
        <is>
          <t>2000-11-21</t>
        </is>
      </c>
      <c r="Y733" t="n">
        <v>315</v>
      </c>
      <c r="Z733" t="n">
        <v>283</v>
      </c>
      <c r="AA733" t="n">
        <v>418</v>
      </c>
      <c r="AB733" t="n">
        <v>2</v>
      </c>
      <c r="AC733" t="n">
        <v>2</v>
      </c>
      <c r="AD733" t="n">
        <v>11</v>
      </c>
      <c r="AE733" t="n">
        <v>16</v>
      </c>
      <c r="AF733" t="n">
        <v>5</v>
      </c>
      <c r="AG733" t="n">
        <v>5</v>
      </c>
      <c r="AH733" t="n">
        <v>1</v>
      </c>
      <c r="AI733" t="n">
        <v>3</v>
      </c>
      <c r="AJ733" t="n">
        <v>5</v>
      </c>
      <c r="AK733" t="n">
        <v>8</v>
      </c>
      <c r="AL733" t="n">
        <v>1</v>
      </c>
      <c r="AM733" t="n">
        <v>1</v>
      </c>
      <c r="AN733" t="n">
        <v>0</v>
      </c>
      <c r="AO733" t="n">
        <v>0</v>
      </c>
      <c r="AP733" t="inlineStr">
        <is>
          <t>Yes</t>
        </is>
      </c>
      <c r="AQ733" t="inlineStr">
        <is>
          <t>Yes</t>
        </is>
      </c>
      <c r="AR733">
        <f>HYPERLINK("http://catalog.hathitrust.org/Record/002001478","HathiTrust Record")</f>
        <v/>
      </c>
      <c r="AS733">
        <f>HYPERLINK("https://creighton-primo.hosted.exlibrisgroup.com/primo-explore/search?tab=default_tab&amp;search_scope=EVERYTHING&amp;vid=01CRU&amp;lang=en_US&amp;offset=0&amp;query=any,contains,991003341119702656","Catalog Record")</f>
        <v/>
      </c>
      <c r="AT733">
        <f>HYPERLINK("http://www.worldcat.org/oclc/552456","WorldCat Record")</f>
        <v/>
      </c>
      <c r="AU733" t="inlineStr">
        <is>
          <t>1600487:eng</t>
        </is>
      </c>
      <c r="AV733" t="inlineStr">
        <is>
          <t>552456</t>
        </is>
      </c>
      <c r="AW733" t="inlineStr">
        <is>
          <t>991003341119702656</t>
        </is>
      </c>
      <c r="AX733" t="inlineStr">
        <is>
          <t>991003341119702656</t>
        </is>
      </c>
      <c r="AY733" t="inlineStr">
        <is>
          <t>2259504790002656</t>
        </is>
      </c>
      <c r="AZ733" t="inlineStr">
        <is>
          <t>BOOK</t>
        </is>
      </c>
      <c r="BC733" t="inlineStr">
        <is>
          <t>32285004267174</t>
        </is>
      </c>
      <c r="BD733" t="inlineStr">
        <is>
          <t>893428699</t>
        </is>
      </c>
    </row>
    <row r="734">
      <c r="A734" t="inlineStr">
        <is>
          <t>No</t>
        </is>
      </c>
      <c r="B734" t="inlineStr">
        <is>
          <t>QH431 .D8395</t>
        </is>
      </c>
      <c r="C734" t="inlineStr">
        <is>
          <t>0                      QH 0431000D  8395</t>
        </is>
      </c>
      <c r="D734" t="inlineStr">
        <is>
          <t>Heredity and evolution in human populations.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Dunn, L. C. (Leslie Clarence), 1893-1974.</t>
        </is>
      </c>
      <c r="L734" t="inlineStr">
        <is>
          <t>Cambridge, Harvard University Press, 1959.</t>
        </is>
      </c>
      <c r="M734" t="inlineStr">
        <is>
          <t>1959</t>
        </is>
      </c>
      <c r="O734" t="inlineStr">
        <is>
          <t>eng</t>
        </is>
      </c>
      <c r="P734" t="inlineStr">
        <is>
          <t>mau</t>
        </is>
      </c>
      <c r="Q734" t="inlineStr">
        <is>
          <t>Harvard books in biology ; no. 1</t>
        </is>
      </c>
      <c r="R734" t="inlineStr">
        <is>
          <t xml:space="preserve">QH </t>
        </is>
      </c>
      <c r="S734" t="n">
        <v>1</v>
      </c>
      <c r="T734" t="n">
        <v>1</v>
      </c>
      <c r="U734" t="inlineStr">
        <is>
          <t>2009-11-06</t>
        </is>
      </c>
      <c r="V734" t="inlineStr">
        <is>
          <t>2009-11-06</t>
        </is>
      </c>
      <c r="W734" t="inlineStr">
        <is>
          <t>1997-07-02</t>
        </is>
      </c>
      <c r="X734" t="inlineStr">
        <is>
          <t>1997-07-02</t>
        </is>
      </c>
      <c r="Y734" t="n">
        <v>466</v>
      </c>
      <c r="Z734" t="n">
        <v>388</v>
      </c>
      <c r="AA734" t="n">
        <v>743</v>
      </c>
      <c r="AB734" t="n">
        <v>3</v>
      </c>
      <c r="AC734" t="n">
        <v>6</v>
      </c>
      <c r="AD734" t="n">
        <v>19</v>
      </c>
      <c r="AE734" t="n">
        <v>29</v>
      </c>
      <c r="AF734" t="n">
        <v>7</v>
      </c>
      <c r="AG734" t="n">
        <v>11</v>
      </c>
      <c r="AH734" t="n">
        <v>3</v>
      </c>
      <c r="AI734" t="n">
        <v>4</v>
      </c>
      <c r="AJ734" t="n">
        <v>9</v>
      </c>
      <c r="AK734" t="n">
        <v>14</v>
      </c>
      <c r="AL734" t="n">
        <v>2</v>
      </c>
      <c r="AM734" t="n">
        <v>5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HYPERLINK("http://catalog.hathitrust.org/Record/003826466","HathiTrust Record")</f>
        <v/>
      </c>
      <c r="AS734">
        <f>HYPERLINK("https://creighton-primo.hosted.exlibrisgroup.com/primo-explore/search?tab=default_tab&amp;search_scope=EVERYTHING&amp;vid=01CRU&amp;lang=en_US&amp;offset=0&amp;query=any,contains,991002976899702656","Catalog Record")</f>
        <v/>
      </c>
      <c r="AT734">
        <f>HYPERLINK("http://www.worldcat.org/oclc/552394","WorldCat Record")</f>
        <v/>
      </c>
      <c r="AU734" t="inlineStr">
        <is>
          <t>8908649362:eng</t>
        </is>
      </c>
      <c r="AV734" t="inlineStr">
        <is>
          <t>552394</t>
        </is>
      </c>
      <c r="AW734" t="inlineStr">
        <is>
          <t>991002976899702656</t>
        </is>
      </c>
      <c r="AX734" t="inlineStr">
        <is>
          <t>991002976899702656</t>
        </is>
      </c>
      <c r="AY734" t="inlineStr">
        <is>
          <t>2259665140002656</t>
        </is>
      </c>
      <c r="AZ734" t="inlineStr">
        <is>
          <t>BOOK</t>
        </is>
      </c>
      <c r="BC734" t="inlineStr">
        <is>
          <t>32285002910536</t>
        </is>
      </c>
      <c r="BD734" t="inlineStr">
        <is>
          <t>893893236</t>
        </is>
      </c>
    </row>
    <row r="735">
      <c r="A735" t="inlineStr">
        <is>
          <t>No</t>
        </is>
      </c>
      <c r="B735" t="inlineStr">
        <is>
          <t>QH431 .E35 1978</t>
        </is>
      </c>
      <c r="C735" t="inlineStr">
        <is>
          <t>0                      QH 0431000E  35          1978</t>
        </is>
      </c>
      <c r="D735" t="inlineStr">
        <is>
          <t>Human genetics / J. H. Edwards. --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Edwards, J. H. (John Hilton)</t>
        </is>
      </c>
      <c r="L735" t="inlineStr">
        <is>
          <t>New York : Wiley, 1978.</t>
        </is>
      </c>
      <c r="M735" t="inlineStr">
        <is>
          <t>1978</t>
        </is>
      </c>
      <c r="O735" t="inlineStr">
        <is>
          <t>eng</t>
        </is>
      </c>
      <c r="P735" t="inlineStr">
        <is>
          <t>nyu</t>
        </is>
      </c>
      <c r="Q735" t="inlineStr">
        <is>
          <t>Outline studies in biology.</t>
        </is>
      </c>
      <c r="R735" t="inlineStr">
        <is>
          <t xml:space="preserve">QH </t>
        </is>
      </c>
      <c r="S735" t="n">
        <v>3</v>
      </c>
      <c r="T735" t="n">
        <v>3</v>
      </c>
      <c r="U735" t="inlineStr">
        <is>
          <t>1995-11-01</t>
        </is>
      </c>
      <c r="V735" t="inlineStr">
        <is>
          <t>1995-11-01</t>
        </is>
      </c>
      <c r="W735" t="inlineStr">
        <is>
          <t>1993-04-07</t>
        </is>
      </c>
      <c r="X735" t="inlineStr">
        <is>
          <t>1993-04-07</t>
        </is>
      </c>
      <c r="Y735" t="n">
        <v>6</v>
      </c>
      <c r="Z735" t="n">
        <v>4</v>
      </c>
      <c r="AA735" t="n">
        <v>157</v>
      </c>
      <c r="AB735" t="n">
        <v>1</v>
      </c>
      <c r="AC735" t="n">
        <v>4</v>
      </c>
      <c r="AD735" t="n">
        <v>0</v>
      </c>
      <c r="AE735" t="n">
        <v>7</v>
      </c>
      <c r="AF735" t="n">
        <v>0</v>
      </c>
      <c r="AG735" t="n">
        <v>3</v>
      </c>
      <c r="AH735" t="n">
        <v>0</v>
      </c>
      <c r="AI735" t="n">
        <v>1</v>
      </c>
      <c r="AJ735" t="n">
        <v>0</v>
      </c>
      <c r="AK735" t="n">
        <v>3</v>
      </c>
      <c r="AL735" t="n">
        <v>0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HYPERLINK("https://creighton-primo.hosted.exlibrisgroup.com/primo-explore/search?tab=default_tab&amp;search_scope=EVERYTHING&amp;vid=01CRU&amp;lang=en_US&amp;offset=0&amp;query=any,contains,991004611779702656","Catalog Record")</f>
        <v/>
      </c>
      <c r="AT735">
        <f>HYPERLINK("http://www.worldcat.org/oclc/4219036","WorldCat Record")</f>
        <v/>
      </c>
      <c r="AU735" t="inlineStr">
        <is>
          <t>4020119682:eng</t>
        </is>
      </c>
      <c r="AV735" t="inlineStr">
        <is>
          <t>4219036</t>
        </is>
      </c>
      <c r="AW735" t="inlineStr">
        <is>
          <t>991004611779702656</t>
        </is>
      </c>
      <c r="AX735" t="inlineStr">
        <is>
          <t>991004611779702656</t>
        </is>
      </c>
      <c r="AY735" t="inlineStr">
        <is>
          <t>2267607520002656</t>
        </is>
      </c>
      <c r="AZ735" t="inlineStr">
        <is>
          <t>BOOK</t>
        </is>
      </c>
      <c r="BB735" t="inlineStr">
        <is>
          <t>9780412131707</t>
        </is>
      </c>
      <c r="BC735" t="inlineStr">
        <is>
          <t>32285001554632</t>
        </is>
      </c>
      <c r="BD735" t="inlineStr">
        <is>
          <t>893869911</t>
        </is>
      </c>
    </row>
    <row r="736">
      <c r="A736" t="inlineStr">
        <is>
          <t>No</t>
        </is>
      </c>
      <c r="B736" t="inlineStr">
        <is>
          <t>QH431 .E55</t>
        </is>
      </c>
      <c r="C736" t="inlineStr">
        <is>
          <t>0                      QH 0431000E  55</t>
        </is>
      </c>
      <c r="D736" t="inlineStr">
        <is>
          <t>Probability models and statistical methods in genetics [by] Regina C. Elandt-Johnson.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Elandt-Johnson, Regina C., 1918-2011.</t>
        </is>
      </c>
      <c r="L736" t="inlineStr">
        <is>
          <t>New York, Wiley [1971]</t>
        </is>
      </c>
      <c r="M736" t="inlineStr">
        <is>
          <t>1971</t>
        </is>
      </c>
      <c r="O736" t="inlineStr">
        <is>
          <t>eng</t>
        </is>
      </c>
      <c r="P736" t="inlineStr">
        <is>
          <t>nyu</t>
        </is>
      </c>
      <c r="Q736" t="inlineStr">
        <is>
          <t>A Wiley publication in applied statistics</t>
        </is>
      </c>
      <c r="R736" t="inlineStr">
        <is>
          <t xml:space="preserve">QH </t>
        </is>
      </c>
      <c r="S736" t="n">
        <v>18</v>
      </c>
      <c r="T736" t="n">
        <v>18</v>
      </c>
      <c r="U736" t="inlineStr">
        <is>
          <t>2006-09-18</t>
        </is>
      </c>
      <c r="V736" t="inlineStr">
        <is>
          <t>2006-09-18</t>
        </is>
      </c>
      <c r="W736" t="inlineStr">
        <is>
          <t>1997-07-02</t>
        </is>
      </c>
      <c r="X736" t="inlineStr">
        <is>
          <t>1997-07-02</t>
        </is>
      </c>
      <c r="Y736" t="n">
        <v>516</v>
      </c>
      <c r="Z736" t="n">
        <v>359</v>
      </c>
      <c r="AA736" t="n">
        <v>369</v>
      </c>
      <c r="AB736" t="n">
        <v>3</v>
      </c>
      <c r="AC736" t="n">
        <v>3</v>
      </c>
      <c r="AD736" t="n">
        <v>14</v>
      </c>
      <c r="AE736" t="n">
        <v>14</v>
      </c>
      <c r="AF736" t="n">
        <v>3</v>
      </c>
      <c r="AG736" t="n">
        <v>3</v>
      </c>
      <c r="AH736" t="n">
        <v>4</v>
      </c>
      <c r="AI736" t="n">
        <v>4</v>
      </c>
      <c r="AJ736" t="n">
        <v>7</v>
      </c>
      <c r="AK736" t="n">
        <v>7</v>
      </c>
      <c r="AL736" t="n">
        <v>2</v>
      </c>
      <c r="AM736" t="n">
        <v>2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HYPERLINK("http://catalog.hathitrust.org/Record/000002270","HathiTrust Record")</f>
        <v/>
      </c>
      <c r="AS736">
        <f>HYPERLINK("https://creighton-primo.hosted.exlibrisgroup.com/primo-explore/search?tab=default_tab&amp;search_scope=EVERYTHING&amp;vid=01CRU&amp;lang=en_US&amp;offset=0&amp;query=any,contains,991005353409702656","Catalog Record")</f>
        <v/>
      </c>
      <c r="AT736">
        <f>HYPERLINK("http://www.worldcat.org/oclc/151765","WorldCat Record")</f>
        <v/>
      </c>
      <c r="AU736" t="inlineStr">
        <is>
          <t>1173183:eng</t>
        </is>
      </c>
      <c r="AV736" t="inlineStr">
        <is>
          <t>151765</t>
        </is>
      </c>
      <c r="AW736" t="inlineStr">
        <is>
          <t>991005353409702656</t>
        </is>
      </c>
      <c r="AX736" t="inlineStr">
        <is>
          <t>991005353409702656</t>
        </is>
      </c>
      <c r="AY736" t="inlineStr">
        <is>
          <t>2272201000002656</t>
        </is>
      </c>
      <c r="AZ736" t="inlineStr">
        <is>
          <t>BOOK</t>
        </is>
      </c>
      <c r="BB736" t="inlineStr">
        <is>
          <t>9780471234906</t>
        </is>
      </c>
      <c r="BC736" t="inlineStr">
        <is>
          <t>32285002910544</t>
        </is>
      </c>
      <c r="BD736" t="inlineStr">
        <is>
          <t>893883709</t>
        </is>
      </c>
    </row>
    <row r="737">
      <c r="A737" t="inlineStr">
        <is>
          <t>No</t>
        </is>
      </c>
      <c r="B737" t="inlineStr">
        <is>
          <t>QH431 .F88</t>
        </is>
      </c>
      <c r="C737" t="inlineStr">
        <is>
          <t>0                      QH 0431000F  88</t>
        </is>
      </c>
      <c r="D737" t="inlineStr">
        <is>
          <t>Behavior genetics / [by] John L. Fuller [and] W. Robert Thompson.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Fuller, John L. (John Langworthy), 1910-1992.</t>
        </is>
      </c>
      <c r="L737" t="inlineStr">
        <is>
          <t>New York : Wiley, [1960]</t>
        </is>
      </c>
      <c r="M737" t="inlineStr">
        <is>
          <t>1960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QH </t>
        </is>
      </c>
      <c r="S737" t="n">
        <v>6</v>
      </c>
      <c r="T737" t="n">
        <v>6</v>
      </c>
      <c r="U737" t="inlineStr">
        <is>
          <t>2004-01-19</t>
        </is>
      </c>
      <c r="V737" t="inlineStr">
        <is>
          <t>2004-01-19</t>
        </is>
      </c>
      <c r="W737" t="inlineStr">
        <is>
          <t>1992-04-11</t>
        </is>
      </c>
      <c r="X737" t="inlineStr">
        <is>
          <t>1992-04-11</t>
        </is>
      </c>
      <c r="Y737" t="n">
        <v>759</v>
      </c>
      <c r="Z737" t="n">
        <v>622</v>
      </c>
      <c r="AA737" t="n">
        <v>638</v>
      </c>
      <c r="AB737" t="n">
        <v>4</v>
      </c>
      <c r="AC737" t="n">
        <v>4</v>
      </c>
      <c r="AD737" t="n">
        <v>23</v>
      </c>
      <c r="AE737" t="n">
        <v>23</v>
      </c>
      <c r="AF737" t="n">
        <v>8</v>
      </c>
      <c r="AG737" t="n">
        <v>8</v>
      </c>
      <c r="AH737" t="n">
        <v>4</v>
      </c>
      <c r="AI737" t="n">
        <v>4</v>
      </c>
      <c r="AJ737" t="n">
        <v>12</v>
      </c>
      <c r="AK737" t="n">
        <v>12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R737">
        <f>HYPERLINK("http://catalog.hathitrust.org/Record/001492161","HathiTrust Record")</f>
        <v/>
      </c>
      <c r="AS737">
        <f>HYPERLINK("https://creighton-primo.hosted.exlibrisgroup.com/primo-explore/search?tab=default_tab&amp;search_scope=EVERYTHING&amp;vid=01CRU&amp;lang=en_US&amp;offset=0&amp;query=any,contains,991002901399702656","Catalog Record")</f>
        <v/>
      </c>
      <c r="AT737">
        <f>HYPERLINK("http://www.worldcat.org/oclc/517498","WorldCat Record")</f>
        <v/>
      </c>
      <c r="AU737" t="inlineStr">
        <is>
          <t>136759554:eng</t>
        </is>
      </c>
      <c r="AV737" t="inlineStr">
        <is>
          <t>517498</t>
        </is>
      </c>
      <c r="AW737" t="inlineStr">
        <is>
          <t>991002901399702656</t>
        </is>
      </c>
      <c r="AX737" t="inlineStr">
        <is>
          <t>991002901399702656</t>
        </is>
      </c>
      <c r="AY737" t="inlineStr">
        <is>
          <t>2255181620002656</t>
        </is>
      </c>
      <c r="AZ737" t="inlineStr">
        <is>
          <t>BOOK</t>
        </is>
      </c>
      <c r="BC737" t="inlineStr">
        <is>
          <t>32285001058022</t>
        </is>
      </c>
      <c r="BD737" t="inlineStr">
        <is>
          <t>893245797</t>
        </is>
      </c>
    </row>
    <row r="738">
      <c r="A738" t="inlineStr">
        <is>
          <t>No</t>
        </is>
      </c>
      <c r="B738" t="inlineStr">
        <is>
          <t>QH431 .H49</t>
        </is>
      </c>
      <c r="C738" t="inlineStr">
        <is>
          <t>0                      QH 0431000H  49</t>
        </is>
      </c>
      <c r="D738" t="inlineStr">
        <is>
          <t>Genetics &amp; human heredity [by] J. Ben Hill [and] Helen D. Hill.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Hill, J. Ben (John Ben), 1879-1961.</t>
        </is>
      </c>
      <c r="L738" t="inlineStr">
        <is>
          <t>New York, McGraw-Hill [1955]</t>
        </is>
      </c>
      <c r="M738" t="inlineStr">
        <is>
          <t>1955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QH </t>
        </is>
      </c>
      <c r="S738" t="n">
        <v>2</v>
      </c>
      <c r="T738" t="n">
        <v>2</v>
      </c>
      <c r="U738" t="inlineStr">
        <is>
          <t>1998-10-05</t>
        </is>
      </c>
      <c r="V738" t="inlineStr">
        <is>
          <t>1998-10-05</t>
        </is>
      </c>
      <c r="W738" t="inlineStr">
        <is>
          <t>1997-07-02</t>
        </is>
      </c>
      <c r="X738" t="inlineStr">
        <is>
          <t>1997-07-02</t>
        </is>
      </c>
      <c r="Y738" t="n">
        <v>245</v>
      </c>
      <c r="Z738" t="n">
        <v>179</v>
      </c>
      <c r="AA738" t="n">
        <v>179</v>
      </c>
      <c r="AB738" t="n">
        <v>2</v>
      </c>
      <c r="AC738" t="n">
        <v>2</v>
      </c>
      <c r="AD738" t="n">
        <v>6</v>
      </c>
      <c r="AE738" t="n">
        <v>6</v>
      </c>
      <c r="AF738" t="n">
        <v>1</v>
      </c>
      <c r="AG738" t="n">
        <v>1</v>
      </c>
      <c r="AH738" t="n">
        <v>2</v>
      </c>
      <c r="AI738" t="n">
        <v>2</v>
      </c>
      <c r="AJ738" t="n">
        <v>5</v>
      </c>
      <c r="AK738" t="n">
        <v>5</v>
      </c>
      <c r="AL738" t="n">
        <v>1</v>
      </c>
      <c r="AM738" t="n">
        <v>1</v>
      </c>
      <c r="AN738" t="n">
        <v>0</v>
      </c>
      <c r="AO738" t="n">
        <v>0</v>
      </c>
      <c r="AP738" t="inlineStr">
        <is>
          <t>Yes</t>
        </is>
      </c>
      <c r="AQ738" t="inlineStr">
        <is>
          <t>No</t>
        </is>
      </c>
      <c r="AR738">
        <f>HYPERLINK("http://catalog.hathitrust.org/Record/010057496","HathiTrust Record")</f>
        <v/>
      </c>
      <c r="AS738">
        <f>HYPERLINK("https://creighton-primo.hosted.exlibrisgroup.com/primo-explore/search?tab=default_tab&amp;search_scope=EVERYTHING&amp;vid=01CRU&amp;lang=en_US&amp;offset=0&amp;query=any,contains,991003449399702656","Catalog Record")</f>
        <v/>
      </c>
      <c r="AT738">
        <f>HYPERLINK("http://www.worldcat.org/oclc/985519","WorldCat Record")</f>
        <v/>
      </c>
      <c r="AU738" t="inlineStr">
        <is>
          <t>1956420:eng</t>
        </is>
      </c>
      <c r="AV738" t="inlineStr">
        <is>
          <t>985519</t>
        </is>
      </c>
      <c r="AW738" t="inlineStr">
        <is>
          <t>991003449399702656</t>
        </is>
      </c>
      <c r="AX738" t="inlineStr">
        <is>
          <t>991003449399702656</t>
        </is>
      </c>
      <c r="AY738" t="inlineStr">
        <is>
          <t>2271452330002656</t>
        </is>
      </c>
      <c r="AZ738" t="inlineStr">
        <is>
          <t>BOOK</t>
        </is>
      </c>
      <c r="BC738" t="inlineStr">
        <is>
          <t>32285002910791</t>
        </is>
      </c>
      <c r="BD738" t="inlineStr">
        <is>
          <t>893874762</t>
        </is>
      </c>
    </row>
    <row r="739">
      <c r="A739" t="inlineStr">
        <is>
          <t>No</t>
        </is>
      </c>
      <c r="B739" t="inlineStr">
        <is>
          <t>QH431 .H87 1994</t>
        </is>
      </c>
      <c r="C739" t="inlineStr">
        <is>
          <t>0                      QH 0431000H  87          1994</t>
        </is>
      </c>
      <c r="D739" t="inlineStr">
        <is>
          <t>The Human genome project : deciphering the blueprint of heredity / edited by Necia Grant Cooper ; foreword by Paul Berg.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L739" t="inlineStr">
        <is>
          <t>Mill Valley, Calif. : University Science Books, c1994.</t>
        </is>
      </c>
      <c r="M739" t="inlineStr">
        <is>
          <t>1994</t>
        </is>
      </c>
      <c r="O739" t="inlineStr">
        <is>
          <t>eng</t>
        </is>
      </c>
      <c r="P739" t="inlineStr">
        <is>
          <t>cau</t>
        </is>
      </c>
      <c r="R739" t="inlineStr">
        <is>
          <t xml:space="preserve">QH </t>
        </is>
      </c>
      <c r="S739" t="n">
        <v>21</v>
      </c>
      <c r="T739" t="n">
        <v>21</v>
      </c>
      <c r="U739" t="inlineStr">
        <is>
          <t>2001-09-29</t>
        </is>
      </c>
      <c r="V739" t="inlineStr">
        <is>
          <t>2001-09-29</t>
        </is>
      </c>
      <c r="W739" t="inlineStr">
        <is>
          <t>1994-12-15</t>
        </is>
      </c>
      <c r="X739" t="inlineStr">
        <is>
          <t>1994-12-15</t>
        </is>
      </c>
      <c r="Y739" t="n">
        <v>808</v>
      </c>
      <c r="Z739" t="n">
        <v>660</v>
      </c>
      <c r="AA739" t="n">
        <v>664</v>
      </c>
      <c r="AB739" t="n">
        <v>4</v>
      </c>
      <c r="AC739" t="n">
        <v>4</v>
      </c>
      <c r="AD739" t="n">
        <v>31</v>
      </c>
      <c r="AE739" t="n">
        <v>31</v>
      </c>
      <c r="AF739" t="n">
        <v>16</v>
      </c>
      <c r="AG739" t="n">
        <v>16</v>
      </c>
      <c r="AH739" t="n">
        <v>5</v>
      </c>
      <c r="AI739" t="n">
        <v>5</v>
      </c>
      <c r="AJ739" t="n">
        <v>14</v>
      </c>
      <c r="AK739" t="n">
        <v>14</v>
      </c>
      <c r="AL739" t="n">
        <v>3</v>
      </c>
      <c r="AM739" t="n">
        <v>3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HYPERLINK("https://creighton-primo.hosted.exlibrisgroup.com/primo-explore/search?tab=default_tab&amp;search_scope=EVERYTHING&amp;vid=01CRU&amp;lang=en_US&amp;offset=0&amp;query=any,contains,991002316419702656","Catalog Record")</f>
        <v/>
      </c>
      <c r="AT739">
        <f>HYPERLINK("http://www.worldcat.org/oclc/30058423","WorldCat Record")</f>
        <v/>
      </c>
      <c r="AU739" t="inlineStr">
        <is>
          <t>962593113:eng</t>
        </is>
      </c>
      <c r="AV739" t="inlineStr">
        <is>
          <t>30058423</t>
        </is>
      </c>
      <c r="AW739" t="inlineStr">
        <is>
          <t>991002316419702656</t>
        </is>
      </c>
      <c r="AX739" t="inlineStr">
        <is>
          <t>991002316419702656</t>
        </is>
      </c>
      <c r="AY739" t="inlineStr">
        <is>
          <t>2269787060002656</t>
        </is>
      </c>
      <c r="AZ739" t="inlineStr">
        <is>
          <t>BOOK</t>
        </is>
      </c>
      <c r="BB739" t="inlineStr">
        <is>
          <t>9780935702293</t>
        </is>
      </c>
      <c r="BC739" t="inlineStr">
        <is>
          <t>32285001977759</t>
        </is>
      </c>
      <c r="BD739" t="inlineStr">
        <is>
          <t>893251072</t>
        </is>
      </c>
    </row>
    <row r="740">
      <c r="A740" t="inlineStr">
        <is>
          <t>No</t>
        </is>
      </c>
      <c r="B740" t="inlineStr">
        <is>
          <t>QH431 .J46</t>
        </is>
      </c>
      <c r="C740" t="inlineStr">
        <is>
          <t>0                      QH 0431000J  46</t>
        </is>
      </c>
      <c r="D740" t="inlineStr">
        <is>
          <t>Extrachromosomal inheritance.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Jinks, John L.</t>
        </is>
      </c>
      <c r="L740" t="inlineStr">
        <is>
          <t>Englewood Cliffs, N.J., Prentice-Hall [1964]</t>
        </is>
      </c>
      <c r="M740" t="inlineStr">
        <is>
          <t>1964</t>
        </is>
      </c>
      <c r="O740" t="inlineStr">
        <is>
          <t>eng</t>
        </is>
      </c>
      <c r="P740" t="inlineStr">
        <is>
          <t>nju</t>
        </is>
      </c>
      <c r="Q740" t="inlineStr">
        <is>
          <t>Prentice-Hall foundations of modern genetics series</t>
        </is>
      </c>
      <c r="R740" t="inlineStr">
        <is>
          <t xml:space="preserve">QH </t>
        </is>
      </c>
      <c r="S740" t="n">
        <v>1</v>
      </c>
      <c r="T740" t="n">
        <v>1</v>
      </c>
      <c r="U740" t="inlineStr">
        <is>
          <t>2005-09-26</t>
        </is>
      </c>
      <c r="V740" t="inlineStr">
        <is>
          <t>2005-09-26</t>
        </is>
      </c>
      <c r="W740" t="inlineStr">
        <is>
          <t>1997-07-02</t>
        </is>
      </c>
      <c r="X740" t="inlineStr">
        <is>
          <t>1997-07-02</t>
        </is>
      </c>
      <c r="Y740" t="n">
        <v>805</v>
      </c>
      <c r="Z740" t="n">
        <v>658</v>
      </c>
      <c r="AA740" t="n">
        <v>664</v>
      </c>
      <c r="AB740" t="n">
        <v>5</v>
      </c>
      <c r="AC740" t="n">
        <v>5</v>
      </c>
      <c r="AD740" t="n">
        <v>25</v>
      </c>
      <c r="AE740" t="n">
        <v>25</v>
      </c>
      <c r="AF740" t="n">
        <v>8</v>
      </c>
      <c r="AG740" t="n">
        <v>8</v>
      </c>
      <c r="AH740" t="n">
        <v>6</v>
      </c>
      <c r="AI740" t="n">
        <v>6</v>
      </c>
      <c r="AJ740" t="n">
        <v>13</v>
      </c>
      <c r="AK740" t="n">
        <v>13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HYPERLINK("http://catalog.hathitrust.org/Record/001492223","HathiTrust Record")</f>
        <v/>
      </c>
      <c r="AS740">
        <f>HYPERLINK("https://creighton-primo.hosted.exlibrisgroup.com/primo-explore/search?tab=default_tab&amp;search_scope=EVERYTHING&amp;vid=01CRU&amp;lang=en_US&amp;offset=0&amp;query=any,contains,991002115789702656","Catalog Record")</f>
        <v/>
      </c>
      <c r="AT740">
        <f>HYPERLINK("http://www.worldcat.org/oclc/268295","WorldCat Record")</f>
        <v/>
      </c>
      <c r="AU740" t="inlineStr">
        <is>
          <t>4916866495:eng</t>
        </is>
      </c>
      <c r="AV740" t="inlineStr">
        <is>
          <t>268295</t>
        </is>
      </c>
      <c r="AW740" t="inlineStr">
        <is>
          <t>991002115789702656</t>
        </is>
      </c>
      <c r="AX740" t="inlineStr">
        <is>
          <t>991002115789702656</t>
        </is>
      </c>
      <c r="AY740" t="inlineStr">
        <is>
          <t>2270386530002656</t>
        </is>
      </c>
      <c r="AZ740" t="inlineStr">
        <is>
          <t>BOOK</t>
        </is>
      </c>
      <c r="BC740" t="inlineStr">
        <is>
          <t>32285002910833</t>
        </is>
      </c>
      <c r="BD740" t="inlineStr">
        <is>
          <t>893597048</t>
        </is>
      </c>
    </row>
    <row r="741">
      <c r="A741" t="inlineStr">
        <is>
          <t>No</t>
        </is>
      </c>
      <c r="B741" t="inlineStr">
        <is>
          <t>QH431 .J564 1996</t>
        </is>
      </c>
      <c r="C741" t="inlineStr">
        <is>
          <t>0                      QH 0431000J  564         1996</t>
        </is>
      </c>
      <c r="D741" t="inlineStr">
        <is>
          <t>In the blood : God, genes, and destiny / Steve Jones.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Jones, Steve, 1944-</t>
        </is>
      </c>
      <c r="L741" t="inlineStr">
        <is>
          <t>London : HarperCollins, 1996.</t>
        </is>
      </c>
      <c r="M741" t="inlineStr">
        <is>
          <t>1996</t>
        </is>
      </c>
      <c r="O741" t="inlineStr">
        <is>
          <t>eng</t>
        </is>
      </c>
      <c r="P741" t="inlineStr">
        <is>
          <t>enk</t>
        </is>
      </c>
      <c r="R741" t="inlineStr">
        <is>
          <t xml:space="preserve">QH </t>
        </is>
      </c>
      <c r="S741" t="n">
        <v>5</v>
      </c>
      <c r="T741" t="n">
        <v>5</v>
      </c>
      <c r="U741" t="inlineStr">
        <is>
          <t>2006-04-05</t>
        </is>
      </c>
      <c r="V741" t="inlineStr">
        <is>
          <t>2006-04-05</t>
        </is>
      </c>
      <c r="W741" t="inlineStr">
        <is>
          <t>1996-12-11</t>
        </is>
      </c>
      <c r="X741" t="inlineStr">
        <is>
          <t>1996-12-11</t>
        </is>
      </c>
      <c r="Y741" t="n">
        <v>224</v>
      </c>
      <c r="Z741" t="n">
        <v>54</v>
      </c>
      <c r="AA741" t="n">
        <v>68</v>
      </c>
      <c r="AB741" t="n">
        <v>1</v>
      </c>
      <c r="AC741" t="n">
        <v>1</v>
      </c>
      <c r="AD741" t="n">
        <v>2</v>
      </c>
      <c r="AE741" t="n">
        <v>3</v>
      </c>
      <c r="AF741" t="n">
        <v>0</v>
      </c>
      <c r="AG741" t="n">
        <v>1</v>
      </c>
      <c r="AH741" t="n">
        <v>0</v>
      </c>
      <c r="AI741" t="n">
        <v>0</v>
      </c>
      <c r="AJ741" t="n">
        <v>2</v>
      </c>
      <c r="AK741" t="n">
        <v>2</v>
      </c>
      <c r="AL741" t="n">
        <v>0</v>
      </c>
      <c r="AM741" t="n">
        <v>0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HYPERLINK("https://creighton-primo.hosted.exlibrisgroup.com/primo-explore/search?tab=default_tab&amp;search_scope=EVERYTHING&amp;vid=01CRU&amp;lang=en_US&amp;offset=0&amp;query=any,contains,991002727829702656","Catalog Record")</f>
        <v/>
      </c>
      <c r="AT741">
        <f>HYPERLINK("http://www.worldcat.org/oclc/35771294","WorldCat Record")</f>
        <v/>
      </c>
      <c r="AU741" t="inlineStr">
        <is>
          <t>113333217:eng</t>
        </is>
      </c>
      <c r="AV741" t="inlineStr">
        <is>
          <t>35771294</t>
        </is>
      </c>
      <c r="AW741" t="inlineStr">
        <is>
          <t>991002727829702656</t>
        </is>
      </c>
      <c r="AX741" t="inlineStr">
        <is>
          <t>991002727829702656</t>
        </is>
      </c>
      <c r="AY741" t="inlineStr">
        <is>
          <t>2268873570002656</t>
        </is>
      </c>
      <c r="AZ741" t="inlineStr">
        <is>
          <t>BOOK</t>
        </is>
      </c>
      <c r="BB741" t="inlineStr">
        <is>
          <t>9780002555111</t>
        </is>
      </c>
      <c r="BC741" t="inlineStr">
        <is>
          <t>32285002392115</t>
        </is>
      </c>
      <c r="BD741" t="inlineStr">
        <is>
          <t>893317178</t>
        </is>
      </c>
    </row>
    <row r="742">
      <c r="A742" t="inlineStr">
        <is>
          <t>No</t>
        </is>
      </c>
      <c r="B742" t="inlineStr">
        <is>
          <t>QH431 .J575 1994</t>
        </is>
      </c>
      <c r="C742" t="inlineStr">
        <is>
          <t>0                      QH 0431000J  575         1994</t>
        </is>
      </c>
      <c r="D742" t="inlineStr">
        <is>
          <t>The language of genes : solving the mysteries of our genetic past, present, and future / Steve Jones.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Jones, Steve, 1944-</t>
        </is>
      </c>
      <c r="L742" t="inlineStr">
        <is>
          <t>New York : Doubleday, 1994.</t>
        </is>
      </c>
      <c r="M742" t="inlineStr">
        <is>
          <t>1994</t>
        </is>
      </c>
      <c r="N742" t="inlineStr">
        <is>
          <t>1st Anchor Books ed.</t>
        </is>
      </c>
      <c r="O742" t="inlineStr">
        <is>
          <t>eng</t>
        </is>
      </c>
      <c r="P742" t="inlineStr">
        <is>
          <t>nyu</t>
        </is>
      </c>
      <c r="R742" t="inlineStr">
        <is>
          <t xml:space="preserve">QH </t>
        </is>
      </c>
      <c r="S742" t="n">
        <v>2</v>
      </c>
      <c r="T742" t="n">
        <v>2</v>
      </c>
      <c r="U742" t="inlineStr">
        <is>
          <t>2005-10-04</t>
        </is>
      </c>
      <c r="V742" t="inlineStr">
        <is>
          <t>2005-10-04</t>
        </is>
      </c>
      <c r="W742" t="inlineStr">
        <is>
          <t>1994-09-29</t>
        </is>
      </c>
      <c r="X742" t="inlineStr">
        <is>
          <t>1994-09-29</t>
        </is>
      </c>
      <c r="Y742" t="n">
        <v>866</v>
      </c>
      <c r="Z742" t="n">
        <v>825</v>
      </c>
      <c r="AA742" t="n">
        <v>931</v>
      </c>
      <c r="AB742" t="n">
        <v>4</v>
      </c>
      <c r="AC742" t="n">
        <v>4</v>
      </c>
      <c r="AD742" t="n">
        <v>15</v>
      </c>
      <c r="AE742" t="n">
        <v>16</v>
      </c>
      <c r="AF742" t="n">
        <v>6</v>
      </c>
      <c r="AG742" t="n">
        <v>7</v>
      </c>
      <c r="AH742" t="n">
        <v>5</v>
      </c>
      <c r="AI742" t="n">
        <v>5</v>
      </c>
      <c r="AJ742" t="n">
        <v>9</v>
      </c>
      <c r="AK742" t="n">
        <v>9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HYPERLINK("https://creighton-primo.hosted.exlibrisgroup.com/primo-explore/search?tab=default_tab&amp;search_scope=EVERYTHING&amp;vid=01CRU&amp;lang=en_US&amp;offset=0&amp;query=any,contains,991002274749702656","Catalog Record")</f>
        <v/>
      </c>
      <c r="AT742">
        <f>HYPERLINK("http://www.worldcat.org/oclc/29519310","WorldCat Record")</f>
        <v/>
      </c>
      <c r="AU742" t="inlineStr">
        <is>
          <t>3901485975:eng</t>
        </is>
      </c>
      <c r="AV742" t="inlineStr">
        <is>
          <t>29519310</t>
        </is>
      </c>
      <c r="AW742" t="inlineStr">
        <is>
          <t>991002274749702656</t>
        </is>
      </c>
      <c r="AX742" t="inlineStr">
        <is>
          <t>991002274749702656</t>
        </is>
      </c>
      <c r="AY742" t="inlineStr">
        <is>
          <t>2256073090002656</t>
        </is>
      </c>
      <c r="AZ742" t="inlineStr">
        <is>
          <t>BOOK</t>
        </is>
      </c>
      <c r="BB742" t="inlineStr">
        <is>
          <t>9780385473729</t>
        </is>
      </c>
      <c r="BC742" t="inlineStr">
        <is>
          <t>32285001947786</t>
        </is>
      </c>
      <c r="BD742" t="inlineStr">
        <is>
          <t>893421151</t>
        </is>
      </c>
    </row>
    <row r="743">
      <c r="A743" t="inlineStr">
        <is>
          <t>No</t>
        </is>
      </c>
      <c r="B743" t="inlineStr">
        <is>
          <t>QH431 .L4163</t>
        </is>
      </c>
      <c r="C743" t="inlineStr">
        <is>
          <t>0                      QH 0431000L  4163</t>
        </is>
      </c>
      <c r="D743" t="inlineStr">
        <is>
          <t>Heredity, evolution, and society [by] I. Michael Lerner.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Lerner, I. Michael (Isadore Michael), 1910-</t>
        </is>
      </c>
      <c r="L743" t="inlineStr">
        <is>
          <t>San Francisco, W. H. Freeman [1968]</t>
        </is>
      </c>
      <c r="M743" t="inlineStr">
        <is>
          <t>1968</t>
        </is>
      </c>
      <c r="O743" t="inlineStr">
        <is>
          <t>eng</t>
        </is>
      </c>
      <c r="P743" t="inlineStr">
        <is>
          <t>cau</t>
        </is>
      </c>
      <c r="Q743" t="inlineStr">
        <is>
          <t>A Series of books in biology</t>
        </is>
      </c>
      <c r="R743" t="inlineStr">
        <is>
          <t xml:space="preserve">QH </t>
        </is>
      </c>
      <c r="S743" t="n">
        <v>2</v>
      </c>
      <c r="T743" t="n">
        <v>2</v>
      </c>
      <c r="U743" t="inlineStr">
        <is>
          <t>1998-10-05</t>
        </is>
      </c>
      <c r="V743" t="inlineStr">
        <is>
          <t>1998-10-05</t>
        </is>
      </c>
      <c r="W743" t="inlineStr">
        <is>
          <t>1997-07-02</t>
        </is>
      </c>
      <c r="X743" t="inlineStr">
        <is>
          <t>1997-07-02</t>
        </is>
      </c>
      <c r="Y743" t="n">
        <v>1088</v>
      </c>
      <c r="Z743" t="n">
        <v>892</v>
      </c>
      <c r="AA743" t="n">
        <v>1080</v>
      </c>
      <c r="AB743" t="n">
        <v>6</v>
      </c>
      <c r="AC743" t="n">
        <v>7</v>
      </c>
      <c r="AD743" t="n">
        <v>21</v>
      </c>
      <c r="AE743" t="n">
        <v>30</v>
      </c>
      <c r="AF743" t="n">
        <v>6</v>
      </c>
      <c r="AG743" t="n">
        <v>11</v>
      </c>
      <c r="AH743" t="n">
        <v>4</v>
      </c>
      <c r="AI743" t="n">
        <v>6</v>
      </c>
      <c r="AJ743" t="n">
        <v>10</v>
      </c>
      <c r="AK743" t="n">
        <v>13</v>
      </c>
      <c r="AL743" t="n">
        <v>5</v>
      </c>
      <c r="AM743" t="n">
        <v>6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HYPERLINK("http://catalog.hathitrust.org/Record/001492245","HathiTrust Record")</f>
        <v/>
      </c>
      <c r="AS743">
        <f>HYPERLINK("https://creighton-primo.hosted.exlibrisgroup.com/primo-explore/search?tab=default_tab&amp;search_scope=EVERYTHING&amp;vid=01CRU&amp;lang=en_US&amp;offset=0&amp;query=any,contains,991001021189702656","Catalog Record")</f>
        <v/>
      </c>
      <c r="AT743">
        <f>HYPERLINK("http://www.worldcat.org/oclc/173742","WorldCat Record")</f>
        <v/>
      </c>
      <c r="AU743" t="inlineStr">
        <is>
          <t>1304044:eng</t>
        </is>
      </c>
      <c r="AV743" t="inlineStr">
        <is>
          <t>173742</t>
        </is>
      </c>
      <c r="AW743" t="inlineStr">
        <is>
          <t>991001021189702656</t>
        </is>
      </c>
      <c r="AX743" t="inlineStr">
        <is>
          <t>991001021189702656</t>
        </is>
      </c>
      <c r="AY743" t="inlineStr">
        <is>
          <t>2268416570002656</t>
        </is>
      </c>
      <c r="AZ743" t="inlineStr">
        <is>
          <t>BOOK</t>
        </is>
      </c>
      <c r="BC743" t="inlineStr">
        <is>
          <t>32285002910882</t>
        </is>
      </c>
      <c r="BD743" t="inlineStr">
        <is>
          <t>893321576</t>
        </is>
      </c>
    </row>
    <row r="744">
      <c r="A744" t="inlineStr">
        <is>
          <t>No</t>
        </is>
      </c>
      <c r="B744" t="inlineStr">
        <is>
          <t>QH431 .L4178</t>
        </is>
      </c>
      <c r="C744" t="inlineStr">
        <is>
          <t>0                      QH 0431000L  4178</t>
        </is>
      </c>
      <c r="D744" t="inlineStr">
        <is>
          <t>Genetics.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Levine, Robert Paul, 1926-</t>
        </is>
      </c>
      <c r="L744" t="inlineStr">
        <is>
          <t>New York : Holt, Rinehart and Winston, [1962]</t>
        </is>
      </c>
      <c r="M744" t="inlineStr">
        <is>
          <t>1962</t>
        </is>
      </c>
      <c r="O744" t="inlineStr">
        <is>
          <t>eng</t>
        </is>
      </c>
      <c r="P744" t="inlineStr">
        <is>
          <t>nyu</t>
        </is>
      </c>
      <c r="Q744" t="inlineStr">
        <is>
          <t>Modern biology series</t>
        </is>
      </c>
      <c r="R744" t="inlineStr">
        <is>
          <t xml:space="preserve">QH </t>
        </is>
      </c>
      <c r="S744" t="n">
        <v>9</v>
      </c>
      <c r="T744" t="n">
        <v>9</v>
      </c>
      <c r="U744" t="inlineStr">
        <is>
          <t>2006-10-24</t>
        </is>
      </c>
      <c r="V744" t="inlineStr">
        <is>
          <t>2006-10-24</t>
        </is>
      </c>
      <c r="W744" t="inlineStr">
        <is>
          <t>1992-06-26</t>
        </is>
      </c>
      <c r="X744" t="inlineStr">
        <is>
          <t>1992-06-26</t>
        </is>
      </c>
      <c r="Y744" t="n">
        <v>378</v>
      </c>
      <c r="Z744" t="n">
        <v>296</v>
      </c>
      <c r="AA744" t="n">
        <v>539</v>
      </c>
      <c r="AB744" t="n">
        <v>4</v>
      </c>
      <c r="AC744" t="n">
        <v>5</v>
      </c>
      <c r="AD744" t="n">
        <v>9</v>
      </c>
      <c r="AE744" t="n">
        <v>15</v>
      </c>
      <c r="AF744" t="n">
        <v>2</v>
      </c>
      <c r="AG744" t="n">
        <v>5</v>
      </c>
      <c r="AH744" t="n">
        <v>2</v>
      </c>
      <c r="AI744" t="n">
        <v>5</v>
      </c>
      <c r="AJ744" t="n">
        <v>5</v>
      </c>
      <c r="AK744" t="n">
        <v>6</v>
      </c>
      <c r="AL744" t="n">
        <v>2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HYPERLINK("http://catalog.hathitrust.org/Record/006213739","HathiTrust Record")</f>
        <v/>
      </c>
      <c r="AS744">
        <f>HYPERLINK("https://creighton-primo.hosted.exlibrisgroup.com/primo-explore/search?tab=default_tab&amp;search_scope=EVERYTHING&amp;vid=01CRU&amp;lang=en_US&amp;offset=0&amp;query=any,contains,991003175269702656","Catalog Record")</f>
        <v/>
      </c>
      <c r="AT744">
        <f>HYPERLINK("http://www.worldcat.org/oclc/710613","WorldCat Record")</f>
        <v/>
      </c>
      <c r="AU744" t="inlineStr">
        <is>
          <t>4918289623:eng</t>
        </is>
      </c>
      <c r="AV744" t="inlineStr">
        <is>
          <t>710613</t>
        </is>
      </c>
      <c r="AW744" t="inlineStr">
        <is>
          <t>991003175269702656</t>
        </is>
      </c>
      <c r="AX744" t="inlineStr">
        <is>
          <t>991003175269702656</t>
        </is>
      </c>
      <c r="AY744" t="inlineStr">
        <is>
          <t>2262390540002656</t>
        </is>
      </c>
      <c r="AZ744" t="inlineStr">
        <is>
          <t>BOOK</t>
        </is>
      </c>
      <c r="BC744" t="inlineStr">
        <is>
          <t>32285001145613</t>
        </is>
      </c>
      <c r="BD744" t="inlineStr">
        <is>
          <t>893780680</t>
        </is>
      </c>
    </row>
    <row r="745">
      <c r="A745" t="inlineStr">
        <is>
          <t>No</t>
        </is>
      </c>
      <c r="B745" t="inlineStr">
        <is>
          <t>QH431 .L41785 1988</t>
        </is>
      </c>
      <c r="C745" t="inlineStr">
        <is>
          <t>0                      QH 0431000L  41785       1988</t>
        </is>
      </c>
      <c r="D745" t="inlineStr">
        <is>
          <t>Textbook of human genetics / Max Levitan.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Levitan, Max.</t>
        </is>
      </c>
      <c r="L745" t="inlineStr">
        <is>
          <t>New York : Oxford University Press, 1988.</t>
        </is>
      </c>
      <c r="M745" t="inlineStr">
        <is>
          <t>1988</t>
        </is>
      </c>
      <c r="N745" t="inlineStr">
        <is>
          <t>3rd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QH </t>
        </is>
      </c>
      <c r="S745" t="n">
        <v>23</v>
      </c>
      <c r="T745" t="n">
        <v>23</v>
      </c>
      <c r="U745" t="inlineStr">
        <is>
          <t>2005-09-26</t>
        </is>
      </c>
      <c r="V745" t="inlineStr">
        <is>
          <t>2005-09-26</t>
        </is>
      </c>
      <c r="W745" t="inlineStr">
        <is>
          <t>1992-01-21</t>
        </is>
      </c>
      <c r="X745" t="inlineStr">
        <is>
          <t>1992-01-21</t>
        </is>
      </c>
      <c r="Y745" t="n">
        <v>346</v>
      </c>
      <c r="Z745" t="n">
        <v>225</v>
      </c>
      <c r="AA745" t="n">
        <v>535</v>
      </c>
      <c r="AB745" t="n">
        <v>2</v>
      </c>
      <c r="AC745" t="n">
        <v>3</v>
      </c>
      <c r="AD745" t="n">
        <v>5</v>
      </c>
      <c r="AE745" t="n">
        <v>17</v>
      </c>
      <c r="AF745" t="n">
        <v>1</v>
      </c>
      <c r="AG745" t="n">
        <v>6</v>
      </c>
      <c r="AH745" t="n">
        <v>2</v>
      </c>
      <c r="AI745" t="n">
        <v>5</v>
      </c>
      <c r="AJ745" t="n">
        <v>2</v>
      </c>
      <c r="AK745" t="n">
        <v>9</v>
      </c>
      <c r="AL745" t="n">
        <v>1</v>
      </c>
      <c r="AM745" t="n">
        <v>2</v>
      </c>
      <c r="AN745" t="n">
        <v>0</v>
      </c>
      <c r="AO745" t="n">
        <v>0</v>
      </c>
      <c r="AP745" t="inlineStr">
        <is>
          <t>No</t>
        </is>
      </c>
      <c r="AQ745" t="inlineStr">
        <is>
          <t>No</t>
        </is>
      </c>
      <c r="AS745">
        <f>HYPERLINK("https://creighton-primo.hosted.exlibrisgroup.com/primo-explore/search?tab=default_tab&amp;search_scope=EVERYTHING&amp;vid=01CRU&amp;lang=en_US&amp;offset=0&amp;query=any,contains,991000977239702656","Catalog Record")</f>
        <v/>
      </c>
      <c r="AT745">
        <f>HYPERLINK("http://www.worldcat.org/oclc/15016718","WorldCat Record")</f>
        <v/>
      </c>
      <c r="AU745" t="inlineStr">
        <is>
          <t>1281421:eng</t>
        </is>
      </c>
      <c r="AV745" t="inlineStr">
        <is>
          <t>15016718</t>
        </is>
      </c>
      <c r="AW745" t="inlineStr">
        <is>
          <t>991000977239702656</t>
        </is>
      </c>
      <c r="AX745" t="inlineStr">
        <is>
          <t>991000977239702656</t>
        </is>
      </c>
      <c r="AY745" t="inlineStr">
        <is>
          <t>2264338940002656</t>
        </is>
      </c>
      <c r="AZ745" t="inlineStr">
        <is>
          <t>BOOK</t>
        </is>
      </c>
      <c r="BB745" t="inlineStr">
        <is>
          <t>9780195049350</t>
        </is>
      </c>
      <c r="BC745" t="inlineStr">
        <is>
          <t>32285000916675</t>
        </is>
      </c>
      <c r="BD745" t="inlineStr">
        <is>
          <t>893426225</t>
        </is>
      </c>
    </row>
    <row r="746">
      <c r="A746" t="inlineStr">
        <is>
          <t>No</t>
        </is>
      </c>
      <c r="B746" t="inlineStr">
        <is>
          <t>QH431 .L4179</t>
        </is>
      </c>
      <c r="C746" t="inlineStr">
        <is>
          <t>0                      QH 0431000L  4179</t>
        </is>
      </c>
      <c r="D746" t="inlineStr">
        <is>
          <t>The molecular basis of gene expression / [by] Benjamin M. Lewin.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Lewin, Benjamin.</t>
        </is>
      </c>
      <c r="L746" t="inlineStr">
        <is>
          <t>London ; New York : Wiley-Interscience, 1970.</t>
        </is>
      </c>
      <c r="M746" t="inlineStr">
        <is>
          <t>1970</t>
        </is>
      </c>
      <c r="O746" t="inlineStr">
        <is>
          <t>eng</t>
        </is>
      </c>
      <c r="P746" t="inlineStr">
        <is>
          <t>enk</t>
        </is>
      </c>
      <c r="R746" t="inlineStr">
        <is>
          <t xml:space="preserve">QH </t>
        </is>
      </c>
      <c r="S746" t="n">
        <v>2</v>
      </c>
      <c r="T746" t="n">
        <v>2</v>
      </c>
      <c r="U746" t="inlineStr">
        <is>
          <t>1996-11-17</t>
        </is>
      </c>
      <c r="V746" t="inlineStr">
        <is>
          <t>1996-11-17</t>
        </is>
      </c>
      <c r="W746" t="inlineStr">
        <is>
          <t>1994-02-08</t>
        </is>
      </c>
      <c r="X746" t="inlineStr">
        <is>
          <t>1994-02-08</t>
        </is>
      </c>
      <c r="Y746" t="n">
        <v>425</v>
      </c>
      <c r="Z746" t="n">
        <v>286</v>
      </c>
      <c r="AA746" t="n">
        <v>293</v>
      </c>
      <c r="AB746" t="n">
        <v>3</v>
      </c>
      <c r="AC746" t="n">
        <v>3</v>
      </c>
      <c r="AD746" t="n">
        <v>11</v>
      </c>
      <c r="AE746" t="n">
        <v>11</v>
      </c>
      <c r="AF746" t="n">
        <v>3</v>
      </c>
      <c r="AG746" t="n">
        <v>3</v>
      </c>
      <c r="AH746" t="n">
        <v>3</v>
      </c>
      <c r="AI746" t="n">
        <v>3</v>
      </c>
      <c r="AJ746" t="n">
        <v>6</v>
      </c>
      <c r="AK746" t="n">
        <v>6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HYPERLINK("http://catalog.hathitrust.org/Record/001492248","HathiTrust Record")</f>
        <v/>
      </c>
      <c r="AS746">
        <f>HYPERLINK("https://creighton-primo.hosted.exlibrisgroup.com/primo-explore/search?tab=default_tab&amp;search_scope=EVERYTHING&amp;vid=01CRU&amp;lang=en_US&amp;offset=0&amp;query=any,contains,991000797889702656","Catalog Record")</f>
        <v/>
      </c>
      <c r="AT746">
        <f>HYPERLINK("http://www.worldcat.org/oclc/137844","WorldCat Record")</f>
        <v/>
      </c>
      <c r="AU746" t="inlineStr">
        <is>
          <t>3855332929:eng</t>
        </is>
      </c>
      <c r="AV746" t="inlineStr">
        <is>
          <t>137844</t>
        </is>
      </c>
      <c r="AW746" t="inlineStr">
        <is>
          <t>991000797889702656</t>
        </is>
      </c>
      <c r="AX746" t="inlineStr">
        <is>
          <t>991000797889702656</t>
        </is>
      </c>
      <c r="AY746" t="inlineStr">
        <is>
          <t>2262098510002656</t>
        </is>
      </c>
      <c r="AZ746" t="inlineStr">
        <is>
          <t>BOOK</t>
        </is>
      </c>
      <c r="BB746" t="inlineStr">
        <is>
          <t>9780471531609</t>
        </is>
      </c>
      <c r="BC746" t="inlineStr">
        <is>
          <t>32285001837300</t>
        </is>
      </c>
      <c r="BD746" t="inlineStr">
        <is>
          <t>893620799</t>
        </is>
      </c>
    </row>
    <row r="747">
      <c r="A747" t="inlineStr">
        <is>
          <t>No</t>
        </is>
      </c>
      <c r="B747" t="inlineStr">
        <is>
          <t>QH431 .L4186 1982</t>
        </is>
      </c>
      <c r="C747" t="inlineStr">
        <is>
          <t>0                      QH 0431000L  4186        1982</t>
        </is>
      </c>
      <c r="D747" t="inlineStr">
        <is>
          <t>Human diversity / Richard Lewontin.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Lewontin, Richard C., 1929-</t>
        </is>
      </c>
      <c r="L747" t="inlineStr">
        <is>
          <t>New York : Scientific American Library : [Distributed by] W.H. Freeman,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nyu</t>
        </is>
      </c>
      <c r="R747" t="inlineStr">
        <is>
          <t xml:space="preserve">QH </t>
        </is>
      </c>
      <c r="S747" t="n">
        <v>22</v>
      </c>
      <c r="T747" t="n">
        <v>22</v>
      </c>
      <c r="U747" t="inlineStr">
        <is>
          <t>1998-08-31</t>
        </is>
      </c>
      <c r="V747" t="inlineStr">
        <is>
          <t>1998-08-31</t>
        </is>
      </c>
      <c r="W747" t="inlineStr">
        <is>
          <t>1993-04-07</t>
        </is>
      </c>
      <c r="X747" t="inlineStr">
        <is>
          <t>1993-04-07</t>
        </is>
      </c>
      <c r="Y747" t="n">
        <v>1001</v>
      </c>
      <c r="Z747" t="n">
        <v>862</v>
      </c>
      <c r="AA747" t="n">
        <v>959</v>
      </c>
      <c r="AB747" t="n">
        <v>6</v>
      </c>
      <c r="AC747" t="n">
        <v>6</v>
      </c>
      <c r="AD747" t="n">
        <v>22</v>
      </c>
      <c r="AE747" t="n">
        <v>23</v>
      </c>
      <c r="AF747" t="n">
        <v>7</v>
      </c>
      <c r="AG747" t="n">
        <v>7</v>
      </c>
      <c r="AH747" t="n">
        <v>5</v>
      </c>
      <c r="AI747" t="n">
        <v>5</v>
      </c>
      <c r="AJ747" t="n">
        <v>13</v>
      </c>
      <c r="AK747" t="n">
        <v>14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HYPERLINK("https://creighton-primo.hosted.exlibrisgroup.com/primo-explore/search?tab=default_tab&amp;search_scope=EVERYTHING&amp;vid=01CRU&amp;lang=en_US&amp;offset=0&amp;query=any,contains,991000061019702656","Catalog Record")</f>
        <v/>
      </c>
      <c r="AT747">
        <f>HYPERLINK("http://www.worldcat.org/oclc/8729411","WorldCat Record")</f>
        <v/>
      </c>
      <c r="AU747" t="inlineStr">
        <is>
          <t>38668064:eng</t>
        </is>
      </c>
      <c r="AV747" t="inlineStr">
        <is>
          <t>8729411</t>
        </is>
      </c>
      <c r="AW747" t="inlineStr">
        <is>
          <t>991000061019702656</t>
        </is>
      </c>
      <c r="AX747" t="inlineStr">
        <is>
          <t>991000061019702656</t>
        </is>
      </c>
      <c r="AY747" t="inlineStr">
        <is>
          <t>2269584530002656</t>
        </is>
      </c>
      <c r="AZ747" t="inlineStr">
        <is>
          <t>BOOK</t>
        </is>
      </c>
      <c r="BB747" t="inlineStr">
        <is>
          <t>9780716714705</t>
        </is>
      </c>
      <c r="BC747" t="inlineStr">
        <is>
          <t>32285001554673</t>
        </is>
      </c>
      <c r="BD747" t="inlineStr">
        <is>
          <t>893771342</t>
        </is>
      </c>
    </row>
    <row r="748">
      <c r="A748" t="inlineStr">
        <is>
          <t>No</t>
        </is>
      </c>
      <c r="B748" t="inlineStr">
        <is>
          <t>QH431 .L419</t>
        </is>
      </c>
      <c r="C748" t="inlineStr">
        <is>
          <t>0                      QH 0431000L  419</t>
        </is>
      </c>
      <c r="D748" t="inlineStr">
        <is>
          <t>Population genetics.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Li, Ching Chun, 1912-</t>
        </is>
      </c>
      <c r="L748" t="inlineStr">
        <is>
          <t>[Chicago] University of Chicago Press [1955]</t>
        </is>
      </c>
      <c r="M748" t="inlineStr">
        <is>
          <t>1955</t>
        </is>
      </c>
      <c r="O748" t="inlineStr">
        <is>
          <t>eng</t>
        </is>
      </c>
      <c r="P748" t="inlineStr">
        <is>
          <t>ilu</t>
        </is>
      </c>
      <c r="Q748" t="inlineStr">
        <is>
          <t>The College library of biological sciences</t>
        </is>
      </c>
      <c r="R748" t="inlineStr">
        <is>
          <t xml:space="preserve">QH </t>
        </is>
      </c>
      <c r="S748" t="n">
        <v>13</v>
      </c>
      <c r="T748" t="n">
        <v>13</v>
      </c>
      <c r="U748" t="inlineStr">
        <is>
          <t>2001-12-15</t>
        </is>
      </c>
      <c r="V748" t="inlineStr">
        <is>
          <t>2001-12-15</t>
        </is>
      </c>
      <c r="W748" t="inlineStr">
        <is>
          <t>1997-07-02</t>
        </is>
      </c>
      <c r="X748" t="inlineStr">
        <is>
          <t>1997-07-02</t>
        </is>
      </c>
      <c r="Y748" t="n">
        <v>637</v>
      </c>
      <c r="Z748" t="n">
        <v>510</v>
      </c>
      <c r="AA748" t="n">
        <v>517</v>
      </c>
      <c r="AB748" t="n">
        <v>6</v>
      </c>
      <c r="AC748" t="n">
        <v>6</v>
      </c>
      <c r="AD748" t="n">
        <v>22</v>
      </c>
      <c r="AE748" t="n">
        <v>22</v>
      </c>
      <c r="AF748" t="n">
        <v>7</v>
      </c>
      <c r="AG748" t="n">
        <v>7</v>
      </c>
      <c r="AH748" t="n">
        <v>3</v>
      </c>
      <c r="AI748" t="n">
        <v>3</v>
      </c>
      <c r="AJ748" t="n">
        <v>9</v>
      </c>
      <c r="AK748" t="n">
        <v>9</v>
      </c>
      <c r="AL748" t="n">
        <v>5</v>
      </c>
      <c r="AM748" t="n">
        <v>5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HYPERLINK("http://catalog.hathitrust.org/Record/001492457","HathiTrust Record")</f>
        <v/>
      </c>
      <c r="AS748">
        <f>HYPERLINK("https://creighton-primo.hosted.exlibrisgroup.com/primo-explore/search?tab=default_tab&amp;search_scope=EVERYTHING&amp;vid=01CRU&amp;lang=en_US&amp;offset=0&amp;query=any,contains,991002976349702656","Catalog Record")</f>
        <v/>
      </c>
      <c r="AT748">
        <f>HYPERLINK("http://www.worldcat.org/oclc/552042","WorldCat Record")</f>
        <v/>
      </c>
      <c r="AU748" t="inlineStr">
        <is>
          <t>1599269:eng</t>
        </is>
      </c>
      <c r="AV748" t="inlineStr">
        <is>
          <t>552042</t>
        </is>
      </c>
      <c r="AW748" t="inlineStr">
        <is>
          <t>991002976349702656</t>
        </is>
      </c>
      <c r="AX748" t="inlineStr">
        <is>
          <t>991002976349702656</t>
        </is>
      </c>
      <c r="AY748" t="inlineStr">
        <is>
          <t>2257311100002656</t>
        </is>
      </c>
      <c r="AZ748" t="inlineStr">
        <is>
          <t>BOOK</t>
        </is>
      </c>
      <c r="BC748" t="inlineStr">
        <is>
          <t>32285002910908</t>
        </is>
      </c>
      <c r="BD748" t="inlineStr">
        <is>
          <t>893335978</t>
        </is>
      </c>
    </row>
    <row r="749">
      <c r="A749" t="inlineStr">
        <is>
          <t>No</t>
        </is>
      </c>
      <c r="B749" t="inlineStr">
        <is>
          <t>QH431 .M263</t>
        </is>
      </c>
      <c r="C749" t="inlineStr">
        <is>
          <t>0                      QH 0431000M  263</t>
        </is>
      </c>
      <c r="D749" t="inlineStr">
        <is>
          <t>On the X chromosome of man, by Victor A. McKusick.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McKusick, Victor A. (Victor Almon), 1921-2008.</t>
        </is>
      </c>
      <c r="L749" t="inlineStr">
        <is>
          <t>Washington, American Institute of Biological Sciences [1964]</t>
        </is>
      </c>
      <c r="M749" t="inlineStr">
        <is>
          <t>1964</t>
        </is>
      </c>
      <c r="O749" t="inlineStr">
        <is>
          <t>eng</t>
        </is>
      </c>
      <c r="P749" t="inlineStr">
        <is>
          <t>dcu</t>
        </is>
      </c>
      <c r="R749" t="inlineStr">
        <is>
          <t xml:space="preserve">QH </t>
        </is>
      </c>
      <c r="S749" t="n">
        <v>1</v>
      </c>
      <c r="T749" t="n">
        <v>1</v>
      </c>
      <c r="U749" t="inlineStr">
        <is>
          <t>2005-10-04</t>
        </is>
      </c>
      <c r="V749" t="inlineStr">
        <is>
          <t>2005-10-04</t>
        </is>
      </c>
      <c r="W749" t="inlineStr">
        <is>
          <t>1997-07-02</t>
        </is>
      </c>
      <c r="X749" t="inlineStr">
        <is>
          <t>1997-07-02</t>
        </is>
      </c>
      <c r="Y749" t="n">
        <v>222</v>
      </c>
      <c r="Z749" t="n">
        <v>193</v>
      </c>
      <c r="AA749" t="n">
        <v>195</v>
      </c>
      <c r="AB749" t="n">
        <v>3</v>
      </c>
      <c r="AC749" t="n">
        <v>3</v>
      </c>
      <c r="AD749" t="n">
        <v>7</v>
      </c>
      <c r="AE749" t="n">
        <v>7</v>
      </c>
      <c r="AF749" t="n">
        <v>2</v>
      </c>
      <c r="AG749" t="n">
        <v>2</v>
      </c>
      <c r="AH749" t="n">
        <v>2</v>
      </c>
      <c r="AI749" t="n">
        <v>2</v>
      </c>
      <c r="AJ749" t="n">
        <v>3</v>
      </c>
      <c r="AK749" t="n">
        <v>3</v>
      </c>
      <c r="AL749" t="n">
        <v>2</v>
      </c>
      <c r="AM749" t="n">
        <v>2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HYPERLINK("http://catalog.hathitrust.org/Record/001496087","HathiTrust Record")</f>
        <v/>
      </c>
      <c r="AS749">
        <f>HYPERLINK("https://creighton-primo.hosted.exlibrisgroup.com/primo-explore/search?tab=default_tab&amp;search_scope=EVERYTHING&amp;vid=01CRU&amp;lang=en_US&amp;offset=0&amp;query=any,contains,991001961679702656","Catalog Record")</f>
        <v/>
      </c>
      <c r="AT749">
        <f>HYPERLINK("http://www.worldcat.org/oclc/253518","WorldCat Record")</f>
        <v/>
      </c>
      <c r="AU749" t="inlineStr">
        <is>
          <t>1346685:eng</t>
        </is>
      </c>
      <c r="AV749" t="inlineStr">
        <is>
          <t>253518</t>
        </is>
      </c>
      <c r="AW749" t="inlineStr">
        <is>
          <t>991001961679702656</t>
        </is>
      </c>
      <c r="AX749" t="inlineStr">
        <is>
          <t>991001961679702656</t>
        </is>
      </c>
      <c r="AY749" t="inlineStr">
        <is>
          <t>2267199960002656</t>
        </is>
      </c>
      <c r="AZ749" t="inlineStr">
        <is>
          <t>BOOK</t>
        </is>
      </c>
      <c r="BC749" t="inlineStr">
        <is>
          <t>32285002910957</t>
        </is>
      </c>
      <c r="BD749" t="inlineStr">
        <is>
          <t>893879346</t>
        </is>
      </c>
    </row>
    <row r="750">
      <c r="A750" t="inlineStr">
        <is>
          <t>No</t>
        </is>
      </c>
      <c r="B750" t="inlineStr">
        <is>
          <t>QH431 .M324</t>
        </is>
      </c>
      <c r="C750" t="inlineStr">
        <is>
          <t>0                      QH 0431000M  324</t>
        </is>
      </c>
      <c r="D750" t="inlineStr">
        <is>
          <t>Mathematical challenges to the neo-Darwinian interpretation of evolution. Edited by Paul S. Moorhead [and] Martin M. Kaplan. Editorial assistant: Pamela Brown.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Philadelphia, Wistar Institute Press, 1967.</t>
        </is>
      </c>
      <c r="M750" t="inlineStr">
        <is>
          <t>1967</t>
        </is>
      </c>
      <c r="O750" t="inlineStr">
        <is>
          <t>eng</t>
        </is>
      </c>
      <c r="P750" t="inlineStr">
        <is>
          <t>pau</t>
        </is>
      </c>
      <c r="Q750" t="inlineStr">
        <is>
          <t>The Wistar Institute symposium monograph no. 5</t>
        </is>
      </c>
      <c r="R750" t="inlineStr">
        <is>
          <t xml:space="preserve">QH </t>
        </is>
      </c>
      <c r="S750" t="n">
        <v>2</v>
      </c>
      <c r="T750" t="n">
        <v>2</v>
      </c>
      <c r="U750" t="inlineStr">
        <is>
          <t>1997-07-23</t>
        </is>
      </c>
      <c r="V750" t="inlineStr">
        <is>
          <t>1997-07-23</t>
        </is>
      </c>
      <c r="W750" t="inlineStr">
        <is>
          <t>1997-07-02</t>
        </is>
      </c>
      <c r="X750" t="inlineStr">
        <is>
          <t>1997-07-02</t>
        </is>
      </c>
      <c r="Y750" t="n">
        <v>281</v>
      </c>
      <c r="Z750" t="n">
        <v>232</v>
      </c>
      <c r="AA750" t="n">
        <v>285</v>
      </c>
      <c r="AB750" t="n">
        <v>4</v>
      </c>
      <c r="AC750" t="n">
        <v>4</v>
      </c>
      <c r="AD750" t="n">
        <v>9</v>
      </c>
      <c r="AE750" t="n">
        <v>11</v>
      </c>
      <c r="AF750" t="n">
        <v>3</v>
      </c>
      <c r="AG750" t="n">
        <v>3</v>
      </c>
      <c r="AH750" t="n">
        <v>1</v>
      </c>
      <c r="AI750" t="n">
        <v>2</v>
      </c>
      <c r="AJ750" t="n">
        <v>3</v>
      </c>
      <c r="AK750" t="n">
        <v>5</v>
      </c>
      <c r="AL750" t="n">
        <v>3</v>
      </c>
      <c r="AM750" t="n">
        <v>3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HYPERLINK("https://creighton-primo.hosted.exlibrisgroup.com/primo-explore/search?tab=default_tab&amp;search_scope=EVERYTHING&amp;vid=01CRU&amp;lang=en_US&amp;offset=0&amp;query=any,contains,991003655689702656","Catalog Record")</f>
        <v/>
      </c>
      <c r="AT750">
        <f>HYPERLINK("http://www.worldcat.org/oclc/1260224","WorldCat Record")</f>
        <v/>
      </c>
      <c r="AU750" t="inlineStr">
        <is>
          <t>363076084:eng</t>
        </is>
      </c>
      <c r="AV750" t="inlineStr">
        <is>
          <t>1260224</t>
        </is>
      </c>
      <c r="AW750" t="inlineStr">
        <is>
          <t>991003655689702656</t>
        </is>
      </c>
      <c r="AX750" t="inlineStr">
        <is>
          <t>991003655689702656</t>
        </is>
      </c>
      <c r="AY750" t="inlineStr">
        <is>
          <t>2264759950002656</t>
        </is>
      </c>
      <c r="AZ750" t="inlineStr">
        <is>
          <t>BOOK</t>
        </is>
      </c>
      <c r="BC750" t="inlineStr">
        <is>
          <t>32285002910981</t>
        </is>
      </c>
      <c r="BD750" t="inlineStr">
        <is>
          <t>893531435</t>
        </is>
      </c>
    </row>
    <row r="751">
      <c r="A751" t="inlineStr">
        <is>
          <t>No</t>
        </is>
      </c>
      <c r="B751" t="inlineStr">
        <is>
          <t>QH431 .M366 1998</t>
        </is>
      </c>
      <c r="C751" t="inlineStr">
        <is>
          <t>0                      QH 0431000M  366         1998</t>
        </is>
      </c>
      <c r="D751" t="inlineStr">
        <is>
          <t>Access to the genome : the challenge to equality / Maxwell J. Mehlman, Jeffrey R. Botkin.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Mehlman, Maxwell J.</t>
        </is>
      </c>
      <c r="L751" t="inlineStr">
        <is>
          <t>Washington, D.C. : Georgetown University Press, c1998.</t>
        </is>
      </c>
      <c r="M751" t="inlineStr">
        <is>
          <t>1998</t>
        </is>
      </c>
      <c r="O751" t="inlineStr">
        <is>
          <t>eng</t>
        </is>
      </c>
      <c r="P751" t="inlineStr">
        <is>
          <t>dcu</t>
        </is>
      </c>
      <c r="R751" t="inlineStr">
        <is>
          <t xml:space="preserve">QH </t>
        </is>
      </c>
      <c r="S751" t="n">
        <v>1</v>
      </c>
      <c r="T751" t="n">
        <v>1</v>
      </c>
      <c r="U751" t="inlineStr">
        <is>
          <t>1998-11-06</t>
        </is>
      </c>
      <c r="V751" t="inlineStr">
        <is>
          <t>1998-11-06</t>
        </is>
      </c>
      <c r="W751" t="inlineStr">
        <is>
          <t>1998-08-04</t>
        </is>
      </c>
      <c r="X751" t="inlineStr">
        <is>
          <t>1998-08-04</t>
        </is>
      </c>
      <c r="Y751" t="n">
        <v>752</v>
      </c>
      <c r="Z751" t="n">
        <v>681</v>
      </c>
      <c r="AA751" t="n">
        <v>689</v>
      </c>
      <c r="AB751" t="n">
        <v>5</v>
      </c>
      <c r="AC751" t="n">
        <v>5</v>
      </c>
      <c r="AD751" t="n">
        <v>45</v>
      </c>
      <c r="AE751" t="n">
        <v>45</v>
      </c>
      <c r="AF751" t="n">
        <v>15</v>
      </c>
      <c r="AG751" t="n">
        <v>15</v>
      </c>
      <c r="AH751" t="n">
        <v>9</v>
      </c>
      <c r="AI751" t="n">
        <v>9</v>
      </c>
      <c r="AJ751" t="n">
        <v>16</v>
      </c>
      <c r="AK751" t="n">
        <v>16</v>
      </c>
      <c r="AL751" t="n">
        <v>4</v>
      </c>
      <c r="AM751" t="n">
        <v>4</v>
      </c>
      <c r="AN751" t="n">
        <v>12</v>
      </c>
      <c r="AO751" t="n">
        <v>12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HYPERLINK("http://catalog.hathitrust.org/Record/003961925","HathiTrust Record")</f>
        <v/>
      </c>
      <c r="AS751">
        <f>HYPERLINK("https://creighton-primo.hosted.exlibrisgroup.com/primo-explore/search?tab=default_tab&amp;search_scope=EVERYTHING&amp;vid=01CRU&amp;lang=en_US&amp;offset=0&amp;query=any,contains,991002851429702656","Catalog Record")</f>
        <v/>
      </c>
      <c r="AT751">
        <f>HYPERLINK("http://www.worldcat.org/oclc/37567397","WorldCat Record")</f>
        <v/>
      </c>
      <c r="AU751" t="inlineStr">
        <is>
          <t>327420015:eng</t>
        </is>
      </c>
      <c r="AV751" t="inlineStr">
        <is>
          <t>37567397</t>
        </is>
      </c>
      <c r="AW751" t="inlineStr">
        <is>
          <t>991002851429702656</t>
        </is>
      </c>
      <c r="AX751" t="inlineStr">
        <is>
          <t>991002851429702656</t>
        </is>
      </c>
      <c r="AY751" t="inlineStr">
        <is>
          <t>2267522040002656</t>
        </is>
      </c>
      <c r="AZ751" t="inlineStr">
        <is>
          <t>BOOK</t>
        </is>
      </c>
      <c r="BB751" t="inlineStr">
        <is>
          <t>9780878406777</t>
        </is>
      </c>
      <c r="BC751" t="inlineStr">
        <is>
          <t>32285003448874</t>
        </is>
      </c>
      <c r="BD751" t="inlineStr">
        <is>
          <t>893604126</t>
        </is>
      </c>
    </row>
    <row r="752">
      <c r="A752" t="inlineStr">
        <is>
          <t>No</t>
        </is>
      </c>
      <c r="B752" t="inlineStr">
        <is>
          <t>QH431 .M375</t>
        </is>
      </c>
      <c r="C752" t="inlineStr">
        <is>
          <t>0                      QH 0431000M  375</t>
        </is>
      </c>
      <c r="D752" t="inlineStr">
        <is>
          <t>Mendel centenary : genetics, development and evolution ; proceedings of a symposium held at the Catholic University of America, November 3, 1965 / edited by Roland M. Nardone.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Washington : Catholic University of America Press, [1968]</t>
        </is>
      </c>
      <c r="M752" t="inlineStr">
        <is>
          <t>1968</t>
        </is>
      </c>
      <c r="O752" t="inlineStr">
        <is>
          <t>eng</t>
        </is>
      </c>
      <c r="P752" t="inlineStr">
        <is>
          <t>dcu</t>
        </is>
      </c>
      <c r="R752" t="inlineStr">
        <is>
          <t xml:space="preserve">QH </t>
        </is>
      </c>
      <c r="S752" t="n">
        <v>15</v>
      </c>
      <c r="T752" t="n">
        <v>15</v>
      </c>
      <c r="U752" t="inlineStr">
        <is>
          <t>1998-11-06</t>
        </is>
      </c>
      <c r="V752" t="inlineStr">
        <is>
          <t>1998-11-06</t>
        </is>
      </c>
      <c r="W752" t="inlineStr">
        <is>
          <t>1992-02-06</t>
        </is>
      </c>
      <c r="X752" t="inlineStr">
        <is>
          <t>1992-02-06</t>
        </is>
      </c>
      <c r="Y752" t="n">
        <v>301</v>
      </c>
      <c r="Z752" t="n">
        <v>268</v>
      </c>
      <c r="AA752" t="n">
        <v>269</v>
      </c>
      <c r="AB752" t="n">
        <v>2</v>
      </c>
      <c r="AC752" t="n">
        <v>2</v>
      </c>
      <c r="AD752" t="n">
        <v>10</v>
      </c>
      <c r="AE752" t="n">
        <v>10</v>
      </c>
      <c r="AF752" t="n">
        <v>1</v>
      </c>
      <c r="AG752" t="n">
        <v>1</v>
      </c>
      <c r="AH752" t="n">
        <v>2</v>
      </c>
      <c r="AI752" t="n">
        <v>2</v>
      </c>
      <c r="AJ752" t="n">
        <v>8</v>
      </c>
      <c r="AK752" t="n">
        <v>8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HYPERLINK("http://catalog.hathitrust.org/Record/007156369","HathiTrust Record")</f>
        <v/>
      </c>
      <c r="AS752">
        <f>HYPERLINK("https://creighton-primo.hosted.exlibrisgroup.com/primo-explore/search?tab=default_tab&amp;search_scope=EVERYTHING&amp;vid=01CRU&amp;lang=en_US&amp;offset=0&amp;query=any,contains,991002257089702656","Catalog Record")</f>
        <v/>
      </c>
      <c r="AT752">
        <f>HYPERLINK("http://www.worldcat.org/oclc/302143","WorldCat Record")</f>
        <v/>
      </c>
      <c r="AU752" t="inlineStr">
        <is>
          <t>422627640:eng</t>
        </is>
      </c>
      <c r="AV752" t="inlineStr">
        <is>
          <t>302143</t>
        </is>
      </c>
      <c r="AW752" t="inlineStr">
        <is>
          <t>991002257089702656</t>
        </is>
      </c>
      <c r="AX752" t="inlineStr">
        <is>
          <t>991002257089702656</t>
        </is>
      </c>
      <c r="AY752" t="inlineStr">
        <is>
          <t>2272060230002656</t>
        </is>
      </c>
      <c r="AZ752" t="inlineStr">
        <is>
          <t>BOOK</t>
        </is>
      </c>
      <c r="BC752" t="inlineStr">
        <is>
          <t>32285000934785</t>
        </is>
      </c>
      <c r="BD752" t="inlineStr">
        <is>
          <t>893615902</t>
        </is>
      </c>
    </row>
    <row r="753">
      <c r="A753" t="inlineStr">
        <is>
          <t>No</t>
        </is>
      </c>
      <c r="B753" t="inlineStr">
        <is>
          <t>QH431 .M377 1965</t>
        </is>
      </c>
      <c r="C753" t="inlineStr">
        <is>
          <t>0                      QH 0431000M  377         1965</t>
        </is>
      </c>
      <c r="D753" t="inlineStr">
        <is>
          <t>Heritage from Mendel; [proceedings] Edited by R. Alexander Brink, with the assistance of E. Derek Styles.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Mendel Centennial Symposium (1965 : Fort Collins, Colo.)</t>
        </is>
      </c>
      <c r="L753" t="inlineStr">
        <is>
          <t>Madison, University of Wisconsin Press, 1967.</t>
        </is>
      </c>
      <c r="M753" t="inlineStr">
        <is>
          <t>1967</t>
        </is>
      </c>
      <c r="O753" t="inlineStr">
        <is>
          <t>eng</t>
        </is>
      </c>
      <c r="P753" t="inlineStr">
        <is>
          <t>wiu</t>
        </is>
      </c>
      <c r="R753" t="inlineStr">
        <is>
          <t xml:space="preserve">QH </t>
        </is>
      </c>
      <c r="S753" t="n">
        <v>19</v>
      </c>
      <c r="T753" t="n">
        <v>19</v>
      </c>
      <c r="U753" t="inlineStr">
        <is>
          <t>2006-12-15</t>
        </is>
      </c>
      <c r="V753" t="inlineStr">
        <is>
          <t>2006-12-15</t>
        </is>
      </c>
      <c r="W753" t="inlineStr">
        <is>
          <t>1992-07-08</t>
        </is>
      </c>
      <c r="X753" t="inlineStr">
        <is>
          <t>1992-07-08</t>
        </is>
      </c>
      <c r="Y753" t="n">
        <v>549</v>
      </c>
      <c r="Z753" t="n">
        <v>468</v>
      </c>
      <c r="AA753" t="n">
        <v>479</v>
      </c>
      <c r="AB753" t="n">
        <v>3</v>
      </c>
      <c r="AC753" t="n">
        <v>3</v>
      </c>
      <c r="AD753" t="n">
        <v>23</v>
      </c>
      <c r="AE753" t="n">
        <v>23</v>
      </c>
      <c r="AF753" t="n">
        <v>5</v>
      </c>
      <c r="AG753" t="n">
        <v>5</v>
      </c>
      <c r="AH753" t="n">
        <v>4</v>
      </c>
      <c r="AI753" t="n">
        <v>4</v>
      </c>
      <c r="AJ753" t="n">
        <v>14</v>
      </c>
      <c r="AK753" t="n">
        <v>14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HYPERLINK("http://catalog.hathitrust.org/Record/001492268","HathiTrust Record")</f>
        <v/>
      </c>
      <c r="AS753">
        <f>HYPERLINK("https://creighton-primo.hosted.exlibrisgroup.com/primo-explore/search?tab=default_tab&amp;search_scope=EVERYTHING&amp;vid=01CRU&amp;lang=en_US&amp;offset=0&amp;query=any,contains,991003213319702656","Catalog Record")</f>
        <v/>
      </c>
      <c r="AT753">
        <f>HYPERLINK("http://www.worldcat.org/oclc/739779","WorldCat Record")</f>
        <v/>
      </c>
      <c r="AU753" t="inlineStr">
        <is>
          <t>29083162:eng</t>
        </is>
      </c>
      <c r="AV753" t="inlineStr">
        <is>
          <t>739779</t>
        </is>
      </c>
      <c r="AW753" t="inlineStr">
        <is>
          <t>991003213319702656</t>
        </is>
      </c>
      <c r="AX753" t="inlineStr">
        <is>
          <t>991003213319702656</t>
        </is>
      </c>
      <c r="AY753" t="inlineStr">
        <is>
          <t>2256105980002656</t>
        </is>
      </c>
      <c r="AZ753" t="inlineStr">
        <is>
          <t>BOOK</t>
        </is>
      </c>
      <c r="BC753" t="inlineStr">
        <is>
          <t>32285001187326</t>
        </is>
      </c>
      <c r="BD753" t="inlineStr">
        <is>
          <t>893780721</t>
        </is>
      </c>
    </row>
    <row r="754">
      <c r="A754" t="inlineStr">
        <is>
          <t>No</t>
        </is>
      </c>
      <c r="B754" t="inlineStr">
        <is>
          <t>QH431 .M39</t>
        </is>
      </c>
      <c r="C754" t="inlineStr">
        <is>
          <t>0                      QH 0431000M  39</t>
        </is>
      </c>
      <c r="D754" t="inlineStr">
        <is>
          <t>Population genetics and evolution / [by] Lawrence E. Mettler [and] Thomas G. Gregg.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Mettler, Lawrence E., 1929-</t>
        </is>
      </c>
      <c r="L754" t="inlineStr">
        <is>
          <t>Englewood Cliffs, N.J. : Prentice-Hall, [1969]</t>
        </is>
      </c>
      <c r="M754" t="inlineStr">
        <is>
          <t>1969</t>
        </is>
      </c>
      <c r="O754" t="inlineStr">
        <is>
          <t>eng</t>
        </is>
      </c>
      <c r="P754" t="inlineStr">
        <is>
          <t>nju</t>
        </is>
      </c>
      <c r="Q754" t="inlineStr">
        <is>
          <t>Foundations of modern genetics series</t>
        </is>
      </c>
      <c r="R754" t="inlineStr">
        <is>
          <t xml:space="preserve">QH </t>
        </is>
      </c>
      <c r="S754" t="n">
        <v>5</v>
      </c>
      <c r="T754" t="n">
        <v>5</v>
      </c>
      <c r="U754" t="inlineStr">
        <is>
          <t>2002-02-26</t>
        </is>
      </c>
      <c r="V754" t="inlineStr">
        <is>
          <t>2002-02-26</t>
        </is>
      </c>
      <c r="W754" t="inlineStr">
        <is>
          <t>1992-09-09</t>
        </is>
      </c>
      <c r="X754" t="inlineStr">
        <is>
          <t>1992-09-09</t>
        </is>
      </c>
      <c r="Y754" t="n">
        <v>820</v>
      </c>
      <c r="Z754" t="n">
        <v>638</v>
      </c>
      <c r="AA754" t="n">
        <v>726</v>
      </c>
      <c r="AB754" t="n">
        <v>4</v>
      </c>
      <c r="AC754" t="n">
        <v>4</v>
      </c>
      <c r="AD754" t="n">
        <v>21</v>
      </c>
      <c r="AE754" t="n">
        <v>27</v>
      </c>
      <c r="AF754" t="n">
        <v>7</v>
      </c>
      <c r="AG754" t="n">
        <v>11</v>
      </c>
      <c r="AH754" t="n">
        <v>4</v>
      </c>
      <c r="AI754" t="n">
        <v>6</v>
      </c>
      <c r="AJ754" t="n">
        <v>10</v>
      </c>
      <c r="AK754" t="n">
        <v>14</v>
      </c>
      <c r="AL754" t="n">
        <v>2</v>
      </c>
      <c r="AM754" t="n">
        <v>2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HYPERLINK("http://catalog.hathitrust.org/Record/001492269","HathiTrust Record")</f>
        <v/>
      </c>
      <c r="AS754">
        <f>HYPERLINK("https://creighton-primo.hosted.exlibrisgroup.com/primo-explore/search?tab=default_tab&amp;search_scope=EVERYTHING&amp;vid=01CRU&amp;lang=en_US&amp;offset=0&amp;query=any,contains,991000004359702656","Catalog Record")</f>
        <v/>
      </c>
      <c r="AT754">
        <f>HYPERLINK("http://www.worldcat.org/oclc/12611","WorldCat Record")</f>
        <v/>
      </c>
      <c r="AU754" t="inlineStr">
        <is>
          <t>1135501:eng</t>
        </is>
      </c>
      <c r="AV754" t="inlineStr">
        <is>
          <t>12611</t>
        </is>
      </c>
      <c r="AW754" t="inlineStr">
        <is>
          <t>991000004359702656</t>
        </is>
      </c>
      <c r="AX754" t="inlineStr">
        <is>
          <t>991000004359702656</t>
        </is>
      </c>
      <c r="AY754" t="inlineStr">
        <is>
          <t>2264963210002656</t>
        </is>
      </c>
      <c r="AZ754" t="inlineStr">
        <is>
          <t>BOOK</t>
        </is>
      </c>
      <c r="BB754" t="inlineStr">
        <is>
          <t>9780136852971</t>
        </is>
      </c>
      <c r="BC754" t="inlineStr">
        <is>
          <t>32285001296887</t>
        </is>
      </c>
      <c r="BD754" t="inlineStr">
        <is>
          <t>893771283</t>
        </is>
      </c>
    </row>
    <row r="755">
      <c r="A755" t="inlineStr">
        <is>
          <t>No</t>
        </is>
      </c>
      <c r="B755" t="inlineStr">
        <is>
          <t>QH431 .M537</t>
        </is>
      </c>
      <c r="C755" t="inlineStr">
        <is>
          <t>0                      QH 0431000M  537</t>
        </is>
      </c>
      <c r="D755" t="inlineStr">
        <is>
          <t>Genetics of sex differentiation.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Mittwoch, Ursula.</t>
        </is>
      </c>
      <c r="L755" t="inlineStr">
        <is>
          <t>New York, Academic Press, 1973.</t>
        </is>
      </c>
      <c r="M755" t="inlineStr">
        <is>
          <t>1973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QH </t>
        </is>
      </c>
      <c r="S755" t="n">
        <v>2</v>
      </c>
      <c r="T755" t="n">
        <v>2</v>
      </c>
      <c r="U755" t="inlineStr">
        <is>
          <t>2005-09-26</t>
        </is>
      </c>
      <c r="V755" t="inlineStr">
        <is>
          <t>2005-09-26</t>
        </is>
      </c>
      <c r="W755" t="inlineStr">
        <is>
          <t>1997-07-02</t>
        </is>
      </c>
      <c r="X755" t="inlineStr">
        <is>
          <t>1997-07-02</t>
        </is>
      </c>
      <c r="Y755" t="n">
        <v>489</v>
      </c>
      <c r="Z755" t="n">
        <v>376</v>
      </c>
      <c r="AA755" t="n">
        <v>417</v>
      </c>
      <c r="AB755" t="n">
        <v>3</v>
      </c>
      <c r="AC755" t="n">
        <v>3</v>
      </c>
      <c r="AD755" t="n">
        <v>16</v>
      </c>
      <c r="AE755" t="n">
        <v>18</v>
      </c>
      <c r="AF755" t="n">
        <v>4</v>
      </c>
      <c r="AG755" t="n">
        <v>5</v>
      </c>
      <c r="AH755" t="n">
        <v>2</v>
      </c>
      <c r="AI755" t="n">
        <v>4</v>
      </c>
      <c r="AJ755" t="n">
        <v>8</v>
      </c>
      <c r="AK755" t="n">
        <v>8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HYPERLINK("http://catalog.hathitrust.org/Record/001492270","HathiTrust Record")</f>
        <v/>
      </c>
      <c r="AS755">
        <f>HYPERLINK("https://creighton-primo.hosted.exlibrisgroup.com/primo-explore/search?tab=default_tab&amp;search_scope=EVERYTHING&amp;vid=01CRU&amp;lang=en_US&amp;offset=0&amp;query=any,contains,991003038159702656","Catalog Record")</f>
        <v/>
      </c>
      <c r="AT755">
        <f>HYPERLINK("http://www.worldcat.org/oclc/600284","WorldCat Record")</f>
        <v/>
      </c>
      <c r="AU755" t="inlineStr">
        <is>
          <t>1594760:eng</t>
        </is>
      </c>
      <c r="AV755" t="inlineStr">
        <is>
          <t>600284</t>
        </is>
      </c>
      <c r="AW755" t="inlineStr">
        <is>
          <t>991003038159702656</t>
        </is>
      </c>
      <c r="AX755" t="inlineStr">
        <is>
          <t>991003038159702656</t>
        </is>
      </c>
      <c r="AY755" t="inlineStr">
        <is>
          <t>2261081550002656</t>
        </is>
      </c>
      <c r="AZ755" t="inlineStr">
        <is>
          <t>BOOK</t>
        </is>
      </c>
      <c r="BB755" t="inlineStr">
        <is>
          <t>9780125010405</t>
        </is>
      </c>
      <c r="BC755" t="inlineStr">
        <is>
          <t>32285002911039</t>
        </is>
      </c>
      <c r="BD755" t="inlineStr">
        <is>
          <t>893793255</t>
        </is>
      </c>
    </row>
    <row r="756">
      <c r="A756" t="inlineStr">
        <is>
          <t>No</t>
        </is>
      </c>
      <c r="B756" t="inlineStr">
        <is>
          <t>QH431 .M538 1967</t>
        </is>
      </c>
      <c r="C756" t="inlineStr">
        <is>
          <t>0                      QH 0431000M  538         1967</t>
        </is>
      </c>
      <c r="D756" t="inlineStr">
        <is>
          <t>Sex chromosomes.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Mittwoch, Ursula.</t>
        </is>
      </c>
      <c r="L756" t="inlineStr">
        <is>
          <t>New York, Academic Press, 1967.</t>
        </is>
      </c>
      <c r="M756" t="inlineStr">
        <is>
          <t>1967</t>
        </is>
      </c>
      <c r="O756" t="inlineStr">
        <is>
          <t>eng</t>
        </is>
      </c>
      <c r="P756" t="inlineStr">
        <is>
          <t>nyu</t>
        </is>
      </c>
      <c r="R756" t="inlineStr">
        <is>
          <t xml:space="preserve">QH </t>
        </is>
      </c>
      <c r="S756" t="n">
        <v>2</v>
      </c>
      <c r="T756" t="n">
        <v>2</v>
      </c>
      <c r="U756" t="inlineStr">
        <is>
          <t>2005-09-26</t>
        </is>
      </c>
      <c r="V756" t="inlineStr">
        <is>
          <t>2005-09-26</t>
        </is>
      </c>
      <c r="W756" t="inlineStr">
        <is>
          <t>1997-07-02</t>
        </is>
      </c>
      <c r="X756" t="inlineStr">
        <is>
          <t>1997-07-02</t>
        </is>
      </c>
      <c r="Y756" t="n">
        <v>496</v>
      </c>
      <c r="Z756" t="n">
        <v>364</v>
      </c>
      <c r="AA756" t="n">
        <v>408</v>
      </c>
      <c r="AB756" t="n">
        <v>5</v>
      </c>
      <c r="AC756" t="n">
        <v>5</v>
      </c>
      <c r="AD756" t="n">
        <v>17</v>
      </c>
      <c r="AE756" t="n">
        <v>19</v>
      </c>
      <c r="AF756" t="n">
        <v>6</v>
      </c>
      <c r="AG756" t="n">
        <v>7</v>
      </c>
      <c r="AH756" t="n">
        <v>5</v>
      </c>
      <c r="AI756" t="n">
        <v>7</v>
      </c>
      <c r="AJ756" t="n">
        <v>8</v>
      </c>
      <c r="AK756" t="n">
        <v>8</v>
      </c>
      <c r="AL756" t="n">
        <v>4</v>
      </c>
      <c r="AM756" t="n">
        <v>4</v>
      </c>
      <c r="AN756" t="n">
        <v>0</v>
      </c>
      <c r="AO756" t="n">
        <v>0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HYPERLINK("http://catalog.hathitrust.org/Record/001492271","HathiTrust Record")</f>
        <v/>
      </c>
      <c r="AS756">
        <f>HYPERLINK("https://creighton-primo.hosted.exlibrisgroup.com/primo-explore/search?tab=default_tab&amp;search_scope=EVERYTHING&amp;vid=01CRU&amp;lang=en_US&amp;offset=0&amp;query=any,contains,991002974529702656","Catalog Record")</f>
        <v/>
      </c>
      <c r="AT756">
        <f>HYPERLINK("http://www.worldcat.org/oclc/551208","WorldCat Record")</f>
        <v/>
      </c>
      <c r="AU756" t="inlineStr">
        <is>
          <t>1596961:eng</t>
        </is>
      </c>
      <c r="AV756" t="inlineStr">
        <is>
          <t>551208</t>
        </is>
      </c>
      <c r="AW756" t="inlineStr">
        <is>
          <t>991002974529702656</t>
        </is>
      </c>
      <c r="AX756" t="inlineStr">
        <is>
          <t>991002974529702656</t>
        </is>
      </c>
      <c r="AY756" t="inlineStr">
        <is>
          <t>2257582980002656</t>
        </is>
      </c>
      <c r="AZ756" t="inlineStr">
        <is>
          <t>BOOK</t>
        </is>
      </c>
      <c r="BC756" t="inlineStr">
        <is>
          <t>32285002911047</t>
        </is>
      </c>
      <c r="BD756" t="inlineStr">
        <is>
          <t>893530716</t>
        </is>
      </c>
    </row>
    <row r="757">
      <c r="A757" t="inlineStr">
        <is>
          <t>No</t>
        </is>
      </c>
      <c r="B757" t="inlineStr">
        <is>
          <t>QH431 .M5527</t>
        </is>
      </c>
      <c r="C757" t="inlineStr">
        <is>
          <t>0                      QH 0431000M  5527</t>
        </is>
      </c>
      <c r="D757" t="inlineStr">
        <is>
          <t>Molecular genetic mechanisms in development and aging. Edited by Morris Rockstein [and] George T. Baker, III.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York, Academic Press, 1972.</t>
        </is>
      </c>
      <c r="M757" t="inlineStr">
        <is>
          <t>1972</t>
        </is>
      </c>
      <c r="O757" t="inlineStr">
        <is>
          <t>eng</t>
        </is>
      </c>
      <c r="P757" t="inlineStr">
        <is>
          <t>nyu</t>
        </is>
      </c>
      <c r="R757" t="inlineStr">
        <is>
          <t xml:space="preserve">QH </t>
        </is>
      </c>
      <c r="S757" t="n">
        <v>2</v>
      </c>
      <c r="T757" t="n">
        <v>2</v>
      </c>
      <c r="U757" t="inlineStr">
        <is>
          <t>2005-10-05</t>
        </is>
      </c>
      <c r="V757" t="inlineStr">
        <is>
          <t>2005-10-05</t>
        </is>
      </c>
      <c r="W757" t="inlineStr">
        <is>
          <t>1997-07-02</t>
        </is>
      </c>
      <c r="X757" t="inlineStr">
        <is>
          <t>1997-07-02</t>
        </is>
      </c>
      <c r="Y757" t="n">
        <v>375</v>
      </c>
      <c r="Z757" t="n">
        <v>288</v>
      </c>
      <c r="AA757" t="n">
        <v>329</v>
      </c>
      <c r="AB757" t="n">
        <v>3</v>
      </c>
      <c r="AC757" t="n">
        <v>3</v>
      </c>
      <c r="AD757" t="n">
        <v>12</v>
      </c>
      <c r="AE757" t="n">
        <v>14</v>
      </c>
      <c r="AF757" t="n">
        <v>4</v>
      </c>
      <c r="AG757" t="n">
        <v>5</v>
      </c>
      <c r="AH757" t="n">
        <v>2</v>
      </c>
      <c r="AI757" t="n">
        <v>3</v>
      </c>
      <c r="AJ757" t="n">
        <v>6</v>
      </c>
      <c r="AK757" t="n">
        <v>6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HYPERLINK("http://catalog.hathitrust.org/Record/000008030","HathiTrust Record")</f>
        <v/>
      </c>
      <c r="AS757">
        <f>HYPERLINK("https://creighton-primo.hosted.exlibrisgroup.com/primo-explore/search?tab=default_tab&amp;search_scope=EVERYTHING&amp;vid=01CRU&amp;lang=en_US&amp;offset=0&amp;query=any,contains,991003027299702656","Catalog Record")</f>
        <v/>
      </c>
      <c r="AT757">
        <f>HYPERLINK("http://www.worldcat.org/oclc/590903","WorldCat Record")</f>
        <v/>
      </c>
      <c r="AU757" t="inlineStr">
        <is>
          <t>1779189:eng</t>
        </is>
      </c>
      <c r="AV757" t="inlineStr">
        <is>
          <t>590903</t>
        </is>
      </c>
      <c r="AW757" t="inlineStr">
        <is>
          <t>991003027299702656</t>
        </is>
      </c>
      <c r="AX757" t="inlineStr">
        <is>
          <t>991003027299702656</t>
        </is>
      </c>
      <c r="AY757" t="inlineStr">
        <is>
          <t>2265587060002656</t>
        </is>
      </c>
      <c r="AZ757" t="inlineStr">
        <is>
          <t>BOOK</t>
        </is>
      </c>
      <c r="BB757" t="inlineStr">
        <is>
          <t>9780125915502</t>
        </is>
      </c>
      <c r="BC757" t="inlineStr">
        <is>
          <t>32285002911054</t>
        </is>
      </c>
      <c r="BD757" t="inlineStr">
        <is>
          <t>893698599</t>
        </is>
      </c>
    </row>
    <row r="758">
      <c r="A758" t="inlineStr">
        <is>
          <t>No</t>
        </is>
      </c>
      <c r="B758" t="inlineStr">
        <is>
          <t>QH431 .M85</t>
        </is>
      </c>
      <c r="C758" t="inlineStr">
        <is>
          <t>0                      QH 0431000M  85</t>
        </is>
      </c>
      <c r="D758" t="inlineStr">
        <is>
          <t>The mechanism of Mendelian heredity / by T. H. Morgan [et al.]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Morgan, Thomas Hunt, 1866-1945.</t>
        </is>
      </c>
      <c r="L758" t="inlineStr">
        <is>
          <t>New York : Holt, 1915.</t>
        </is>
      </c>
      <c r="M758" t="inlineStr">
        <is>
          <t>1915</t>
        </is>
      </c>
      <c r="O758" t="inlineStr">
        <is>
          <t>eng</t>
        </is>
      </c>
      <c r="P758" t="inlineStr">
        <is>
          <t xml:space="preserve">xx </t>
        </is>
      </c>
      <c r="R758" t="inlineStr">
        <is>
          <t xml:space="preserve">QH </t>
        </is>
      </c>
      <c r="S758" t="n">
        <v>5</v>
      </c>
      <c r="T758" t="n">
        <v>5</v>
      </c>
      <c r="U758" t="inlineStr">
        <is>
          <t>1994-11-17</t>
        </is>
      </c>
      <c r="V758" t="inlineStr">
        <is>
          <t>1994-11-17</t>
        </is>
      </c>
      <c r="W758" t="inlineStr">
        <is>
          <t>1994-02-23</t>
        </is>
      </c>
      <c r="X758" t="inlineStr">
        <is>
          <t>1994-02-23</t>
        </is>
      </c>
      <c r="Y758" t="n">
        <v>204</v>
      </c>
      <c r="Z758" t="n">
        <v>168</v>
      </c>
      <c r="AA758" t="n">
        <v>443</v>
      </c>
      <c r="AB758" t="n">
        <v>4</v>
      </c>
      <c r="AC758" t="n">
        <v>5</v>
      </c>
      <c r="AD758" t="n">
        <v>4</v>
      </c>
      <c r="AE758" t="n">
        <v>24</v>
      </c>
      <c r="AF758" t="n">
        <v>0</v>
      </c>
      <c r="AG758" t="n">
        <v>5</v>
      </c>
      <c r="AH758" t="n">
        <v>1</v>
      </c>
      <c r="AI758" t="n">
        <v>4</v>
      </c>
      <c r="AJ758" t="n">
        <v>0</v>
      </c>
      <c r="AK758" t="n">
        <v>14</v>
      </c>
      <c r="AL758" t="n">
        <v>3</v>
      </c>
      <c r="AM758" t="n">
        <v>4</v>
      </c>
      <c r="AN758" t="n">
        <v>0</v>
      </c>
      <c r="AO758" t="n">
        <v>1</v>
      </c>
      <c r="AP758" t="inlineStr">
        <is>
          <t>Yes</t>
        </is>
      </c>
      <c r="AQ758" t="inlineStr">
        <is>
          <t>No</t>
        </is>
      </c>
      <c r="AR758">
        <f>HYPERLINK("http://catalog.hathitrust.org/Record/001492280","HathiTrust Record")</f>
        <v/>
      </c>
      <c r="AS758">
        <f>HYPERLINK("https://creighton-primo.hosted.exlibrisgroup.com/primo-explore/search?tab=default_tab&amp;search_scope=EVERYTHING&amp;vid=01CRU&amp;lang=en_US&amp;offset=0&amp;query=any,contains,991000959369702656","Catalog Record")</f>
        <v/>
      </c>
      <c r="AT758">
        <f>HYPERLINK("http://www.worldcat.org/oclc/14775756","WorldCat Record")</f>
        <v/>
      </c>
      <c r="AU758" t="inlineStr">
        <is>
          <t>1927956:eng</t>
        </is>
      </c>
      <c r="AV758" t="inlineStr">
        <is>
          <t>14775756</t>
        </is>
      </c>
      <c r="AW758" t="inlineStr">
        <is>
          <t>991000959369702656</t>
        </is>
      </c>
      <c r="AX758" t="inlineStr">
        <is>
          <t>991000959369702656</t>
        </is>
      </c>
      <c r="AY758" t="inlineStr">
        <is>
          <t>2271558060002656</t>
        </is>
      </c>
      <c r="AZ758" t="inlineStr">
        <is>
          <t>BOOK</t>
        </is>
      </c>
      <c r="BC758" t="inlineStr">
        <is>
          <t>32285001839512</t>
        </is>
      </c>
      <c r="BD758" t="inlineStr">
        <is>
          <t>893596069</t>
        </is>
      </c>
    </row>
    <row r="759">
      <c r="A759" t="inlineStr">
        <is>
          <t>No</t>
        </is>
      </c>
      <c r="B759" t="inlineStr">
        <is>
          <t>QH431 .M89 1928</t>
        </is>
      </c>
      <c r="C759" t="inlineStr">
        <is>
          <t>0                      QH 0431000M  89          1928</t>
        </is>
      </c>
      <c r="D759" t="inlineStr">
        <is>
          <t>The theory of the gene, by Thomas Hunt Morgan ...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Yes</t>
        </is>
      </c>
      <c r="J759" t="inlineStr">
        <is>
          <t>0</t>
        </is>
      </c>
      <c r="K759" t="inlineStr">
        <is>
          <t>Morgan, Thomas Hunt, 1866-1945.</t>
        </is>
      </c>
      <c r="L759" t="inlineStr">
        <is>
          <t>New Haven, Yale University Press; London, H. Milford, Oxford University Press, 1928.</t>
        </is>
      </c>
      <c r="M759" t="inlineStr">
        <is>
          <t>1928</t>
        </is>
      </c>
      <c r="N759" t="inlineStr">
        <is>
          <t>Enl. and rev. ed.</t>
        </is>
      </c>
      <c r="O759" t="inlineStr">
        <is>
          <t>eng</t>
        </is>
      </c>
      <c r="P759" t="inlineStr">
        <is>
          <t>ctu</t>
        </is>
      </c>
      <c r="Q759" t="inlineStr">
        <is>
          <t>Yale University. Mrs. Hepsa Ely Silliman memorial lectures</t>
        </is>
      </c>
      <c r="R759" t="inlineStr">
        <is>
          <t xml:space="preserve">QH </t>
        </is>
      </c>
      <c r="S759" t="n">
        <v>1</v>
      </c>
      <c r="T759" t="n">
        <v>1</v>
      </c>
      <c r="U759" t="inlineStr">
        <is>
          <t>2002-02-26</t>
        </is>
      </c>
      <c r="V759" t="inlineStr">
        <is>
          <t>2002-02-26</t>
        </is>
      </c>
      <c r="W759" t="inlineStr">
        <is>
          <t>1997-07-02</t>
        </is>
      </c>
      <c r="X759" t="inlineStr">
        <is>
          <t>1997-07-02</t>
        </is>
      </c>
      <c r="Y759" t="n">
        <v>265</v>
      </c>
      <c r="Z759" t="n">
        <v>207</v>
      </c>
      <c r="AA759" t="n">
        <v>627</v>
      </c>
      <c r="AB759" t="n">
        <v>4</v>
      </c>
      <c r="AC759" t="n">
        <v>5</v>
      </c>
      <c r="AD759" t="n">
        <v>10</v>
      </c>
      <c r="AE759" t="n">
        <v>28</v>
      </c>
      <c r="AF759" t="n">
        <v>4</v>
      </c>
      <c r="AG759" t="n">
        <v>9</v>
      </c>
      <c r="AH759" t="n">
        <v>1</v>
      </c>
      <c r="AI759" t="n">
        <v>4</v>
      </c>
      <c r="AJ759" t="n">
        <v>2</v>
      </c>
      <c r="AK759" t="n">
        <v>15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R759">
        <f>HYPERLINK("http://catalog.hathitrust.org/Record/001492284","HathiTrust Record")</f>
        <v/>
      </c>
      <c r="AS759">
        <f>HYPERLINK("https://creighton-primo.hosted.exlibrisgroup.com/primo-explore/search?tab=default_tab&amp;search_scope=EVERYTHING&amp;vid=01CRU&amp;lang=en_US&amp;offset=0&amp;query=any,contains,991003404959702656","Catalog Record")</f>
        <v/>
      </c>
      <c r="AT759">
        <f>HYPERLINK("http://www.worldcat.org/oclc/944715","WorldCat Record")</f>
        <v/>
      </c>
      <c r="AU759" t="inlineStr">
        <is>
          <t>909233:eng</t>
        </is>
      </c>
      <c r="AV759" t="inlineStr">
        <is>
          <t>944715</t>
        </is>
      </c>
      <c r="AW759" t="inlineStr">
        <is>
          <t>991003404959702656</t>
        </is>
      </c>
      <c r="AX759" t="inlineStr">
        <is>
          <t>991003404959702656</t>
        </is>
      </c>
      <c r="AY759" t="inlineStr">
        <is>
          <t>2265180570002656</t>
        </is>
      </c>
      <c r="AZ759" t="inlineStr">
        <is>
          <t>BOOK</t>
        </is>
      </c>
      <c r="BC759" t="inlineStr">
        <is>
          <t>32285002911120</t>
        </is>
      </c>
      <c r="BD759" t="inlineStr">
        <is>
          <t>893887433</t>
        </is>
      </c>
    </row>
    <row r="760">
      <c r="A760" t="inlineStr">
        <is>
          <t>No</t>
        </is>
      </c>
      <c r="B760" t="inlineStr">
        <is>
          <t>QH431 .M9373 1967</t>
        </is>
      </c>
      <c r="C760" t="inlineStr">
        <is>
          <t>0                      QH 0431000M  9373        1967</t>
        </is>
      </c>
      <c r="D760" t="inlineStr">
        <is>
          <t>Genetics: basic and applied. A survey of methods and main results.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Müntzing, Arne, 1903-1984.</t>
        </is>
      </c>
      <c r="L760" t="inlineStr">
        <is>
          <t>Stockholm, LT, 1967.</t>
        </is>
      </c>
      <c r="M760" t="inlineStr">
        <is>
          <t>1967</t>
        </is>
      </c>
      <c r="N760" t="inlineStr">
        <is>
          <t>2. ed.</t>
        </is>
      </c>
      <c r="O760" t="inlineStr">
        <is>
          <t>eng</t>
        </is>
      </c>
      <c r="P760" t="inlineStr">
        <is>
          <t xml:space="preserve">sw </t>
        </is>
      </c>
      <c r="R760" t="inlineStr">
        <is>
          <t xml:space="preserve">QH </t>
        </is>
      </c>
      <c r="S760" t="n">
        <v>1</v>
      </c>
      <c r="T760" t="n">
        <v>1</v>
      </c>
      <c r="U760" t="inlineStr">
        <is>
          <t>2001-02-07</t>
        </is>
      </c>
      <c r="V760" t="inlineStr">
        <is>
          <t>2001-02-07</t>
        </is>
      </c>
      <c r="W760" t="inlineStr">
        <is>
          <t>1997-07-02</t>
        </is>
      </c>
      <c r="X760" t="inlineStr">
        <is>
          <t>1997-07-02</t>
        </is>
      </c>
      <c r="Y760" t="n">
        <v>149</v>
      </c>
      <c r="Z760" t="n">
        <v>109</v>
      </c>
      <c r="AA760" t="n">
        <v>110</v>
      </c>
      <c r="AB760" t="n">
        <v>2</v>
      </c>
      <c r="AC760" t="n">
        <v>2</v>
      </c>
      <c r="AD760" t="n">
        <v>7</v>
      </c>
      <c r="AE760" t="n">
        <v>7</v>
      </c>
      <c r="AF760" t="n">
        <v>1</v>
      </c>
      <c r="AG760" t="n">
        <v>1</v>
      </c>
      <c r="AH760" t="n">
        <v>3</v>
      </c>
      <c r="AI760" t="n">
        <v>3</v>
      </c>
      <c r="AJ760" t="n">
        <v>5</v>
      </c>
      <c r="AK760" t="n">
        <v>5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HYPERLINK("http://catalog.hathitrust.org/Record/009086171","HathiTrust Record")</f>
        <v/>
      </c>
      <c r="AS760">
        <f>HYPERLINK("https://creighton-primo.hosted.exlibrisgroup.com/primo-explore/search?tab=default_tab&amp;search_scope=EVERYTHING&amp;vid=01CRU&amp;lang=en_US&amp;offset=0&amp;query=any,contains,991002811729702656","Catalog Record")</f>
        <v/>
      </c>
      <c r="AT760">
        <f>HYPERLINK("http://www.worldcat.org/oclc/456208","WorldCat Record")</f>
        <v/>
      </c>
      <c r="AU760" t="inlineStr">
        <is>
          <t>9381358274:eng</t>
        </is>
      </c>
      <c r="AV760" t="inlineStr">
        <is>
          <t>456208</t>
        </is>
      </c>
      <c r="AW760" t="inlineStr">
        <is>
          <t>991002811729702656</t>
        </is>
      </c>
      <c r="AX760" t="inlineStr">
        <is>
          <t>991002811729702656</t>
        </is>
      </c>
      <c r="AY760" t="inlineStr">
        <is>
          <t>2260867500002656</t>
        </is>
      </c>
      <c r="AZ760" t="inlineStr">
        <is>
          <t>BOOK</t>
        </is>
      </c>
      <c r="BC760" t="inlineStr">
        <is>
          <t>32285002911138</t>
        </is>
      </c>
      <c r="BD760" t="inlineStr">
        <is>
          <t>893616611</t>
        </is>
      </c>
    </row>
    <row r="761">
      <c r="A761" t="inlineStr">
        <is>
          <t>No</t>
        </is>
      </c>
      <c r="B761" t="inlineStr">
        <is>
          <t>QH431 .M942</t>
        </is>
      </c>
      <c r="C761" t="inlineStr">
        <is>
          <t>0                      QH 0431000M  942</t>
        </is>
      </c>
      <c r="D761" t="inlineStr">
        <is>
          <t>Man's future birthright : essays on science and humanity / edited by Elof Axel Carlson.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Muller, H. J. (Hermann Joseph), 1890-1967.</t>
        </is>
      </c>
      <c r="L761" t="inlineStr">
        <is>
          <t>Albany : State University of New York Press, 1973.</t>
        </is>
      </c>
      <c r="M761" t="inlineStr">
        <is>
          <t>1973</t>
        </is>
      </c>
      <c r="N761" t="inlineStr">
        <is>
          <t>[1st ed.]</t>
        </is>
      </c>
      <c r="O761" t="inlineStr">
        <is>
          <t>eng</t>
        </is>
      </c>
      <c r="P761" t="inlineStr">
        <is>
          <t>nyu</t>
        </is>
      </c>
      <c r="R761" t="inlineStr">
        <is>
          <t xml:space="preserve">QH </t>
        </is>
      </c>
      <c r="S761" t="n">
        <v>4</v>
      </c>
      <c r="T761" t="n">
        <v>4</v>
      </c>
      <c r="U761" t="inlineStr">
        <is>
          <t>1997-03-24</t>
        </is>
      </c>
      <c r="V761" t="inlineStr">
        <is>
          <t>1997-03-24</t>
        </is>
      </c>
      <c r="W761" t="inlineStr">
        <is>
          <t>1994-04-08</t>
        </is>
      </c>
      <c r="X761" t="inlineStr">
        <is>
          <t>1994-04-08</t>
        </is>
      </c>
      <c r="Y761" t="n">
        <v>610</v>
      </c>
      <c r="Z761" t="n">
        <v>540</v>
      </c>
      <c r="AA761" t="n">
        <v>546</v>
      </c>
      <c r="AB761" t="n">
        <v>6</v>
      </c>
      <c r="AC761" t="n">
        <v>6</v>
      </c>
      <c r="AD761" t="n">
        <v>24</v>
      </c>
      <c r="AE761" t="n">
        <v>24</v>
      </c>
      <c r="AF761" t="n">
        <v>10</v>
      </c>
      <c r="AG761" t="n">
        <v>10</v>
      </c>
      <c r="AH761" t="n">
        <v>3</v>
      </c>
      <c r="AI761" t="n">
        <v>3</v>
      </c>
      <c r="AJ761" t="n">
        <v>9</v>
      </c>
      <c r="AK761" t="n">
        <v>9</v>
      </c>
      <c r="AL761" t="n">
        <v>5</v>
      </c>
      <c r="AM761" t="n">
        <v>5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HYPERLINK("https://creighton-primo.hosted.exlibrisgroup.com/primo-explore/search?tab=default_tab&amp;search_scope=EVERYTHING&amp;vid=01CRU&amp;lang=en_US&amp;offset=0&amp;query=any,contains,991003067469702656","Catalog Record")</f>
        <v/>
      </c>
      <c r="AT761">
        <f>HYPERLINK("http://www.worldcat.org/oclc/623178","WorldCat Record")</f>
        <v/>
      </c>
      <c r="AU761" t="inlineStr">
        <is>
          <t>1703336:eng</t>
        </is>
      </c>
      <c r="AV761" t="inlineStr">
        <is>
          <t>623178</t>
        </is>
      </c>
      <c r="AW761" t="inlineStr">
        <is>
          <t>991003067469702656</t>
        </is>
      </c>
      <c r="AX761" t="inlineStr">
        <is>
          <t>991003067469702656</t>
        </is>
      </c>
      <c r="AY761" t="inlineStr">
        <is>
          <t>2256139070002656</t>
        </is>
      </c>
      <c r="AZ761" t="inlineStr">
        <is>
          <t>BOOK</t>
        </is>
      </c>
      <c r="BB761" t="inlineStr">
        <is>
          <t>9780873950978</t>
        </is>
      </c>
      <c r="BC761" t="inlineStr">
        <is>
          <t>32285001874501</t>
        </is>
      </c>
      <c r="BD761" t="inlineStr">
        <is>
          <t>893342210</t>
        </is>
      </c>
    </row>
    <row r="762">
      <c r="A762" t="inlineStr">
        <is>
          <t>No</t>
        </is>
      </c>
      <c r="B762" t="inlineStr">
        <is>
          <t>QH431 .N3</t>
        </is>
      </c>
      <c r="C762" t="inlineStr">
        <is>
          <t>0                      QH 0431000N  3</t>
        </is>
      </c>
      <c r="D762" t="inlineStr">
        <is>
          <t>Theoretical advances in behavior genetics : [proceedings of the NATO Advanced Study Institute on Theoretical Advances in Behavior Genetics, Banff Centre, Banff, Alberta, Canada, September 29, October 8, 1978] / edited by Joseph R. Royce and Leendert P. Mos.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NATO Advanced Study Institute on Theoretical Advances in Behavior Genetics (1978 : Banff Centre)</t>
        </is>
      </c>
      <c r="L762" t="inlineStr">
        <is>
          <t>Alphen aan den Rijn ; Germantown, Md. : Sijthoff &amp; Noordhoff, 1979.</t>
        </is>
      </c>
      <c r="M762" t="inlineStr">
        <is>
          <t>1979</t>
        </is>
      </c>
      <c r="O762" t="inlineStr">
        <is>
          <t>eng</t>
        </is>
      </c>
      <c r="P762" t="inlineStr">
        <is>
          <t xml:space="preserve">ne </t>
        </is>
      </c>
      <c r="Q762" t="inlineStr">
        <is>
          <t>NATO Advanced Study Institutes series. Series D, Behavioral and social sciences ; no. 2</t>
        </is>
      </c>
      <c r="R762" t="inlineStr">
        <is>
          <t xml:space="preserve">QH </t>
        </is>
      </c>
      <c r="S762" t="n">
        <v>1</v>
      </c>
      <c r="T762" t="n">
        <v>1</v>
      </c>
      <c r="U762" t="inlineStr">
        <is>
          <t>2004-01-19</t>
        </is>
      </c>
      <c r="V762" t="inlineStr">
        <is>
          <t>2004-01-19</t>
        </is>
      </c>
      <c r="W762" t="inlineStr">
        <is>
          <t>1993-04-07</t>
        </is>
      </c>
      <c r="X762" t="inlineStr">
        <is>
          <t>1993-04-07</t>
        </is>
      </c>
      <c r="Y762" t="n">
        <v>119</v>
      </c>
      <c r="Z762" t="n">
        <v>66</v>
      </c>
      <c r="AA762" t="n">
        <v>72</v>
      </c>
      <c r="AB762" t="n">
        <v>2</v>
      </c>
      <c r="AC762" t="n">
        <v>2</v>
      </c>
      <c r="AD762" t="n">
        <v>1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1</v>
      </c>
      <c r="AM762" t="n">
        <v>1</v>
      </c>
      <c r="AN762" t="n">
        <v>0</v>
      </c>
      <c r="AO762" t="n">
        <v>0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HYPERLINK("https://creighton-primo.hosted.exlibrisgroup.com/primo-explore/search?tab=default_tab&amp;search_scope=EVERYTHING&amp;vid=01CRU&amp;lang=en_US&amp;offset=0&amp;query=any,contains,991004940539702656","Catalog Record")</f>
        <v/>
      </c>
      <c r="AT762">
        <f>HYPERLINK("http://www.worldcat.org/oclc/7978231","WorldCat Record")</f>
        <v/>
      </c>
      <c r="AU762" t="inlineStr">
        <is>
          <t>497219626:eng</t>
        </is>
      </c>
      <c r="AV762" t="inlineStr">
        <is>
          <t>7978231</t>
        </is>
      </c>
      <c r="AW762" t="inlineStr">
        <is>
          <t>991004940539702656</t>
        </is>
      </c>
      <c r="AX762" t="inlineStr">
        <is>
          <t>991004940539702656</t>
        </is>
      </c>
      <c r="AY762" t="inlineStr">
        <is>
          <t>2272719780002656</t>
        </is>
      </c>
      <c r="AZ762" t="inlineStr">
        <is>
          <t>BOOK</t>
        </is>
      </c>
      <c r="BB762" t="inlineStr">
        <is>
          <t>9789028605695</t>
        </is>
      </c>
      <c r="BC762" t="inlineStr">
        <is>
          <t>32285001554681</t>
        </is>
      </c>
      <c r="BD762" t="inlineStr">
        <is>
          <t>893600403</t>
        </is>
      </c>
    </row>
    <row r="763">
      <c r="A763" t="inlineStr">
        <is>
          <t>No</t>
        </is>
      </c>
      <c r="B763" t="inlineStr">
        <is>
          <t>QH431 .N56 1965c</t>
        </is>
      </c>
      <c r="C763" t="inlineStr">
        <is>
          <t>0                      QH 0431000N  56          1965c</t>
        </is>
      </c>
      <c r="D763" t="inlineStr">
        <is>
          <t>Genetics and the future of man : a discussion at the Nobel Conference organized by Gustavus Adolphus College, St. Peter, Minnesota, 1965 / edited by John D. Roslansky. Contributors: Polykarp Kusch [and others]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Nobel Conference (1st : 1965 : Gustavus Adolphus College)</t>
        </is>
      </c>
      <c r="L763" t="inlineStr">
        <is>
          <t>Amsterdam : North-Holland Pub. Co., 1966.</t>
        </is>
      </c>
      <c r="M763" t="inlineStr">
        <is>
          <t>1966</t>
        </is>
      </c>
      <c r="O763" t="inlineStr">
        <is>
          <t>eng</t>
        </is>
      </c>
      <c r="P763" t="inlineStr">
        <is>
          <t xml:space="preserve">ne </t>
        </is>
      </c>
      <c r="R763" t="inlineStr">
        <is>
          <t xml:space="preserve">QH </t>
        </is>
      </c>
      <c r="S763" t="n">
        <v>3</v>
      </c>
      <c r="T763" t="n">
        <v>3</v>
      </c>
      <c r="U763" t="inlineStr">
        <is>
          <t>1996-09-24</t>
        </is>
      </c>
      <c r="V763" t="inlineStr">
        <is>
          <t>1996-09-24</t>
        </is>
      </c>
      <c r="W763" t="inlineStr">
        <is>
          <t>1994-10-28</t>
        </is>
      </c>
      <c r="X763" t="inlineStr">
        <is>
          <t>1994-10-28</t>
        </is>
      </c>
      <c r="Y763" t="n">
        <v>127</v>
      </c>
      <c r="Z763" t="n">
        <v>72</v>
      </c>
      <c r="AA763" t="n">
        <v>372</v>
      </c>
      <c r="AB763" t="n">
        <v>1</v>
      </c>
      <c r="AC763" t="n">
        <v>4</v>
      </c>
      <c r="AD763" t="n">
        <v>0</v>
      </c>
      <c r="AE763" t="n">
        <v>17</v>
      </c>
      <c r="AF763" t="n">
        <v>0</v>
      </c>
      <c r="AG763" t="n">
        <v>7</v>
      </c>
      <c r="AH763" t="n">
        <v>0</v>
      </c>
      <c r="AI763" t="n">
        <v>3</v>
      </c>
      <c r="AJ763" t="n">
        <v>0</v>
      </c>
      <c r="AK763" t="n">
        <v>9</v>
      </c>
      <c r="AL763" t="n">
        <v>0</v>
      </c>
      <c r="AM763" t="n">
        <v>3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HYPERLINK("http://catalog.hathitrust.org/Record/001492297","HathiTrust Record")</f>
        <v/>
      </c>
      <c r="AS763">
        <f>HYPERLINK("https://creighton-primo.hosted.exlibrisgroup.com/primo-explore/search?tab=default_tab&amp;search_scope=EVERYTHING&amp;vid=01CRU&amp;lang=en_US&amp;offset=0&amp;query=any,contains,991003414379702656","Catalog Record")</f>
        <v/>
      </c>
      <c r="AT763">
        <f>HYPERLINK("http://www.worldcat.org/oclc/953024","WorldCat Record")</f>
        <v/>
      </c>
      <c r="AU763" t="inlineStr">
        <is>
          <t>346769764:eng</t>
        </is>
      </c>
      <c r="AV763" t="inlineStr">
        <is>
          <t>953024</t>
        </is>
      </c>
      <c r="AW763" t="inlineStr">
        <is>
          <t>991003414379702656</t>
        </is>
      </c>
      <c r="AX763" t="inlineStr">
        <is>
          <t>991003414379702656</t>
        </is>
      </c>
      <c r="AY763" t="inlineStr">
        <is>
          <t>2261043070002656</t>
        </is>
      </c>
      <c r="AZ763" t="inlineStr">
        <is>
          <t>BOOK</t>
        </is>
      </c>
      <c r="BC763" t="inlineStr">
        <is>
          <t>32285001963502</t>
        </is>
      </c>
      <c r="BD763" t="inlineStr">
        <is>
          <t>893705204</t>
        </is>
      </c>
    </row>
    <row r="764">
      <c r="A764" t="inlineStr">
        <is>
          <t>No</t>
        </is>
      </c>
      <c r="B764" t="inlineStr">
        <is>
          <t>QH431 .O43</t>
        </is>
      </c>
      <c r="C764" t="inlineStr">
        <is>
          <t>0                      QH 0431000O  43</t>
        </is>
      </c>
      <c r="D764" t="inlineStr">
        <is>
          <t>Evolution by gene duplication.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Ohno, Susumu.</t>
        </is>
      </c>
      <c r="L764" t="inlineStr">
        <is>
          <t>Berlin, New York, Springer-Verlag, 1970.</t>
        </is>
      </c>
      <c r="M764" t="inlineStr">
        <is>
          <t>1970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QH </t>
        </is>
      </c>
      <c r="S764" t="n">
        <v>2</v>
      </c>
      <c r="T764" t="n">
        <v>2</v>
      </c>
      <c r="U764" t="inlineStr">
        <is>
          <t>2006-11-13</t>
        </is>
      </c>
      <c r="V764" t="inlineStr">
        <is>
          <t>2006-11-13</t>
        </is>
      </c>
      <c r="W764" t="inlineStr">
        <is>
          <t>1997-07-02</t>
        </is>
      </c>
      <c r="X764" t="inlineStr">
        <is>
          <t>1997-07-02</t>
        </is>
      </c>
      <c r="Y764" t="n">
        <v>535</v>
      </c>
      <c r="Z764" t="n">
        <v>402</v>
      </c>
      <c r="AA764" t="n">
        <v>431</v>
      </c>
      <c r="AB764" t="n">
        <v>4</v>
      </c>
      <c r="AC764" t="n">
        <v>4</v>
      </c>
      <c r="AD764" t="n">
        <v>14</v>
      </c>
      <c r="AE764" t="n">
        <v>14</v>
      </c>
      <c r="AF764" t="n">
        <v>4</v>
      </c>
      <c r="AG764" t="n">
        <v>4</v>
      </c>
      <c r="AH764" t="n">
        <v>3</v>
      </c>
      <c r="AI764" t="n">
        <v>3</v>
      </c>
      <c r="AJ764" t="n">
        <v>6</v>
      </c>
      <c r="AK764" t="n">
        <v>6</v>
      </c>
      <c r="AL764" t="n">
        <v>3</v>
      </c>
      <c r="AM764" t="n">
        <v>3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HYPERLINK("http://catalog.hathitrust.org/Record/001492298","HathiTrust Record")</f>
        <v/>
      </c>
      <c r="AS764">
        <f>HYPERLINK("https://creighton-primo.hosted.exlibrisgroup.com/primo-explore/search?tab=default_tab&amp;search_scope=EVERYTHING&amp;vid=01CRU&amp;lang=en_US&amp;offset=0&amp;query=any,contains,991000608529702656","Catalog Record")</f>
        <v/>
      </c>
      <c r="AT764">
        <f>HYPERLINK("http://www.worldcat.org/oclc/99964","WorldCat Record")</f>
        <v/>
      </c>
      <c r="AU764" t="inlineStr">
        <is>
          <t>206609539:eng</t>
        </is>
      </c>
      <c r="AV764" t="inlineStr">
        <is>
          <t>99964</t>
        </is>
      </c>
      <c r="AW764" t="inlineStr">
        <is>
          <t>991000608529702656</t>
        </is>
      </c>
      <c r="AX764" t="inlineStr">
        <is>
          <t>991000608529702656</t>
        </is>
      </c>
      <c r="AY764" t="inlineStr">
        <is>
          <t>2270577920002656</t>
        </is>
      </c>
      <c r="AZ764" t="inlineStr">
        <is>
          <t>BOOK</t>
        </is>
      </c>
      <c r="BC764" t="inlineStr">
        <is>
          <t>32285002911161</t>
        </is>
      </c>
      <c r="BD764" t="inlineStr">
        <is>
          <t>893878206</t>
        </is>
      </c>
    </row>
    <row r="765">
      <c r="A765" t="inlineStr">
        <is>
          <t>No</t>
        </is>
      </c>
      <c r="B765" t="inlineStr">
        <is>
          <t>QH431 .P22</t>
        </is>
      </c>
      <c r="C765" t="inlineStr">
        <is>
          <t>0                      QH 0431000P  22</t>
        </is>
      </c>
      <c r="D765" t="inlineStr">
        <is>
          <t>Selected readings : genetic engineering and bioethics / edited by Robert A. Paoletti.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Yes</t>
        </is>
      </c>
      <c r="J765" t="inlineStr">
        <is>
          <t>0</t>
        </is>
      </c>
      <c r="K765" t="inlineStr">
        <is>
          <t>Paoletti, Robert A., compiler.</t>
        </is>
      </c>
      <c r="L765" t="inlineStr">
        <is>
          <t>New York : MSS Information Corp., [1972]</t>
        </is>
      </c>
      <c r="M765" t="inlineStr">
        <is>
          <t>1972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QH </t>
        </is>
      </c>
      <c r="S765" t="n">
        <v>8</v>
      </c>
      <c r="T765" t="n">
        <v>8</v>
      </c>
      <c r="U765" t="inlineStr">
        <is>
          <t>1998-11-06</t>
        </is>
      </c>
      <c r="V765" t="inlineStr">
        <is>
          <t>1998-11-06</t>
        </is>
      </c>
      <c r="W765" t="inlineStr">
        <is>
          <t>1994-04-13</t>
        </is>
      </c>
      <c r="X765" t="inlineStr">
        <is>
          <t>1994-04-13</t>
        </is>
      </c>
      <c r="Y765" t="n">
        <v>134</v>
      </c>
      <c r="Z765" t="n">
        <v>119</v>
      </c>
      <c r="AA765" t="n">
        <v>199</v>
      </c>
      <c r="AB765" t="n">
        <v>2</v>
      </c>
      <c r="AC765" t="n">
        <v>4</v>
      </c>
      <c r="AD765" t="n">
        <v>3</v>
      </c>
      <c r="AE765" t="n">
        <v>10</v>
      </c>
      <c r="AF765" t="n">
        <v>0</v>
      </c>
      <c r="AG765" t="n">
        <v>3</v>
      </c>
      <c r="AH765" t="n">
        <v>0</v>
      </c>
      <c r="AI765" t="n">
        <v>2</v>
      </c>
      <c r="AJ765" t="n">
        <v>2</v>
      </c>
      <c r="AK765" t="n">
        <v>7</v>
      </c>
      <c r="AL765" t="n">
        <v>1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HYPERLINK("https://creighton-primo.hosted.exlibrisgroup.com/primo-explore/search?tab=default_tab&amp;search_scope=EVERYTHING&amp;vid=01CRU&amp;lang=en_US&amp;offset=0&amp;query=any,contains,991002731559702656","Catalog Record")</f>
        <v/>
      </c>
      <c r="AT765">
        <f>HYPERLINK("http://www.worldcat.org/oclc/416826","WorldCat Record")</f>
        <v/>
      </c>
      <c r="AU765" t="inlineStr">
        <is>
          <t>1483839:eng</t>
        </is>
      </c>
      <c r="AV765" t="inlineStr">
        <is>
          <t>416826</t>
        </is>
      </c>
      <c r="AW765" t="inlineStr">
        <is>
          <t>991002731559702656</t>
        </is>
      </c>
      <c r="AX765" t="inlineStr">
        <is>
          <t>991002731559702656</t>
        </is>
      </c>
      <c r="AY765" t="inlineStr">
        <is>
          <t>2268836900002656</t>
        </is>
      </c>
      <c r="AZ765" t="inlineStr">
        <is>
          <t>BOOK</t>
        </is>
      </c>
      <c r="BB765" t="inlineStr">
        <is>
          <t>9780842250030</t>
        </is>
      </c>
      <c r="BC765" t="inlineStr">
        <is>
          <t>32285001887412</t>
        </is>
      </c>
      <c r="BD765" t="inlineStr">
        <is>
          <t>893517675</t>
        </is>
      </c>
    </row>
    <row r="766">
      <c r="A766" t="inlineStr">
        <is>
          <t>No</t>
        </is>
      </c>
      <c r="B766" t="inlineStr">
        <is>
          <t>QH431 .P315</t>
        </is>
      </c>
      <c r="C766" t="inlineStr">
        <is>
          <t>0                      QH 0431000P  315</t>
        </is>
      </c>
      <c r="D766" t="inlineStr">
        <is>
          <t>The genetic analysis of behaviour [by] P.A. Parsons.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Parsons, P. A. (Peter Angas), 1933-</t>
        </is>
      </c>
      <c r="L766" t="inlineStr">
        <is>
          <t>London, Methuen; distribution in the U.S.A. by Barnes &amp; Noble, 1967.</t>
        </is>
      </c>
      <c r="M766" t="inlineStr">
        <is>
          <t>1967</t>
        </is>
      </c>
      <c r="O766" t="inlineStr">
        <is>
          <t>eng</t>
        </is>
      </c>
      <c r="P766" t="inlineStr">
        <is>
          <t>enk</t>
        </is>
      </c>
      <c r="Q766" t="inlineStr">
        <is>
          <t>Methuen's monographs on biological subjects</t>
        </is>
      </c>
      <c r="R766" t="inlineStr">
        <is>
          <t xml:space="preserve">QH </t>
        </is>
      </c>
      <c r="S766" t="n">
        <v>1</v>
      </c>
      <c r="T766" t="n">
        <v>1</v>
      </c>
      <c r="U766" t="inlineStr">
        <is>
          <t>2004-01-19</t>
        </is>
      </c>
      <c r="V766" t="inlineStr">
        <is>
          <t>2004-01-19</t>
        </is>
      </c>
      <c r="W766" t="inlineStr">
        <is>
          <t>1997-07-02</t>
        </is>
      </c>
      <c r="X766" t="inlineStr">
        <is>
          <t>1997-07-02</t>
        </is>
      </c>
      <c r="Y766" t="n">
        <v>408</v>
      </c>
      <c r="Z766" t="n">
        <v>287</v>
      </c>
      <c r="AA766" t="n">
        <v>295</v>
      </c>
      <c r="AB766" t="n">
        <v>4</v>
      </c>
      <c r="AC766" t="n">
        <v>4</v>
      </c>
      <c r="AD766" t="n">
        <v>15</v>
      </c>
      <c r="AE766" t="n">
        <v>15</v>
      </c>
      <c r="AF766" t="n">
        <v>1</v>
      </c>
      <c r="AG766" t="n">
        <v>1</v>
      </c>
      <c r="AH766" t="n">
        <v>3</v>
      </c>
      <c r="AI766" t="n">
        <v>3</v>
      </c>
      <c r="AJ766" t="n">
        <v>8</v>
      </c>
      <c r="AK766" t="n">
        <v>8</v>
      </c>
      <c r="AL766" t="n">
        <v>3</v>
      </c>
      <c r="AM766" t="n">
        <v>3</v>
      </c>
      <c r="AN766" t="n">
        <v>1</v>
      </c>
      <c r="AO766" t="n">
        <v>1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HYPERLINK("http://catalog.hathitrust.org/Record/001492301","HathiTrust Record")</f>
        <v/>
      </c>
      <c r="AS766">
        <f>HYPERLINK("https://creighton-primo.hosted.exlibrisgroup.com/primo-explore/search?tab=default_tab&amp;search_scope=EVERYTHING&amp;vid=01CRU&amp;lang=en_US&amp;offset=0&amp;query=any,contains,991003274429702656","Catalog Record")</f>
        <v/>
      </c>
      <c r="AT766">
        <f>HYPERLINK("http://www.worldcat.org/oclc/799150","WorldCat Record")</f>
        <v/>
      </c>
      <c r="AU766" t="inlineStr">
        <is>
          <t>1780143:eng</t>
        </is>
      </c>
      <c r="AV766" t="inlineStr">
        <is>
          <t>799150</t>
        </is>
      </c>
      <c r="AW766" t="inlineStr">
        <is>
          <t>991003274429702656</t>
        </is>
      </c>
      <c r="AX766" t="inlineStr">
        <is>
          <t>991003274429702656</t>
        </is>
      </c>
      <c r="AY766" t="inlineStr">
        <is>
          <t>2266828320002656</t>
        </is>
      </c>
      <c r="AZ766" t="inlineStr">
        <is>
          <t>BOOK</t>
        </is>
      </c>
      <c r="BC766" t="inlineStr">
        <is>
          <t>32285002911179</t>
        </is>
      </c>
      <c r="BD766" t="inlineStr">
        <is>
          <t>893686388</t>
        </is>
      </c>
    </row>
    <row r="767">
      <c r="A767" t="inlineStr">
        <is>
          <t>No</t>
        </is>
      </c>
      <c r="B767" t="inlineStr">
        <is>
          <t>QH431 .P32 1949</t>
        </is>
      </c>
      <c r="C767" t="inlineStr">
        <is>
          <t>0                      QH 0431000P  32          1949</t>
        </is>
      </c>
      <c r="D767" t="inlineStr">
        <is>
          <t>The nature-nurture controversy. With a foreword by Goodwin Watson.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Pastore, Nicholas, 1916-1998.</t>
        </is>
      </c>
      <c r="L767" t="inlineStr">
        <is>
          <t>New York, King's Crown Press, 1949.</t>
        </is>
      </c>
      <c r="M767" t="inlineStr">
        <is>
          <t>1949</t>
        </is>
      </c>
      <c r="O767" t="inlineStr">
        <is>
          <t>eng</t>
        </is>
      </c>
      <c r="P767" t="inlineStr">
        <is>
          <t>nyu</t>
        </is>
      </c>
      <c r="R767" t="inlineStr">
        <is>
          <t xml:space="preserve">QH </t>
        </is>
      </c>
      <c r="S767" t="n">
        <v>3</v>
      </c>
      <c r="T767" t="n">
        <v>3</v>
      </c>
      <c r="U767" t="inlineStr">
        <is>
          <t>1998-10-05</t>
        </is>
      </c>
      <c r="V767" t="inlineStr">
        <is>
          <t>1998-10-05</t>
        </is>
      </c>
      <c r="W767" t="inlineStr">
        <is>
          <t>1997-07-02</t>
        </is>
      </c>
      <c r="X767" t="inlineStr">
        <is>
          <t>1997-07-02</t>
        </is>
      </c>
      <c r="Y767" t="n">
        <v>244</v>
      </c>
      <c r="Z767" t="n">
        <v>214</v>
      </c>
      <c r="AA767" t="n">
        <v>284</v>
      </c>
      <c r="AB767" t="n">
        <v>2</v>
      </c>
      <c r="AC767" t="n">
        <v>3</v>
      </c>
      <c r="AD767" t="n">
        <v>9</v>
      </c>
      <c r="AE767" t="n">
        <v>11</v>
      </c>
      <c r="AF767" t="n">
        <v>2</v>
      </c>
      <c r="AG767" t="n">
        <v>3</v>
      </c>
      <c r="AH767" t="n">
        <v>3</v>
      </c>
      <c r="AI767" t="n">
        <v>3</v>
      </c>
      <c r="AJ767" t="n">
        <v>6</v>
      </c>
      <c r="AK767" t="n">
        <v>6</v>
      </c>
      <c r="AL767" t="n">
        <v>1</v>
      </c>
      <c r="AM767" t="n">
        <v>2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R767">
        <f>HYPERLINK("http://catalog.hathitrust.org/Record/001492302","HathiTrust Record")</f>
        <v/>
      </c>
      <c r="AS767">
        <f>HYPERLINK("https://creighton-primo.hosted.exlibrisgroup.com/primo-explore/search?tab=default_tab&amp;search_scope=EVERYTHING&amp;vid=01CRU&amp;lang=en_US&amp;offset=0&amp;query=any,contains,991004627549702656","Catalog Record")</f>
        <v/>
      </c>
      <c r="AT767">
        <f>HYPERLINK("http://www.worldcat.org/oclc/4349194","WorldCat Record")</f>
        <v/>
      </c>
      <c r="AU767" t="inlineStr">
        <is>
          <t>910996:eng</t>
        </is>
      </c>
      <c r="AV767" t="inlineStr">
        <is>
          <t>4349194</t>
        </is>
      </c>
      <c r="AW767" t="inlineStr">
        <is>
          <t>991004627549702656</t>
        </is>
      </c>
      <c r="AX767" t="inlineStr">
        <is>
          <t>991004627549702656</t>
        </is>
      </c>
      <c r="AY767" t="inlineStr">
        <is>
          <t>2266257530002656</t>
        </is>
      </c>
      <c r="AZ767" t="inlineStr">
        <is>
          <t>BOOK</t>
        </is>
      </c>
      <c r="BC767" t="inlineStr">
        <is>
          <t>32285002911187</t>
        </is>
      </c>
      <c r="BD767" t="inlineStr">
        <is>
          <t>893350220</t>
        </is>
      </c>
    </row>
    <row r="768">
      <c r="A768" t="inlineStr">
        <is>
          <t>No</t>
        </is>
      </c>
      <c r="B768" t="inlineStr">
        <is>
          <t>QH431 .P326</t>
        </is>
      </c>
      <c r="C768" t="inlineStr">
        <is>
          <t>0                      QH 0431000P  326</t>
        </is>
      </c>
      <c r="D768" t="inlineStr">
        <is>
          <t>Genetic engineering / edited by David Paterson.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Paterson, David.</t>
        </is>
      </c>
      <c r="L768" t="inlineStr">
        <is>
          <t>[London] : British Broadcasting Corp., [1969]</t>
        </is>
      </c>
      <c r="M768" t="inlineStr">
        <is>
          <t>1969</t>
        </is>
      </c>
      <c r="O768" t="inlineStr">
        <is>
          <t>eng</t>
        </is>
      </c>
      <c r="P768" t="inlineStr">
        <is>
          <t>enk</t>
        </is>
      </c>
      <c r="R768" t="inlineStr">
        <is>
          <t xml:space="preserve">QH </t>
        </is>
      </c>
      <c r="S768" t="n">
        <v>4</v>
      </c>
      <c r="T768" t="n">
        <v>4</v>
      </c>
      <c r="U768" t="inlineStr">
        <is>
          <t>1995-03-19</t>
        </is>
      </c>
      <c r="V768" t="inlineStr">
        <is>
          <t>1995-03-19</t>
        </is>
      </c>
      <c r="W768" t="inlineStr">
        <is>
          <t>1992-07-15</t>
        </is>
      </c>
      <c r="X768" t="inlineStr">
        <is>
          <t>1992-07-15</t>
        </is>
      </c>
      <c r="Y768" t="n">
        <v>67</v>
      </c>
      <c r="Z768" t="n">
        <v>42</v>
      </c>
      <c r="AA768" t="n">
        <v>57</v>
      </c>
      <c r="AB768" t="n">
        <v>1</v>
      </c>
      <c r="AC768" t="n">
        <v>2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1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HYPERLINK("https://creighton-primo.hosted.exlibrisgroup.com/primo-explore/search?tab=default_tab&amp;search_scope=EVERYTHING&amp;vid=01CRU&amp;lang=en_US&amp;offset=0&amp;query=any,contains,991000205489702656","Catalog Record")</f>
        <v/>
      </c>
      <c r="AT768">
        <f>HYPERLINK("http://www.worldcat.org/oclc/64837","WorldCat Record")</f>
        <v/>
      </c>
      <c r="AU768" t="inlineStr">
        <is>
          <t>53939459:eng</t>
        </is>
      </c>
      <c r="AV768" t="inlineStr">
        <is>
          <t>64837</t>
        </is>
      </c>
      <c r="AW768" t="inlineStr">
        <is>
          <t>991000205489702656</t>
        </is>
      </c>
      <c r="AX768" t="inlineStr">
        <is>
          <t>991000205489702656</t>
        </is>
      </c>
      <c r="AY768" t="inlineStr">
        <is>
          <t>2255652270002656</t>
        </is>
      </c>
      <c r="AZ768" t="inlineStr">
        <is>
          <t>BOOK</t>
        </is>
      </c>
      <c r="BB768" t="inlineStr">
        <is>
          <t>9780563084518</t>
        </is>
      </c>
      <c r="BC768" t="inlineStr">
        <is>
          <t>32285001152254</t>
        </is>
      </c>
      <c r="BD768" t="inlineStr">
        <is>
          <t>893720608</t>
        </is>
      </c>
    </row>
    <row r="769">
      <c r="A769" t="inlineStr">
        <is>
          <t>No</t>
        </is>
      </c>
      <c r="B769" t="inlineStr">
        <is>
          <t>QH431 .P797 1987</t>
        </is>
      </c>
      <c r="C769" t="inlineStr">
        <is>
          <t>0                      QH 0431000P  797         1987</t>
        </is>
      </c>
      <c r="D769" t="inlineStr">
        <is>
          <t>The origins of theoretical population genetics / [compiled by] William B. Provine.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Provine, William B., compiler.</t>
        </is>
      </c>
      <c r="L769" t="inlineStr">
        <is>
          <t>Chicago : University of Chicago Press, 1987, c1971.</t>
        </is>
      </c>
      <c r="M769" t="inlineStr">
        <is>
          <t>1987</t>
        </is>
      </c>
      <c r="O769" t="inlineStr">
        <is>
          <t>eng</t>
        </is>
      </c>
      <c r="P769" t="inlineStr">
        <is>
          <t>ilu</t>
        </is>
      </c>
      <c r="Q769" t="inlineStr">
        <is>
          <t>The Chicago history of science and medicine</t>
        </is>
      </c>
      <c r="R769" t="inlineStr">
        <is>
          <t xml:space="preserve">QH </t>
        </is>
      </c>
      <c r="S769" t="n">
        <v>0</v>
      </c>
      <c r="T769" t="n">
        <v>0</v>
      </c>
      <c r="U769" t="inlineStr">
        <is>
          <t>2008-05-19</t>
        </is>
      </c>
      <c r="V769" t="inlineStr">
        <is>
          <t>2008-05-19</t>
        </is>
      </c>
      <c r="W769" t="inlineStr">
        <is>
          <t>2008-03-31</t>
        </is>
      </c>
      <c r="X769" t="inlineStr">
        <is>
          <t>2008-03-31</t>
        </is>
      </c>
      <c r="Y769" t="n">
        <v>540</v>
      </c>
      <c r="Z769" t="n">
        <v>417</v>
      </c>
      <c r="AA769" t="n">
        <v>512</v>
      </c>
      <c r="AB769" t="n">
        <v>4</v>
      </c>
      <c r="AC769" t="n">
        <v>4</v>
      </c>
      <c r="AD769" t="n">
        <v>20</v>
      </c>
      <c r="AE769" t="n">
        <v>23</v>
      </c>
      <c r="AF769" t="n">
        <v>3</v>
      </c>
      <c r="AG769" t="n">
        <v>5</v>
      </c>
      <c r="AH769" t="n">
        <v>4</v>
      </c>
      <c r="AI769" t="n">
        <v>5</v>
      </c>
      <c r="AJ769" t="n">
        <v>14</v>
      </c>
      <c r="AK769" t="n">
        <v>16</v>
      </c>
      <c r="AL769" t="n">
        <v>3</v>
      </c>
      <c r="AM769" t="n">
        <v>3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HYPERLINK("https://creighton-primo.hosted.exlibrisgroup.com/primo-explore/search?tab=default_tab&amp;search_scope=EVERYTHING&amp;vid=01CRU&amp;lang=en_US&amp;offset=0&amp;query=any,contains,991005201389702656","Catalog Record")</f>
        <v/>
      </c>
      <c r="AT769">
        <f>HYPERLINK("http://www.worldcat.org/oclc/353752","WorldCat Record")</f>
        <v/>
      </c>
      <c r="AU769" t="inlineStr">
        <is>
          <t>1392250:eng</t>
        </is>
      </c>
      <c r="AV769" t="inlineStr">
        <is>
          <t>353752</t>
        </is>
      </c>
      <c r="AW769" t="inlineStr">
        <is>
          <t>991005201389702656</t>
        </is>
      </c>
      <c r="AX769" t="inlineStr">
        <is>
          <t>991005201389702656</t>
        </is>
      </c>
      <c r="AY769" t="inlineStr">
        <is>
          <t>2267792450002656</t>
        </is>
      </c>
      <c r="AZ769" t="inlineStr">
        <is>
          <t>BOOK</t>
        </is>
      </c>
      <c r="BB769" t="inlineStr">
        <is>
          <t>9780226684659</t>
        </is>
      </c>
      <c r="BC769" t="inlineStr">
        <is>
          <t>32285001554699</t>
        </is>
      </c>
      <c r="BD769" t="inlineStr">
        <is>
          <t>893230360</t>
        </is>
      </c>
    </row>
    <row r="770">
      <c r="A770" t="inlineStr">
        <is>
          <t>No</t>
        </is>
      </c>
      <c r="B770" t="inlineStr">
        <is>
          <t>QH431 .P83</t>
        </is>
      </c>
      <c r="C770" t="inlineStr">
        <is>
          <t>0                      QH 0431000P  83</t>
        </is>
      </c>
      <c r="D770" t="inlineStr">
        <is>
          <t>Mendelism / by R.C. Punnett.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Punnett, Reginald Crundall, 1875-1967.</t>
        </is>
      </c>
      <c r="L770" t="inlineStr">
        <is>
          <t>New York : The Macmillan company, 1911.</t>
        </is>
      </c>
      <c r="M770" t="inlineStr">
        <is>
          <t>1911</t>
        </is>
      </c>
      <c r="N770" t="inlineStr">
        <is>
          <t>3d ed., entirely rewritten and much enl.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QH </t>
        </is>
      </c>
      <c r="S770" t="n">
        <v>12</v>
      </c>
      <c r="T770" t="n">
        <v>12</v>
      </c>
      <c r="U770" t="inlineStr">
        <is>
          <t>1998-02-12</t>
        </is>
      </c>
      <c r="V770" t="inlineStr">
        <is>
          <t>1998-02-12</t>
        </is>
      </c>
      <c r="W770" t="inlineStr">
        <is>
          <t>1992-02-06</t>
        </is>
      </c>
      <c r="X770" t="inlineStr">
        <is>
          <t>1992-02-06</t>
        </is>
      </c>
      <c r="Y770" t="n">
        <v>191</v>
      </c>
      <c r="Z770" t="n">
        <v>176</v>
      </c>
      <c r="AA770" t="n">
        <v>416</v>
      </c>
      <c r="AB770" t="n">
        <v>2</v>
      </c>
      <c r="AC770" t="n">
        <v>3</v>
      </c>
      <c r="AD770" t="n">
        <v>5</v>
      </c>
      <c r="AE770" t="n">
        <v>18</v>
      </c>
      <c r="AF770" t="n">
        <v>2</v>
      </c>
      <c r="AG770" t="n">
        <v>6</v>
      </c>
      <c r="AH770" t="n">
        <v>0</v>
      </c>
      <c r="AI770" t="n">
        <v>5</v>
      </c>
      <c r="AJ770" t="n">
        <v>4</v>
      </c>
      <c r="AK770" t="n">
        <v>10</v>
      </c>
      <c r="AL770" t="n">
        <v>1</v>
      </c>
      <c r="AM770" t="n">
        <v>2</v>
      </c>
      <c r="AN770" t="n">
        <v>0</v>
      </c>
      <c r="AO770" t="n">
        <v>0</v>
      </c>
      <c r="AP770" t="inlineStr">
        <is>
          <t>Yes</t>
        </is>
      </c>
      <c r="AQ770" t="inlineStr">
        <is>
          <t>No</t>
        </is>
      </c>
      <c r="AR770">
        <f>HYPERLINK("http://catalog.hathitrust.org/Record/001492312","HathiTrust Record")</f>
        <v/>
      </c>
      <c r="AS770">
        <f>HYPERLINK("https://creighton-primo.hosted.exlibrisgroup.com/primo-explore/search?tab=default_tab&amp;search_scope=EVERYTHING&amp;vid=01CRU&amp;lang=en_US&amp;offset=0&amp;query=any,contains,991004518749702656","Catalog Record")</f>
        <v/>
      </c>
      <c r="AT770">
        <f>HYPERLINK("http://www.worldcat.org/oclc/3801289","WorldCat Record")</f>
        <v/>
      </c>
      <c r="AU770" t="inlineStr">
        <is>
          <t>1922926:eng</t>
        </is>
      </c>
      <c r="AV770" t="inlineStr">
        <is>
          <t>3801289</t>
        </is>
      </c>
      <c r="AW770" t="inlineStr">
        <is>
          <t>991004518749702656</t>
        </is>
      </c>
      <c r="AX770" t="inlineStr">
        <is>
          <t>991004518749702656</t>
        </is>
      </c>
      <c r="AY770" t="inlineStr">
        <is>
          <t>2263198380002656</t>
        </is>
      </c>
      <c r="AZ770" t="inlineStr">
        <is>
          <t>BOOK</t>
        </is>
      </c>
      <c r="BC770" t="inlineStr">
        <is>
          <t>32285000934777</t>
        </is>
      </c>
      <c r="BD770" t="inlineStr">
        <is>
          <t>893519751</t>
        </is>
      </c>
    </row>
    <row r="771">
      <c r="A771" t="inlineStr">
        <is>
          <t>No</t>
        </is>
      </c>
      <c r="B771" t="inlineStr">
        <is>
          <t>QH431 .R475 1999</t>
        </is>
      </c>
      <c r="C771" t="inlineStr">
        <is>
          <t>0                      QH 0431000R  475         1999</t>
        </is>
      </c>
      <c r="D771" t="inlineStr">
        <is>
          <t>Genome : the autobiography of a species in 23 chapters / Matt Ridley.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Ridley, Matt.</t>
        </is>
      </c>
      <c r="L771" t="inlineStr">
        <is>
          <t>New York : HarperCollins, c1999.</t>
        </is>
      </c>
      <c r="M771" t="inlineStr">
        <is>
          <t>1999</t>
        </is>
      </c>
      <c r="N771" t="inlineStr">
        <is>
          <t>1st U.S. ed.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QH </t>
        </is>
      </c>
      <c r="S771" t="n">
        <v>8</v>
      </c>
      <c r="T771" t="n">
        <v>8</v>
      </c>
      <c r="U771" t="inlineStr">
        <is>
          <t>2006-04-08</t>
        </is>
      </c>
      <c r="V771" t="inlineStr">
        <is>
          <t>2006-04-08</t>
        </is>
      </c>
      <c r="W771" t="inlineStr">
        <is>
          <t>2000-10-03</t>
        </is>
      </c>
      <c r="X771" t="inlineStr">
        <is>
          <t>2000-10-03</t>
        </is>
      </c>
      <c r="Y771" t="n">
        <v>2361</v>
      </c>
      <c r="Z771" t="n">
        <v>2225</v>
      </c>
      <c r="AA771" t="n">
        <v>2729</v>
      </c>
      <c r="AB771" t="n">
        <v>17</v>
      </c>
      <c r="AC771" t="n">
        <v>22</v>
      </c>
      <c r="AD771" t="n">
        <v>46</v>
      </c>
      <c r="AE771" t="n">
        <v>56</v>
      </c>
      <c r="AF771" t="n">
        <v>20</v>
      </c>
      <c r="AG771" t="n">
        <v>26</v>
      </c>
      <c r="AH771" t="n">
        <v>8</v>
      </c>
      <c r="AI771" t="n">
        <v>8</v>
      </c>
      <c r="AJ771" t="n">
        <v>23</v>
      </c>
      <c r="AK771" t="n">
        <v>24</v>
      </c>
      <c r="AL771" t="n">
        <v>8</v>
      </c>
      <c r="AM771" t="n">
        <v>10</v>
      </c>
      <c r="AN771" t="n">
        <v>0</v>
      </c>
      <c r="AO771" t="n">
        <v>1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HYPERLINK("https://creighton-primo.hosted.exlibrisgroup.com/primo-explore/search?tab=default_tab&amp;search_scope=EVERYTHING&amp;vid=01CRU&amp;lang=en_US&amp;offset=0&amp;query=any,contains,991003262349702656","Catalog Record")</f>
        <v/>
      </c>
      <c r="AT771">
        <f>HYPERLINK("http://www.worldcat.org/oclc/41977285","WorldCat Record")</f>
        <v/>
      </c>
      <c r="AU771" t="inlineStr">
        <is>
          <t>392005933:eng</t>
        </is>
      </c>
      <c r="AV771" t="inlineStr">
        <is>
          <t>41977285</t>
        </is>
      </c>
      <c r="AW771" t="inlineStr">
        <is>
          <t>991003262349702656</t>
        </is>
      </c>
      <c r="AX771" t="inlineStr">
        <is>
          <t>991003262349702656</t>
        </is>
      </c>
      <c r="AY771" t="inlineStr">
        <is>
          <t>2257553060002656</t>
        </is>
      </c>
      <c r="AZ771" t="inlineStr">
        <is>
          <t>BOOK</t>
        </is>
      </c>
      <c r="BB771" t="inlineStr">
        <is>
          <t>9780060194970</t>
        </is>
      </c>
      <c r="BC771" t="inlineStr">
        <is>
          <t>32285003766093</t>
        </is>
      </c>
      <c r="BD771" t="inlineStr">
        <is>
          <t>893623319</t>
        </is>
      </c>
    </row>
    <row r="772">
      <c r="A772" t="inlineStr">
        <is>
          <t>No</t>
        </is>
      </c>
      <c r="B772" t="inlineStr">
        <is>
          <t>QH431 .R742</t>
        </is>
      </c>
      <c r="C772" t="inlineStr">
        <is>
          <t>0                      QH 0431000R  742</t>
        </is>
      </c>
      <c r="D772" t="inlineStr">
        <is>
          <t>Heredity and achievement; a book of readings. Edited by Daniel N. Robinson.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Robinson, Daniel N., 1937- compiler.</t>
        </is>
      </c>
      <c r="L772" t="inlineStr">
        <is>
          <t>New York, Oxford University Press, 1970.</t>
        </is>
      </c>
      <c r="M772" t="inlineStr">
        <is>
          <t>1970</t>
        </is>
      </c>
      <c r="O772" t="inlineStr">
        <is>
          <t>eng</t>
        </is>
      </c>
      <c r="P772" t="inlineStr">
        <is>
          <t>nyu</t>
        </is>
      </c>
      <c r="R772" t="inlineStr">
        <is>
          <t xml:space="preserve">QH </t>
        </is>
      </c>
      <c r="S772" t="n">
        <v>6</v>
      </c>
      <c r="T772" t="n">
        <v>6</v>
      </c>
      <c r="U772" t="inlineStr">
        <is>
          <t>2000-02-09</t>
        </is>
      </c>
      <c r="V772" t="inlineStr">
        <is>
          <t>2000-02-09</t>
        </is>
      </c>
      <c r="W772" t="inlineStr">
        <is>
          <t>1997-07-02</t>
        </is>
      </c>
      <c r="X772" t="inlineStr">
        <is>
          <t>1997-07-02</t>
        </is>
      </c>
      <c r="Y772" t="n">
        <v>457</v>
      </c>
      <c r="Z772" t="n">
        <v>337</v>
      </c>
      <c r="AA772" t="n">
        <v>345</v>
      </c>
      <c r="AB772" t="n">
        <v>5</v>
      </c>
      <c r="AC772" t="n">
        <v>5</v>
      </c>
      <c r="AD772" t="n">
        <v>13</v>
      </c>
      <c r="AE772" t="n">
        <v>13</v>
      </c>
      <c r="AF772" t="n">
        <v>2</v>
      </c>
      <c r="AG772" t="n">
        <v>2</v>
      </c>
      <c r="AH772" t="n">
        <v>2</v>
      </c>
      <c r="AI772" t="n">
        <v>2</v>
      </c>
      <c r="AJ772" t="n">
        <v>6</v>
      </c>
      <c r="AK772" t="n">
        <v>6</v>
      </c>
      <c r="AL772" t="n">
        <v>4</v>
      </c>
      <c r="AM772" t="n">
        <v>4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HYPERLINK("http://catalog.hathitrust.org/Record/003525735","HathiTrust Record")</f>
        <v/>
      </c>
      <c r="AS772">
        <f>HYPERLINK("https://creighton-primo.hosted.exlibrisgroup.com/primo-explore/search?tab=default_tab&amp;search_scope=EVERYTHING&amp;vid=01CRU&amp;lang=en_US&amp;offset=0&amp;query=any,contains,991000660069702656","Catalog Record")</f>
        <v/>
      </c>
      <c r="AT772">
        <f>HYPERLINK("http://www.worldcat.org/oclc/117299","WorldCat Record")</f>
        <v/>
      </c>
      <c r="AU772" t="inlineStr">
        <is>
          <t>321817008:eng</t>
        </is>
      </c>
      <c r="AV772" t="inlineStr">
        <is>
          <t>117299</t>
        </is>
      </c>
      <c r="AW772" t="inlineStr">
        <is>
          <t>991000660069702656</t>
        </is>
      </c>
      <c r="AX772" t="inlineStr">
        <is>
          <t>991000660069702656</t>
        </is>
      </c>
      <c r="AY772" t="inlineStr">
        <is>
          <t>2261070610002656</t>
        </is>
      </c>
      <c r="AZ772" t="inlineStr">
        <is>
          <t>BOOK</t>
        </is>
      </c>
      <c r="BC772" t="inlineStr">
        <is>
          <t>32285002911294</t>
        </is>
      </c>
      <c r="BD772" t="inlineStr">
        <is>
          <t>893802976</t>
        </is>
      </c>
    </row>
    <row r="773">
      <c r="A773" t="inlineStr">
        <is>
          <t>No</t>
        </is>
      </c>
      <c r="B773" t="inlineStr">
        <is>
          <t>QH431 .R8526 1998</t>
        </is>
      </c>
      <c r="C773" t="inlineStr">
        <is>
          <t>0                      QH 0431000R  8526        1998</t>
        </is>
      </c>
      <c r="D773" t="inlineStr">
        <is>
          <t>Genetic maps and human imaginations : the limits of science in understanding who we are / Barbara Katz Rothman.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Rothman, Barbara Katz.</t>
        </is>
      </c>
      <c r="L773" t="inlineStr">
        <is>
          <t>New York : W.W. Norton &amp; Co., c1998.</t>
        </is>
      </c>
      <c r="M773" t="inlineStr">
        <is>
          <t>1998</t>
        </is>
      </c>
      <c r="N773" t="inlineStr">
        <is>
          <t>1st ed.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QH </t>
        </is>
      </c>
      <c r="S773" t="n">
        <v>4</v>
      </c>
      <c r="T773" t="n">
        <v>4</v>
      </c>
      <c r="U773" t="inlineStr">
        <is>
          <t>2002-09-27</t>
        </is>
      </c>
      <c r="V773" t="inlineStr">
        <is>
          <t>2002-09-27</t>
        </is>
      </c>
      <c r="W773" t="inlineStr">
        <is>
          <t>1998-12-07</t>
        </is>
      </c>
      <c r="X773" t="inlineStr">
        <is>
          <t>1998-12-07</t>
        </is>
      </c>
      <c r="Y773" t="n">
        <v>635</v>
      </c>
      <c r="Z773" t="n">
        <v>568</v>
      </c>
      <c r="AA773" t="n">
        <v>573</v>
      </c>
      <c r="AB773" t="n">
        <v>5</v>
      </c>
      <c r="AC773" t="n">
        <v>5</v>
      </c>
      <c r="AD773" t="n">
        <v>18</v>
      </c>
      <c r="AE773" t="n">
        <v>18</v>
      </c>
      <c r="AF773" t="n">
        <v>6</v>
      </c>
      <c r="AG773" t="n">
        <v>6</v>
      </c>
      <c r="AH773" t="n">
        <v>5</v>
      </c>
      <c r="AI773" t="n">
        <v>5</v>
      </c>
      <c r="AJ773" t="n">
        <v>9</v>
      </c>
      <c r="AK773" t="n">
        <v>9</v>
      </c>
      <c r="AL773" t="n">
        <v>3</v>
      </c>
      <c r="AM773" t="n">
        <v>3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HYPERLINK("https://creighton-primo.hosted.exlibrisgroup.com/primo-explore/search?tab=default_tab&amp;search_scope=EVERYTHING&amp;vid=01CRU&amp;lang=en_US&amp;offset=0&amp;query=any,contains,991002933289702656","Catalog Record")</f>
        <v/>
      </c>
      <c r="AT773">
        <f>HYPERLINK("http://www.worldcat.org/oclc/39007113","WorldCat Record")</f>
        <v/>
      </c>
      <c r="AU773" t="inlineStr">
        <is>
          <t>375311998:eng</t>
        </is>
      </c>
      <c r="AV773" t="inlineStr">
        <is>
          <t>39007113</t>
        </is>
      </c>
      <c r="AW773" t="inlineStr">
        <is>
          <t>991002933289702656</t>
        </is>
      </c>
      <c r="AX773" t="inlineStr">
        <is>
          <t>991002933289702656</t>
        </is>
      </c>
      <c r="AY773" t="inlineStr">
        <is>
          <t>2267917960002656</t>
        </is>
      </c>
      <c r="AZ773" t="inlineStr">
        <is>
          <t>BOOK</t>
        </is>
      </c>
      <c r="BB773" t="inlineStr">
        <is>
          <t>9780393047035</t>
        </is>
      </c>
      <c r="BC773" t="inlineStr">
        <is>
          <t>32285003493995</t>
        </is>
      </c>
      <c r="BD773" t="inlineStr">
        <is>
          <t>893329736</t>
        </is>
      </c>
    </row>
    <row r="774">
      <c r="A774" t="inlineStr">
        <is>
          <t>No</t>
        </is>
      </c>
      <c r="B774" t="inlineStr">
        <is>
          <t>QH431 .S263 1972</t>
        </is>
      </c>
      <c r="C774" t="inlineStr">
        <is>
          <t>0                      QH 0431000S  263         1972</t>
        </is>
      </c>
      <c r="D774" t="inlineStr">
        <is>
          <t>Cytoplasmic genes and organelles.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Sager, Ruth.</t>
        </is>
      </c>
      <c r="L774" t="inlineStr">
        <is>
          <t>New York, Academic Press [1972]</t>
        </is>
      </c>
      <c r="M774" t="inlineStr">
        <is>
          <t>1972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QH </t>
        </is>
      </c>
      <c r="S774" t="n">
        <v>1</v>
      </c>
      <c r="T774" t="n">
        <v>1</v>
      </c>
      <c r="U774" t="inlineStr">
        <is>
          <t>1998-10-21</t>
        </is>
      </c>
      <c r="V774" t="inlineStr">
        <is>
          <t>1998-10-21</t>
        </is>
      </c>
      <c r="W774" t="inlineStr">
        <is>
          <t>1997-07-02</t>
        </is>
      </c>
      <c r="X774" t="inlineStr">
        <is>
          <t>1997-07-02</t>
        </is>
      </c>
      <c r="Y774" t="n">
        <v>648</v>
      </c>
      <c r="Z774" t="n">
        <v>496</v>
      </c>
      <c r="AA774" t="n">
        <v>543</v>
      </c>
      <c r="AB774" t="n">
        <v>5</v>
      </c>
      <c r="AC774" t="n">
        <v>5</v>
      </c>
      <c r="AD774" t="n">
        <v>14</v>
      </c>
      <c r="AE774" t="n">
        <v>17</v>
      </c>
      <c r="AF774" t="n">
        <v>3</v>
      </c>
      <c r="AG774" t="n">
        <v>5</v>
      </c>
      <c r="AH774" t="n">
        <v>3</v>
      </c>
      <c r="AI774" t="n">
        <v>5</v>
      </c>
      <c r="AJ774" t="n">
        <v>7</v>
      </c>
      <c r="AK774" t="n">
        <v>7</v>
      </c>
      <c r="AL774" t="n">
        <v>4</v>
      </c>
      <c r="AM774" t="n">
        <v>4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HYPERLINK("http://catalog.hathitrust.org/Record/000118717","HathiTrust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HYPERLINK("https://creighton-primo.hosted.exlibrisgroup.com/primo-explore/search?tab=default_tab&amp;search_scope=EVERYTHING&amp;vid=01CRU&amp;lang=en_US&amp;offset=0&amp;query=any,contains,991002494079702656","Catalog Record")</f>
        <v/>
      </c>
      <c r="AT774">
        <f>HYPERLINK("http://www.worldcat.org/oclc/363270","WorldCat Record")</f>
        <v/>
      </c>
      <c r="AU774" t="inlineStr">
        <is>
          <t>1362529:eng</t>
        </is>
      </c>
      <c r="AV774" t="inlineStr">
        <is>
          <t>363270</t>
        </is>
      </c>
      <c r="AW774" t="inlineStr">
        <is>
          <t>991002494079702656</t>
        </is>
      </c>
      <c r="AX774" t="inlineStr">
        <is>
          <t>991002494079702656</t>
        </is>
      </c>
      <c r="AY774" t="inlineStr">
        <is>
          <t>2264061300002656</t>
        </is>
      </c>
      <c r="AZ774" t="inlineStr">
        <is>
          <t>BOOK</t>
        </is>
      </c>
      <c r="BB774" t="inlineStr">
        <is>
          <t>9780126146509</t>
        </is>
      </c>
      <c r="BC774" t="inlineStr">
        <is>
          <t>32285002911310</t>
        </is>
      </c>
      <c r="BD774" t="inlineStr">
        <is>
          <t>893517350</t>
        </is>
      </c>
    </row>
    <row r="775">
      <c r="A775" t="inlineStr">
        <is>
          <t>No</t>
        </is>
      </c>
      <c r="B775" t="inlineStr">
        <is>
          <t>QH431 .S638 1985</t>
        </is>
      </c>
      <c r="C775" t="inlineStr">
        <is>
          <t>0                      QH 0431000S  638         1985</t>
        </is>
      </c>
      <c r="D775" t="inlineStr">
        <is>
          <t>Human genetics : an introduction to the principles of heredity / Sam Singer.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Singer, Sam, 1944-</t>
        </is>
      </c>
      <c r="L775" t="inlineStr">
        <is>
          <t>New York : W.H. Freeman, c1985.</t>
        </is>
      </c>
      <c r="M775" t="inlineStr">
        <is>
          <t>1985</t>
        </is>
      </c>
      <c r="N775" t="inlineStr">
        <is>
          <t>2nd ed.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QH </t>
        </is>
      </c>
      <c r="S775" t="n">
        <v>11</v>
      </c>
      <c r="T775" t="n">
        <v>11</v>
      </c>
      <c r="U775" t="inlineStr">
        <is>
          <t>2006-10-24</t>
        </is>
      </c>
      <c r="V775" t="inlineStr">
        <is>
          <t>2006-10-24</t>
        </is>
      </c>
      <c r="W775" t="inlineStr">
        <is>
          <t>1992-07-14</t>
        </is>
      </c>
      <c r="X775" t="inlineStr">
        <is>
          <t>1992-07-14</t>
        </is>
      </c>
      <c r="Y775" t="n">
        <v>553</v>
      </c>
      <c r="Z775" t="n">
        <v>404</v>
      </c>
      <c r="AA775" t="n">
        <v>719</v>
      </c>
      <c r="AB775" t="n">
        <v>2</v>
      </c>
      <c r="AC775" t="n">
        <v>2</v>
      </c>
      <c r="AD775" t="n">
        <v>6</v>
      </c>
      <c r="AE775" t="n">
        <v>12</v>
      </c>
      <c r="AF775" t="n">
        <v>3</v>
      </c>
      <c r="AG775" t="n">
        <v>6</v>
      </c>
      <c r="AH775" t="n">
        <v>2</v>
      </c>
      <c r="AI775" t="n">
        <v>3</v>
      </c>
      <c r="AJ775" t="n">
        <v>4</v>
      </c>
      <c r="AK775" t="n">
        <v>7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HYPERLINK("https://creighton-primo.hosted.exlibrisgroup.com/primo-explore/search?tab=default_tab&amp;search_scope=EVERYTHING&amp;vid=01CRU&amp;lang=en_US&amp;offset=0&amp;query=any,contains,991000550079702656","Catalog Record")</f>
        <v/>
      </c>
      <c r="AT775">
        <f>HYPERLINK("http://www.worldcat.org/oclc/11532647","WorldCat Record")</f>
        <v/>
      </c>
      <c r="AU775" t="inlineStr">
        <is>
          <t>836694468:eng</t>
        </is>
      </c>
      <c r="AV775" t="inlineStr">
        <is>
          <t>11532647</t>
        </is>
      </c>
      <c r="AW775" t="inlineStr">
        <is>
          <t>991000550079702656</t>
        </is>
      </c>
      <c r="AX775" t="inlineStr">
        <is>
          <t>991000550079702656</t>
        </is>
      </c>
      <c r="AY775" t="inlineStr">
        <is>
          <t>2261589310002656</t>
        </is>
      </c>
      <c r="AZ775" t="inlineStr">
        <is>
          <t>BOOK</t>
        </is>
      </c>
      <c r="BB775" t="inlineStr">
        <is>
          <t>9780716716488</t>
        </is>
      </c>
      <c r="BC775" t="inlineStr">
        <is>
          <t>32285004853858</t>
        </is>
      </c>
      <c r="BD775" t="inlineStr">
        <is>
          <t>893878155</t>
        </is>
      </c>
    </row>
    <row r="776">
      <c r="A776" t="inlineStr">
        <is>
          <t>No</t>
        </is>
      </c>
      <c r="B776" t="inlineStr">
        <is>
          <t>QH431 .S65</t>
        </is>
      </c>
      <c r="C776" t="inlineStr">
        <is>
          <t>0                      QH 0431000S  65</t>
        </is>
      </c>
      <c r="D776" t="inlineStr">
        <is>
          <t>Principles of genetics : an elementary text, with problems / by Edmund W. Sinnott and L.C. Dunn.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Sinnott, Edmund W. (Edmund Ware), 1888-1958.</t>
        </is>
      </c>
      <c r="L776" t="inlineStr">
        <is>
          <t>New York [etc.] : McGraw-Hill Book Company, Inc., 1925.</t>
        </is>
      </c>
      <c r="M776" t="inlineStr">
        <is>
          <t>1925</t>
        </is>
      </c>
      <c r="N776" t="inlineStr">
        <is>
          <t>1st ed.</t>
        </is>
      </c>
      <c r="O776" t="inlineStr">
        <is>
          <t>eng</t>
        </is>
      </c>
      <c r="P776" t="inlineStr">
        <is>
          <t>nyu</t>
        </is>
      </c>
      <c r="Q776" t="inlineStr">
        <is>
          <t>McGraw-Hill publications in the agricultural and botanical sciences</t>
        </is>
      </c>
      <c r="R776" t="inlineStr">
        <is>
          <t xml:space="preserve">QH </t>
        </is>
      </c>
      <c r="S776" t="n">
        <v>3</v>
      </c>
      <c r="T776" t="n">
        <v>3</v>
      </c>
      <c r="U776" t="inlineStr">
        <is>
          <t>1994-04-22</t>
        </is>
      </c>
      <c r="V776" t="inlineStr">
        <is>
          <t>1994-04-22</t>
        </is>
      </c>
      <c r="W776" t="inlineStr">
        <is>
          <t>1992-07-28</t>
        </is>
      </c>
      <c r="X776" t="inlineStr">
        <is>
          <t>1992-07-28</t>
        </is>
      </c>
      <c r="Y776" t="n">
        <v>151</v>
      </c>
      <c r="Z776" t="n">
        <v>126</v>
      </c>
      <c r="AA776" t="n">
        <v>128</v>
      </c>
      <c r="AB776" t="n">
        <v>4</v>
      </c>
      <c r="AC776" t="n">
        <v>4</v>
      </c>
      <c r="AD776" t="n">
        <v>5</v>
      </c>
      <c r="AE776" t="n">
        <v>5</v>
      </c>
      <c r="AF776" t="n">
        <v>0</v>
      </c>
      <c r="AG776" t="n">
        <v>0</v>
      </c>
      <c r="AH776" t="n">
        <v>1</v>
      </c>
      <c r="AI776" t="n">
        <v>1</v>
      </c>
      <c r="AJ776" t="n">
        <v>1</v>
      </c>
      <c r="AK776" t="n">
        <v>1</v>
      </c>
      <c r="AL776" t="n">
        <v>3</v>
      </c>
      <c r="AM776" t="n">
        <v>3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HYPERLINK("http://catalog.hathitrust.org/Record/001492349","HathiTrust Record")</f>
        <v/>
      </c>
      <c r="AS776">
        <f>HYPERLINK("https://creighton-primo.hosted.exlibrisgroup.com/primo-explore/search?tab=default_tab&amp;search_scope=EVERYTHING&amp;vid=01CRU&amp;lang=en_US&amp;offset=0&amp;query=any,contains,991003778239702656","Catalog Record")</f>
        <v/>
      </c>
      <c r="AT776">
        <f>HYPERLINK("http://www.worldcat.org/oclc/1488637","WorldCat Record")</f>
        <v/>
      </c>
      <c r="AU776" t="inlineStr">
        <is>
          <t>5579627617:eng</t>
        </is>
      </c>
      <c r="AV776" t="inlineStr">
        <is>
          <t>1488637</t>
        </is>
      </c>
      <c r="AW776" t="inlineStr">
        <is>
          <t>991003778239702656</t>
        </is>
      </c>
      <c r="AX776" t="inlineStr">
        <is>
          <t>991003778239702656</t>
        </is>
      </c>
      <c r="AY776" t="inlineStr">
        <is>
          <t>2257445350002656</t>
        </is>
      </c>
      <c r="AZ776" t="inlineStr">
        <is>
          <t>BOOK</t>
        </is>
      </c>
      <c r="BC776" t="inlineStr">
        <is>
          <t>32285001206928</t>
        </is>
      </c>
      <c r="BD776" t="inlineStr">
        <is>
          <t>893598972</t>
        </is>
      </c>
    </row>
    <row r="777">
      <c r="A777" t="inlineStr">
        <is>
          <t>No</t>
        </is>
      </c>
      <c r="B777" t="inlineStr">
        <is>
          <t>QH431 .S678</t>
        </is>
      </c>
      <c r="C777" t="inlineStr">
        <is>
          <t>0                      QH 0431000S  678</t>
        </is>
      </c>
      <c r="D777" t="inlineStr">
        <is>
          <t>Papers on animal population genetics.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Spiess, Eliot B., editor.</t>
        </is>
      </c>
      <c r="L777" t="inlineStr">
        <is>
          <t>Boston, Little, Brown [1962]</t>
        </is>
      </c>
      <c r="M777" t="inlineStr">
        <is>
          <t>1962</t>
        </is>
      </c>
      <c r="O777" t="inlineStr">
        <is>
          <t>eng</t>
        </is>
      </c>
      <c r="P777" t="inlineStr">
        <is>
          <t>mau</t>
        </is>
      </c>
      <c r="Q777" t="inlineStr">
        <is>
          <t>Little, Brown experimental sciences collection</t>
        </is>
      </c>
      <c r="R777" t="inlineStr">
        <is>
          <t xml:space="preserve">QH </t>
        </is>
      </c>
      <c r="S777" t="n">
        <v>8</v>
      </c>
      <c r="T777" t="n">
        <v>8</v>
      </c>
      <c r="U777" t="inlineStr">
        <is>
          <t>2007-02-05</t>
        </is>
      </c>
      <c r="V777" t="inlineStr">
        <is>
          <t>2007-02-05</t>
        </is>
      </c>
      <c r="W777" t="inlineStr">
        <is>
          <t>1997-07-02</t>
        </is>
      </c>
      <c r="X777" t="inlineStr">
        <is>
          <t>1997-07-02</t>
        </is>
      </c>
      <c r="Y777" t="n">
        <v>256</v>
      </c>
      <c r="Z777" t="n">
        <v>217</v>
      </c>
      <c r="AA777" t="n">
        <v>225</v>
      </c>
      <c r="AB777" t="n">
        <v>2</v>
      </c>
      <c r="AC777" t="n">
        <v>2</v>
      </c>
      <c r="AD777" t="n">
        <v>10</v>
      </c>
      <c r="AE777" t="n">
        <v>10</v>
      </c>
      <c r="AF777" t="n">
        <v>3</v>
      </c>
      <c r="AG777" t="n">
        <v>3</v>
      </c>
      <c r="AH777" t="n">
        <v>1</v>
      </c>
      <c r="AI777" t="n">
        <v>1</v>
      </c>
      <c r="AJ777" t="n">
        <v>7</v>
      </c>
      <c r="AK777" t="n">
        <v>7</v>
      </c>
      <c r="AL777" t="n">
        <v>1</v>
      </c>
      <c r="AM777" t="n">
        <v>1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R777">
        <f>HYPERLINK("http://catalog.hathitrust.org/Record/001492360","HathiTrust Record")</f>
        <v/>
      </c>
      <c r="AS777">
        <f>HYPERLINK("https://creighton-primo.hosted.exlibrisgroup.com/primo-explore/search?tab=default_tab&amp;search_scope=EVERYTHING&amp;vid=01CRU&amp;lang=en_US&amp;offset=0&amp;query=any,contains,991003216459702656","Catalog Record")</f>
        <v/>
      </c>
      <c r="AT777">
        <f>HYPERLINK("http://www.worldcat.org/oclc/742480","WorldCat Record")</f>
        <v/>
      </c>
      <c r="AU777" t="inlineStr">
        <is>
          <t>49243906:eng</t>
        </is>
      </c>
      <c r="AV777" t="inlineStr">
        <is>
          <t>742480</t>
        </is>
      </c>
      <c r="AW777" t="inlineStr">
        <is>
          <t>991003216459702656</t>
        </is>
      </c>
      <c r="AX777" t="inlineStr">
        <is>
          <t>991003216459702656</t>
        </is>
      </c>
      <c r="AY777" t="inlineStr">
        <is>
          <t>2270301460002656</t>
        </is>
      </c>
      <c r="AZ777" t="inlineStr">
        <is>
          <t>BOOK</t>
        </is>
      </c>
      <c r="BC777" t="inlineStr">
        <is>
          <t>32285002911393</t>
        </is>
      </c>
      <c r="BD777" t="inlineStr">
        <is>
          <t>893258179</t>
        </is>
      </c>
    </row>
    <row r="778">
      <c r="A778" t="inlineStr">
        <is>
          <t>No</t>
        </is>
      </c>
      <c r="B778" t="inlineStr">
        <is>
          <t>QH431 .S688</t>
        </is>
      </c>
      <c r="C778" t="inlineStr">
        <is>
          <t>0                      QH 0431000S  688</t>
        </is>
      </c>
      <c r="D778" t="inlineStr">
        <is>
          <t>Facets of genetics; readings from Scientific American. Selected and introduced by Adrian M. Srb, Ray D. Owen [and] Robert S. Edgar.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Srb, Adrian M., compiler.</t>
        </is>
      </c>
      <c r="L778" t="inlineStr">
        <is>
          <t>San Francisco, W. H. Freeman [1970]</t>
        </is>
      </c>
      <c r="M778" t="inlineStr">
        <is>
          <t>1970</t>
        </is>
      </c>
      <c r="O778" t="inlineStr">
        <is>
          <t>eng</t>
        </is>
      </c>
      <c r="P778" t="inlineStr">
        <is>
          <t>cau</t>
        </is>
      </c>
      <c r="R778" t="inlineStr">
        <is>
          <t xml:space="preserve">QH </t>
        </is>
      </c>
      <c r="S778" t="n">
        <v>4</v>
      </c>
      <c r="T778" t="n">
        <v>4</v>
      </c>
      <c r="U778" t="inlineStr">
        <is>
          <t>1994-11-28</t>
        </is>
      </c>
      <c r="V778" t="inlineStr">
        <is>
          <t>1994-11-28</t>
        </is>
      </c>
      <c r="W778" t="inlineStr">
        <is>
          <t>1993-04-07</t>
        </is>
      </c>
      <c r="X778" t="inlineStr">
        <is>
          <t>1993-04-07</t>
        </is>
      </c>
      <c r="Y778" t="n">
        <v>642</v>
      </c>
      <c r="Z778" t="n">
        <v>503</v>
      </c>
      <c r="AA778" t="n">
        <v>509</v>
      </c>
      <c r="AB778" t="n">
        <v>5</v>
      </c>
      <c r="AC778" t="n">
        <v>5</v>
      </c>
      <c r="AD778" t="n">
        <v>11</v>
      </c>
      <c r="AE778" t="n">
        <v>11</v>
      </c>
      <c r="AF778" t="n">
        <v>3</v>
      </c>
      <c r="AG778" t="n">
        <v>3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HYPERLINK("https://creighton-primo.hosted.exlibrisgroup.com/primo-explore/search?tab=default_tab&amp;search_scope=EVERYTHING&amp;vid=01CRU&amp;lang=en_US&amp;offset=0&amp;query=any,contains,991000217859702656","Catalog Record")</f>
        <v/>
      </c>
      <c r="AT778">
        <f>HYPERLINK("http://www.worldcat.org/oclc/67223","WorldCat Record")</f>
        <v/>
      </c>
      <c r="AU778" t="inlineStr">
        <is>
          <t>30000479:eng</t>
        </is>
      </c>
      <c r="AV778" t="inlineStr">
        <is>
          <t>67223</t>
        </is>
      </c>
      <c r="AW778" t="inlineStr">
        <is>
          <t>991000217859702656</t>
        </is>
      </c>
      <c r="AX778" t="inlineStr">
        <is>
          <t>991000217859702656</t>
        </is>
      </c>
      <c r="AY778" t="inlineStr">
        <is>
          <t>2256307880002656</t>
        </is>
      </c>
      <c r="AZ778" t="inlineStr">
        <is>
          <t>BOOK</t>
        </is>
      </c>
      <c r="BB778" t="inlineStr">
        <is>
          <t>9780716709503</t>
        </is>
      </c>
      <c r="BC778" t="inlineStr">
        <is>
          <t>32285001554707</t>
        </is>
      </c>
      <c r="BD778" t="inlineStr">
        <is>
          <t>893413195</t>
        </is>
      </c>
    </row>
    <row r="779">
      <c r="A779" t="inlineStr">
        <is>
          <t>No</t>
        </is>
      </c>
      <c r="B779" t="inlineStr">
        <is>
          <t>QH431 .S69 1965</t>
        </is>
      </c>
      <c r="C779" t="inlineStr">
        <is>
          <t>0                      QH 0431000S  69          1965</t>
        </is>
      </c>
      <c r="D779" t="inlineStr">
        <is>
          <t>General genetics / [by] Adrian M. Srb, Ray D. Owen [and] Robert E. Edgar.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Srb, Adrian M.</t>
        </is>
      </c>
      <c r="L779" t="inlineStr">
        <is>
          <t>San Francisco : W. H. Freeman, [1965]</t>
        </is>
      </c>
      <c r="M779" t="inlineStr">
        <is>
          <t>1965</t>
        </is>
      </c>
      <c r="N779" t="inlineStr">
        <is>
          <t>2d ed.</t>
        </is>
      </c>
      <c r="O779" t="inlineStr">
        <is>
          <t>eng</t>
        </is>
      </c>
      <c r="P779" t="inlineStr">
        <is>
          <t>cau</t>
        </is>
      </c>
      <c r="Q779" t="inlineStr">
        <is>
          <t>A Series of books in biology</t>
        </is>
      </c>
      <c r="R779" t="inlineStr">
        <is>
          <t xml:space="preserve">QH </t>
        </is>
      </c>
      <c r="S779" t="n">
        <v>3</v>
      </c>
      <c r="T779" t="n">
        <v>3</v>
      </c>
      <c r="U779" t="inlineStr">
        <is>
          <t>1994-09-29</t>
        </is>
      </c>
      <c r="V779" t="inlineStr">
        <is>
          <t>1994-09-29</t>
        </is>
      </c>
      <c r="W779" t="inlineStr">
        <is>
          <t>1992-07-15</t>
        </is>
      </c>
      <c r="X779" t="inlineStr">
        <is>
          <t>1992-07-15</t>
        </is>
      </c>
      <c r="Y779" t="n">
        <v>751</v>
      </c>
      <c r="Z779" t="n">
        <v>562</v>
      </c>
      <c r="AA779" t="n">
        <v>719</v>
      </c>
      <c r="AB779" t="n">
        <v>4</v>
      </c>
      <c r="AC779" t="n">
        <v>6</v>
      </c>
      <c r="AD779" t="n">
        <v>17</v>
      </c>
      <c r="AE779" t="n">
        <v>24</v>
      </c>
      <c r="AF779" t="n">
        <v>6</v>
      </c>
      <c r="AG779" t="n">
        <v>8</v>
      </c>
      <c r="AH779" t="n">
        <v>5</v>
      </c>
      <c r="AI779" t="n">
        <v>7</v>
      </c>
      <c r="AJ779" t="n">
        <v>8</v>
      </c>
      <c r="AK779" t="n">
        <v>11</v>
      </c>
      <c r="AL779" t="n">
        <v>3</v>
      </c>
      <c r="AM779" t="n">
        <v>4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HYPERLINK("http://catalog.hathitrust.org/Record/001492364","HathiTrust Record")</f>
        <v/>
      </c>
      <c r="AS779">
        <f>HYPERLINK("https://creighton-primo.hosted.exlibrisgroup.com/primo-explore/search?tab=default_tab&amp;search_scope=EVERYTHING&amp;vid=01CRU&amp;lang=en_US&amp;offset=0&amp;query=any,contains,991002972029702656","Catalog Record")</f>
        <v/>
      </c>
      <c r="AT779">
        <f>HYPERLINK("http://www.worldcat.org/oclc/549885","WorldCat Record")</f>
        <v/>
      </c>
      <c r="AU779" t="inlineStr">
        <is>
          <t>4817551316:eng</t>
        </is>
      </c>
      <c r="AV779" t="inlineStr">
        <is>
          <t>549885</t>
        </is>
      </c>
      <c r="AW779" t="inlineStr">
        <is>
          <t>991002972029702656</t>
        </is>
      </c>
      <c r="AX779" t="inlineStr">
        <is>
          <t>991002972029702656</t>
        </is>
      </c>
      <c r="AY779" t="inlineStr">
        <is>
          <t>2262196600002656</t>
        </is>
      </c>
      <c r="AZ779" t="inlineStr">
        <is>
          <t>BOOK</t>
        </is>
      </c>
      <c r="BC779" t="inlineStr">
        <is>
          <t>32285001152239</t>
        </is>
      </c>
      <c r="BD779" t="inlineStr">
        <is>
          <t>893622972</t>
        </is>
      </c>
    </row>
    <row r="780">
      <c r="A780" t="inlineStr">
        <is>
          <t>No</t>
        </is>
      </c>
      <c r="B780" t="inlineStr">
        <is>
          <t>QH431 .S713</t>
        </is>
      </c>
      <c r="C780" t="inlineStr">
        <is>
          <t>0                      QH 0431000S  713</t>
        </is>
      </c>
      <c r="D780" t="inlineStr">
        <is>
          <t>Genetic mosaics, and other essays.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Stern, Curt, 1902-1981.</t>
        </is>
      </c>
      <c r="L780" t="inlineStr">
        <is>
          <t>Cambridge : Harvard University Press, 1968.</t>
        </is>
      </c>
      <c r="M780" t="inlineStr">
        <is>
          <t>1968</t>
        </is>
      </c>
      <c r="O780" t="inlineStr">
        <is>
          <t>eng</t>
        </is>
      </c>
      <c r="P780" t="inlineStr">
        <is>
          <t>mau</t>
        </is>
      </c>
      <c r="Q780" t="inlineStr">
        <is>
          <t>The John M. Prather lectures ; 965</t>
        </is>
      </c>
      <c r="R780" t="inlineStr">
        <is>
          <t xml:space="preserve">QH </t>
        </is>
      </c>
      <c r="S780" t="n">
        <v>3</v>
      </c>
      <c r="T780" t="n">
        <v>3</v>
      </c>
      <c r="U780" t="inlineStr">
        <is>
          <t>1994-11-28</t>
        </is>
      </c>
      <c r="V780" t="inlineStr">
        <is>
          <t>1994-11-28</t>
        </is>
      </c>
      <c r="W780" t="inlineStr">
        <is>
          <t>1994-10-28</t>
        </is>
      </c>
      <c r="X780" t="inlineStr">
        <is>
          <t>1994-10-28</t>
        </is>
      </c>
      <c r="Y780" t="n">
        <v>611</v>
      </c>
      <c r="Z780" t="n">
        <v>515</v>
      </c>
      <c r="AA780" t="n">
        <v>527</v>
      </c>
      <c r="AB780" t="n">
        <v>6</v>
      </c>
      <c r="AC780" t="n">
        <v>6</v>
      </c>
      <c r="AD780" t="n">
        <v>20</v>
      </c>
      <c r="AE780" t="n">
        <v>20</v>
      </c>
      <c r="AF780" t="n">
        <v>5</v>
      </c>
      <c r="AG780" t="n">
        <v>5</v>
      </c>
      <c r="AH780" t="n">
        <v>3</v>
      </c>
      <c r="AI780" t="n">
        <v>3</v>
      </c>
      <c r="AJ780" t="n">
        <v>9</v>
      </c>
      <c r="AK780" t="n">
        <v>9</v>
      </c>
      <c r="AL780" t="n">
        <v>5</v>
      </c>
      <c r="AM780" t="n">
        <v>5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HYPERLINK("http://catalog.hathitrust.org/Record/001492369","HathiTrust Record")</f>
        <v/>
      </c>
      <c r="AS780">
        <f>HYPERLINK("https://creighton-primo.hosted.exlibrisgroup.com/primo-explore/search?tab=default_tab&amp;search_scope=EVERYTHING&amp;vid=01CRU&amp;lang=en_US&amp;offset=0&amp;query=any,contains,991002408809702656","Catalog Record")</f>
        <v/>
      </c>
      <c r="AT780">
        <f>HYPERLINK("http://www.worldcat.org/oclc/338754","WorldCat Record")</f>
        <v/>
      </c>
      <c r="AU780" t="inlineStr">
        <is>
          <t>365665691:eng</t>
        </is>
      </c>
      <c r="AV780" t="inlineStr">
        <is>
          <t>338754</t>
        </is>
      </c>
      <c r="AW780" t="inlineStr">
        <is>
          <t>991002408809702656</t>
        </is>
      </c>
      <c r="AX780" t="inlineStr">
        <is>
          <t>991002408809702656</t>
        </is>
      </c>
      <c r="AY780" t="inlineStr">
        <is>
          <t>2257054410002656</t>
        </is>
      </c>
      <c r="AZ780" t="inlineStr">
        <is>
          <t>BOOK</t>
        </is>
      </c>
      <c r="BC780" t="inlineStr">
        <is>
          <t>32285001963494</t>
        </is>
      </c>
      <c r="BD780" t="inlineStr">
        <is>
          <t>893886238</t>
        </is>
      </c>
    </row>
    <row r="781">
      <c r="A781" t="inlineStr">
        <is>
          <t>No</t>
        </is>
      </c>
      <c r="B781" t="inlineStr">
        <is>
          <t>QH431 .S714 1973</t>
        </is>
      </c>
      <c r="C781" t="inlineStr">
        <is>
          <t>0                      QH 0431000S  714         1973</t>
        </is>
      </c>
      <c r="D781" t="inlineStr">
        <is>
          <t>Principles of human genetics / Curt Stern.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Stern, Curt, 1902-1981.</t>
        </is>
      </c>
      <c r="L781" t="inlineStr">
        <is>
          <t>San Francisco : W. H. Freeman, c1973.</t>
        </is>
      </c>
      <c r="M781" t="inlineStr">
        <is>
          <t>1973</t>
        </is>
      </c>
      <c r="N781" t="inlineStr">
        <is>
          <t>3d ed.</t>
        </is>
      </c>
      <c r="O781" t="inlineStr">
        <is>
          <t>eng</t>
        </is>
      </c>
      <c r="P781" t="inlineStr">
        <is>
          <t>cau</t>
        </is>
      </c>
      <c r="Q781" t="inlineStr">
        <is>
          <t>A Series of books in biology</t>
        </is>
      </c>
      <c r="R781" t="inlineStr">
        <is>
          <t xml:space="preserve">QH </t>
        </is>
      </c>
      <c r="S781" t="n">
        <v>3</v>
      </c>
      <c r="T781" t="n">
        <v>3</v>
      </c>
      <c r="U781" t="inlineStr">
        <is>
          <t>2001-02-12</t>
        </is>
      </c>
      <c r="V781" t="inlineStr">
        <is>
          <t>2001-02-12</t>
        </is>
      </c>
      <c r="W781" t="inlineStr">
        <is>
          <t>1992-07-08</t>
        </is>
      </c>
      <c r="X781" t="inlineStr">
        <is>
          <t>1992-07-08</t>
        </is>
      </c>
      <c r="Y781" t="n">
        <v>629</v>
      </c>
      <c r="Z781" t="n">
        <v>446</v>
      </c>
      <c r="AA781" t="n">
        <v>849</v>
      </c>
      <c r="AB781" t="n">
        <v>4</v>
      </c>
      <c r="AC781" t="n">
        <v>9</v>
      </c>
      <c r="AD781" t="n">
        <v>15</v>
      </c>
      <c r="AE781" t="n">
        <v>28</v>
      </c>
      <c r="AF781" t="n">
        <v>3</v>
      </c>
      <c r="AG781" t="n">
        <v>7</v>
      </c>
      <c r="AH781" t="n">
        <v>3</v>
      </c>
      <c r="AI781" t="n">
        <v>4</v>
      </c>
      <c r="AJ781" t="n">
        <v>9</v>
      </c>
      <c r="AK781" t="n">
        <v>15</v>
      </c>
      <c r="AL781" t="n">
        <v>3</v>
      </c>
      <c r="AM781" t="n">
        <v>6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HYPERLINK("https://creighton-primo.hosted.exlibrisgroup.com/primo-explore/search?tab=default_tab&amp;search_scope=EVERYTHING&amp;vid=01CRU&amp;lang=en_US&amp;offset=0&amp;query=any,contains,991003054189702656","Catalog Record")</f>
        <v/>
      </c>
      <c r="AT781">
        <f>HYPERLINK("http://www.worldcat.org/oclc/613343","WorldCat Record")</f>
        <v/>
      </c>
      <c r="AU781" t="inlineStr">
        <is>
          <t>321773574:eng</t>
        </is>
      </c>
      <c r="AV781" t="inlineStr">
        <is>
          <t>613343</t>
        </is>
      </c>
      <c r="AW781" t="inlineStr">
        <is>
          <t>991003054189702656</t>
        </is>
      </c>
      <c r="AX781" t="inlineStr">
        <is>
          <t>991003054189702656</t>
        </is>
      </c>
      <c r="AY781" t="inlineStr">
        <is>
          <t>2268424690002656</t>
        </is>
      </c>
      <c r="AZ781" t="inlineStr">
        <is>
          <t>BOOK</t>
        </is>
      </c>
      <c r="BB781" t="inlineStr">
        <is>
          <t>9780716705970</t>
        </is>
      </c>
      <c r="BC781" t="inlineStr">
        <is>
          <t>32285001187342</t>
        </is>
      </c>
      <c r="BD781" t="inlineStr">
        <is>
          <t>893610680</t>
        </is>
      </c>
    </row>
    <row r="782">
      <c r="A782" t="inlineStr">
        <is>
          <t>No</t>
        </is>
      </c>
      <c r="B782" t="inlineStr">
        <is>
          <t>QH431 .S84413</t>
        </is>
      </c>
      <c r="C782" t="inlineStr">
        <is>
          <t>0                      QH 0431000S  84413</t>
        </is>
      </c>
      <c r="D782" t="inlineStr">
        <is>
          <t>History of genetics : from prehistoric times to the rediscovery of Mendel's laws / translated by T. R. W. Waters.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Stubbe, Hans, 1902-1989.</t>
        </is>
      </c>
      <c r="L782" t="inlineStr">
        <is>
          <t>Cambridge : MIT Press, [1972]</t>
        </is>
      </c>
      <c r="M782" t="inlineStr">
        <is>
          <t>1972</t>
        </is>
      </c>
      <c r="O782" t="inlineStr">
        <is>
          <t>eng</t>
        </is>
      </c>
      <c r="P782" t="inlineStr">
        <is>
          <t>mau</t>
        </is>
      </c>
      <c r="R782" t="inlineStr">
        <is>
          <t xml:space="preserve">QH </t>
        </is>
      </c>
      <c r="S782" t="n">
        <v>2</v>
      </c>
      <c r="T782" t="n">
        <v>2</v>
      </c>
      <c r="U782" t="inlineStr">
        <is>
          <t>1994-11-17</t>
        </is>
      </c>
      <c r="V782" t="inlineStr">
        <is>
          <t>1994-11-17</t>
        </is>
      </c>
      <c r="W782" t="inlineStr">
        <is>
          <t>1994-10-28</t>
        </is>
      </c>
      <c r="X782" t="inlineStr">
        <is>
          <t>1994-10-28</t>
        </is>
      </c>
      <c r="Y782" t="n">
        <v>627</v>
      </c>
      <c r="Z782" t="n">
        <v>504</v>
      </c>
      <c r="AA782" t="n">
        <v>511</v>
      </c>
      <c r="AB782" t="n">
        <v>5</v>
      </c>
      <c r="AC782" t="n">
        <v>5</v>
      </c>
      <c r="AD782" t="n">
        <v>13</v>
      </c>
      <c r="AE782" t="n">
        <v>13</v>
      </c>
      <c r="AF782" t="n">
        <v>3</v>
      </c>
      <c r="AG782" t="n">
        <v>3</v>
      </c>
      <c r="AH782" t="n">
        <v>2</v>
      </c>
      <c r="AI782" t="n">
        <v>2</v>
      </c>
      <c r="AJ782" t="n">
        <v>5</v>
      </c>
      <c r="AK782" t="n">
        <v>5</v>
      </c>
      <c r="AL782" t="n">
        <v>4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HYPERLINK("http://catalog.hathitrust.org/Record/001492377","HathiTrust Record")</f>
        <v/>
      </c>
      <c r="AS782">
        <f>HYPERLINK("https://creighton-primo.hosted.exlibrisgroup.com/primo-explore/search?tab=default_tab&amp;search_scope=EVERYTHING&amp;vid=01CRU&amp;lang=en_US&amp;offset=0&amp;query=any,contains,991001219509702656","Catalog Record")</f>
        <v/>
      </c>
      <c r="AT782">
        <f>HYPERLINK("http://www.worldcat.org/oclc/196121","WorldCat Record")</f>
        <v/>
      </c>
      <c r="AU782" t="inlineStr">
        <is>
          <t>1909530416:eng</t>
        </is>
      </c>
      <c r="AV782" t="inlineStr">
        <is>
          <t>196121</t>
        </is>
      </c>
      <c r="AW782" t="inlineStr">
        <is>
          <t>991001219509702656</t>
        </is>
      </c>
      <c r="AX782" t="inlineStr">
        <is>
          <t>991001219509702656</t>
        </is>
      </c>
      <c r="AY782" t="inlineStr">
        <is>
          <t>2270077480002656</t>
        </is>
      </c>
      <c r="AZ782" t="inlineStr">
        <is>
          <t>BOOK</t>
        </is>
      </c>
      <c r="BB782" t="inlineStr">
        <is>
          <t>9780262190855</t>
        </is>
      </c>
      <c r="BC782" t="inlineStr">
        <is>
          <t>32285001963486</t>
        </is>
      </c>
      <c r="BD782" t="inlineStr">
        <is>
          <t>893772409</t>
        </is>
      </c>
    </row>
    <row r="783">
      <c r="A783" t="inlineStr">
        <is>
          <t>No</t>
        </is>
      </c>
      <c r="B783" t="inlineStr">
        <is>
          <t>QH431 .S93 1962</t>
        </is>
      </c>
      <c r="C783" t="inlineStr">
        <is>
          <t>0                      QH 0431000S  93          1962</t>
        </is>
      </c>
      <c r="D783" t="inlineStr">
        <is>
          <t>An introduction to genetics [by] A. H. Sturtevant [and] G. W. Beadle.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Sturtevant, A. H. (Alfred Henry), 1891-1970.</t>
        </is>
      </c>
      <c r="L783" t="inlineStr">
        <is>
          <t>New York, Dover Publications [1962]</t>
        </is>
      </c>
      <c r="M783" t="inlineStr">
        <is>
          <t>1962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QH </t>
        </is>
      </c>
      <c r="S783" t="n">
        <v>1</v>
      </c>
      <c r="T783" t="n">
        <v>1</v>
      </c>
      <c r="U783" t="inlineStr">
        <is>
          <t>2005-09-24</t>
        </is>
      </c>
      <c r="V783" t="inlineStr">
        <is>
          <t>2005-09-24</t>
        </is>
      </c>
      <c r="W783" t="inlineStr">
        <is>
          <t>1997-07-02</t>
        </is>
      </c>
      <c r="X783" t="inlineStr">
        <is>
          <t>1997-07-02</t>
        </is>
      </c>
      <c r="Y783" t="n">
        <v>390</v>
      </c>
      <c r="Z783" t="n">
        <v>315</v>
      </c>
      <c r="AA783" t="n">
        <v>465</v>
      </c>
      <c r="AB783" t="n">
        <v>3</v>
      </c>
      <c r="AC783" t="n">
        <v>5</v>
      </c>
      <c r="AD783" t="n">
        <v>12</v>
      </c>
      <c r="AE783" t="n">
        <v>16</v>
      </c>
      <c r="AF783" t="n">
        <v>5</v>
      </c>
      <c r="AG783" t="n">
        <v>5</v>
      </c>
      <c r="AH783" t="n">
        <v>1</v>
      </c>
      <c r="AI783" t="n">
        <v>3</v>
      </c>
      <c r="AJ783" t="n">
        <v>5</v>
      </c>
      <c r="AK783" t="n">
        <v>7</v>
      </c>
      <c r="AL783" t="n">
        <v>2</v>
      </c>
      <c r="AM783" t="n">
        <v>3</v>
      </c>
      <c r="AN783" t="n">
        <v>1</v>
      </c>
      <c r="AO783" t="n">
        <v>1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HYPERLINK("http://catalog.hathitrust.org/Record/001492380","HathiTrust Record")</f>
        <v/>
      </c>
      <c r="AS783">
        <f>HYPERLINK("https://creighton-primo.hosted.exlibrisgroup.com/primo-explore/search?tab=default_tab&amp;search_scope=EVERYTHING&amp;vid=01CRU&amp;lang=en_US&amp;offset=0&amp;query=any,contains,991001188759702656","Catalog Record")</f>
        <v/>
      </c>
      <c r="AT783">
        <f>HYPERLINK("http://www.worldcat.org/oclc/190940","WorldCat Record")</f>
        <v/>
      </c>
      <c r="AU783" t="inlineStr">
        <is>
          <t>69542430:eng</t>
        </is>
      </c>
      <c r="AV783" t="inlineStr">
        <is>
          <t>190940</t>
        </is>
      </c>
      <c r="AW783" t="inlineStr">
        <is>
          <t>991001188759702656</t>
        </is>
      </c>
      <c r="AX783" t="inlineStr">
        <is>
          <t>991001188759702656</t>
        </is>
      </c>
      <c r="AY783" t="inlineStr">
        <is>
          <t>2259283830002656</t>
        </is>
      </c>
      <c r="AZ783" t="inlineStr">
        <is>
          <t>BOOK</t>
        </is>
      </c>
      <c r="BC783" t="inlineStr">
        <is>
          <t>32285002911427</t>
        </is>
      </c>
      <c r="BD783" t="inlineStr">
        <is>
          <t>893250041</t>
        </is>
      </c>
    </row>
    <row r="784">
      <c r="A784" t="inlineStr">
        <is>
          <t>No</t>
        </is>
      </c>
      <c r="B784" t="inlineStr">
        <is>
          <t>QH431 .S94</t>
        </is>
      </c>
      <c r="C784" t="inlineStr">
        <is>
          <t>0                      QH 0431000S  94</t>
        </is>
      </c>
      <c r="D784" t="inlineStr">
        <is>
          <t>Genes, enzymes, and inherited diseases.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Sutton, H. Eldon (Harry Eldon), 1927-</t>
        </is>
      </c>
      <c r="L784" t="inlineStr">
        <is>
          <t>New York : Holt, Rinehart and Winston, [1961]</t>
        </is>
      </c>
      <c r="M784" t="inlineStr">
        <is>
          <t>1961</t>
        </is>
      </c>
      <c r="O784" t="inlineStr">
        <is>
          <t>eng</t>
        </is>
      </c>
      <c r="P784" t="inlineStr">
        <is>
          <t>nyu</t>
        </is>
      </c>
      <c r="Q784" t="inlineStr">
        <is>
          <t>Biology studies</t>
        </is>
      </c>
      <c r="R784" t="inlineStr">
        <is>
          <t xml:space="preserve">QH </t>
        </is>
      </c>
      <c r="S784" t="n">
        <v>6</v>
      </c>
      <c r="T784" t="n">
        <v>6</v>
      </c>
      <c r="U784" t="inlineStr">
        <is>
          <t>1995-11-01</t>
        </is>
      </c>
      <c r="V784" t="inlineStr">
        <is>
          <t>1995-11-01</t>
        </is>
      </c>
      <c r="W784" t="inlineStr">
        <is>
          <t>1990-07-25</t>
        </is>
      </c>
      <c r="X784" t="inlineStr">
        <is>
          <t>1990-07-25</t>
        </is>
      </c>
      <c r="Y784" t="n">
        <v>540</v>
      </c>
      <c r="Z784" t="n">
        <v>469</v>
      </c>
      <c r="AA784" t="n">
        <v>472</v>
      </c>
      <c r="AB784" t="n">
        <v>4</v>
      </c>
      <c r="AC784" t="n">
        <v>4</v>
      </c>
      <c r="AD784" t="n">
        <v>17</v>
      </c>
      <c r="AE784" t="n">
        <v>17</v>
      </c>
      <c r="AF784" t="n">
        <v>4</v>
      </c>
      <c r="AG784" t="n">
        <v>4</v>
      </c>
      <c r="AH784" t="n">
        <v>4</v>
      </c>
      <c r="AI784" t="n">
        <v>4</v>
      </c>
      <c r="AJ784" t="n">
        <v>9</v>
      </c>
      <c r="AK784" t="n">
        <v>9</v>
      </c>
      <c r="AL784" t="n">
        <v>3</v>
      </c>
      <c r="AM784" t="n">
        <v>3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HYPERLINK("http://catalog.hathitrust.org/Record/001492384","HathiTrust Record")</f>
        <v/>
      </c>
      <c r="AS784">
        <f>HYPERLINK("https://creighton-primo.hosted.exlibrisgroup.com/primo-explore/search?tab=default_tab&amp;search_scope=EVERYTHING&amp;vid=01CRU&amp;lang=en_US&amp;offset=0&amp;query=any,contains,991003235429702656","Catalog Record")</f>
        <v/>
      </c>
      <c r="AT784">
        <f>HYPERLINK("http://www.worldcat.org/oclc/760169","WorldCat Record")</f>
        <v/>
      </c>
      <c r="AU784" t="inlineStr">
        <is>
          <t>1630789:eng</t>
        </is>
      </c>
      <c r="AV784" t="inlineStr">
        <is>
          <t>760169</t>
        </is>
      </c>
      <c r="AW784" t="inlineStr">
        <is>
          <t>991003235429702656</t>
        </is>
      </c>
      <c r="AX784" t="inlineStr">
        <is>
          <t>991003235429702656</t>
        </is>
      </c>
      <c r="AY784" t="inlineStr">
        <is>
          <t>2266358620002656</t>
        </is>
      </c>
      <c r="AZ784" t="inlineStr">
        <is>
          <t>BOOK</t>
        </is>
      </c>
      <c r="BC784" t="inlineStr">
        <is>
          <t>32285000233667</t>
        </is>
      </c>
      <c r="BD784" t="inlineStr">
        <is>
          <t>893698790</t>
        </is>
      </c>
    </row>
    <row r="785">
      <c r="A785" t="inlineStr">
        <is>
          <t>No</t>
        </is>
      </c>
      <c r="B785" t="inlineStr">
        <is>
          <t>QH431 .V59 1997</t>
        </is>
      </c>
      <c r="C785" t="inlineStr">
        <is>
          <t>0                      QH 0431000V  59          1997</t>
        </is>
      </c>
      <c r="D785" t="inlineStr">
        <is>
          <t>Human genetics : problems and approaches / F. Vogel, A.G. Motulsky.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Vogel, Friedrich, 1925-</t>
        </is>
      </c>
      <c r="L785" t="inlineStr">
        <is>
          <t>Berlin ; New York : Springer, c1997.</t>
        </is>
      </c>
      <c r="M785" t="inlineStr">
        <is>
          <t>1997</t>
        </is>
      </c>
      <c r="N785" t="inlineStr">
        <is>
          <t>3rd completely rev. ed.</t>
        </is>
      </c>
      <c r="O785" t="inlineStr">
        <is>
          <t>eng</t>
        </is>
      </c>
      <c r="P785" t="inlineStr">
        <is>
          <t xml:space="preserve">gw </t>
        </is>
      </c>
      <c r="R785" t="inlineStr">
        <is>
          <t xml:space="preserve">QH </t>
        </is>
      </c>
      <c r="S785" t="n">
        <v>32</v>
      </c>
      <c r="T785" t="n">
        <v>32</v>
      </c>
      <c r="U785" t="inlineStr">
        <is>
          <t>2005-10-24</t>
        </is>
      </c>
      <c r="V785" t="inlineStr">
        <is>
          <t>2005-10-24</t>
        </is>
      </c>
      <c r="W785" t="inlineStr">
        <is>
          <t>1999-05-05</t>
        </is>
      </c>
      <c r="X785" t="inlineStr">
        <is>
          <t>1999-05-05</t>
        </is>
      </c>
      <c r="Y785" t="n">
        <v>404</v>
      </c>
      <c r="Z785" t="n">
        <v>281</v>
      </c>
      <c r="AA785" t="n">
        <v>605</v>
      </c>
      <c r="AB785" t="n">
        <v>2</v>
      </c>
      <c r="AC785" t="n">
        <v>6</v>
      </c>
      <c r="AD785" t="n">
        <v>18</v>
      </c>
      <c r="AE785" t="n">
        <v>33</v>
      </c>
      <c r="AF785" t="n">
        <v>6</v>
      </c>
      <c r="AG785" t="n">
        <v>14</v>
      </c>
      <c r="AH785" t="n">
        <v>5</v>
      </c>
      <c r="AI785" t="n">
        <v>6</v>
      </c>
      <c r="AJ785" t="n">
        <v>12</v>
      </c>
      <c r="AK785" t="n">
        <v>18</v>
      </c>
      <c r="AL785" t="n">
        <v>1</v>
      </c>
      <c r="AM785" t="n">
        <v>5</v>
      </c>
      <c r="AN785" t="n">
        <v>0</v>
      </c>
      <c r="AO785" t="n">
        <v>0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HYPERLINK("https://creighton-primo.hosted.exlibrisgroup.com/primo-explore/search?tab=default_tab&amp;search_scope=EVERYTHING&amp;vid=01CRU&amp;lang=en_US&amp;offset=0&amp;query=any,contains,991005422839702656","Catalog Record")</f>
        <v/>
      </c>
      <c r="AT785">
        <f>HYPERLINK("http://www.worldcat.org/oclc/33897787","WorldCat Record")</f>
        <v/>
      </c>
      <c r="AU785" t="inlineStr">
        <is>
          <t>457117:eng</t>
        </is>
      </c>
      <c r="AV785" t="inlineStr">
        <is>
          <t>33897787</t>
        </is>
      </c>
      <c r="AW785" t="inlineStr">
        <is>
          <t>991005422839702656</t>
        </is>
      </c>
      <c r="AX785" t="inlineStr">
        <is>
          <t>991005422839702656</t>
        </is>
      </c>
      <c r="AY785" t="inlineStr">
        <is>
          <t>2270985520002656</t>
        </is>
      </c>
      <c r="AZ785" t="inlineStr">
        <is>
          <t>BOOK</t>
        </is>
      </c>
      <c r="BB785" t="inlineStr">
        <is>
          <t>9783540602903</t>
        </is>
      </c>
      <c r="BC785" t="inlineStr">
        <is>
          <t>32285003558847</t>
        </is>
      </c>
      <c r="BD785" t="inlineStr">
        <is>
          <t>893437812</t>
        </is>
      </c>
    </row>
    <row r="786">
      <c r="A786" t="inlineStr">
        <is>
          <t>No</t>
        </is>
      </c>
      <c r="B786" t="inlineStr">
        <is>
          <t>QH431 .W288</t>
        </is>
      </c>
      <c r="C786" t="inlineStr">
        <is>
          <t>0                      QH 0431000W  288</t>
        </is>
      </c>
      <c r="D786" t="inlineStr">
        <is>
          <t>Genetic load, its biological and conceptual aspects.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Wallace, Bruce, 1920-2015.</t>
        </is>
      </c>
      <c r="L786" t="inlineStr">
        <is>
          <t>Englewood Cliffs, N.J., Prentice-Hall [c1970]</t>
        </is>
      </c>
      <c r="M786" t="inlineStr">
        <is>
          <t>1970</t>
        </is>
      </c>
      <c r="O786" t="inlineStr">
        <is>
          <t>eng</t>
        </is>
      </c>
      <c r="P786" t="inlineStr">
        <is>
          <t>nju</t>
        </is>
      </c>
      <c r="Q786" t="inlineStr">
        <is>
          <t>Concepts of modern biology series</t>
        </is>
      </c>
      <c r="R786" t="inlineStr">
        <is>
          <t xml:space="preserve">QH </t>
        </is>
      </c>
      <c r="S786" t="n">
        <v>1</v>
      </c>
      <c r="T786" t="n">
        <v>1</v>
      </c>
      <c r="U786" t="inlineStr">
        <is>
          <t>2001-04-17</t>
        </is>
      </c>
      <c r="V786" t="inlineStr">
        <is>
          <t>2001-04-17</t>
        </is>
      </c>
      <c r="W786" t="inlineStr">
        <is>
          <t>1997-07-02</t>
        </is>
      </c>
      <c r="X786" t="inlineStr">
        <is>
          <t>1997-07-02</t>
        </is>
      </c>
      <c r="Y786" t="n">
        <v>608</v>
      </c>
      <c r="Z786" t="n">
        <v>481</v>
      </c>
      <c r="AA786" t="n">
        <v>489</v>
      </c>
      <c r="AB786" t="n">
        <v>5</v>
      </c>
      <c r="AC786" t="n">
        <v>5</v>
      </c>
      <c r="AD786" t="n">
        <v>21</v>
      </c>
      <c r="AE786" t="n">
        <v>21</v>
      </c>
      <c r="AF786" t="n">
        <v>6</v>
      </c>
      <c r="AG786" t="n">
        <v>6</v>
      </c>
      <c r="AH786" t="n">
        <v>4</v>
      </c>
      <c r="AI786" t="n">
        <v>4</v>
      </c>
      <c r="AJ786" t="n">
        <v>11</v>
      </c>
      <c r="AK786" t="n">
        <v>11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HYPERLINK("http://catalog.hathitrust.org/Record/001492405","HathiTrust Record")</f>
        <v/>
      </c>
      <c r="AS786">
        <f>HYPERLINK("https://creighton-primo.hosted.exlibrisgroup.com/primo-explore/search?tab=default_tab&amp;search_scope=EVERYTHING&amp;vid=01CRU&amp;lang=en_US&amp;offset=0&amp;query=any,contains,991000122289702656","Catalog Record")</f>
        <v/>
      </c>
      <c r="AT786">
        <f>HYPERLINK("http://www.worldcat.org/oclc/50642","WorldCat Record")</f>
        <v/>
      </c>
      <c r="AU786" t="inlineStr">
        <is>
          <t>803515330:eng</t>
        </is>
      </c>
      <c r="AV786" t="inlineStr">
        <is>
          <t>50642</t>
        </is>
      </c>
      <c r="AW786" t="inlineStr">
        <is>
          <t>991000122289702656</t>
        </is>
      </c>
      <c r="AX786" t="inlineStr">
        <is>
          <t>991000122289702656</t>
        </is>
      </c>
      <c r="AY786" t="inlineStr">
        <is>
          <t>2255771440002656</t>
        </is>
      </c>
      <c r="AZ786" t="inlineStr">
        <is>
          <t>BOOK</t>
        </is>
      </c>
      <c r="BB786" t="inlineStr">
        <is>
          <t>9780133511970</t>
        </is>
      </c>
      <c r="BC786" t="inlineStr">
        <is>
          <t>32285002911542</t>
        </is>
      </c>
      <c r="BD786" t="inlineStr">
        <is>
          <t>893877819</t>
        </is>
      </c>
    </row>
    <row r="787">
      <c r="A787" t="inlineStr">
        <is>
          <t>No</t>
        </is>
      </c>
      <c r="B787" t="inlineStr">
        <is>
          <t>QH431 .W493</t>
        </is>
      </c>
      <c r="C787" t="inlineStr">
        <is>
          <t>0                      QH 0431000W  493</t>
        </is>
      </c>
      <c r="D787" t="inlineStr">
        <is>
          <t>A primer of population biology [by] Edward O. Wilson and William H. Bossert.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Wilson, Edward O.</t>
        </is>
      </c>
      <c r="L787" t="inlineStr">
        <is>
          <t>Stamford, Conn., Sinauer Associates [1971]</t>
        </is>
      </c>
      <c r="M787" t="inlineStr">
        <is>
          <t>1971</t>
        </is>
      </c>
      <c r="N787" t="inlineStr">
        <is>
          <t>[1st ed.]</t>
        </is>
      </c>
      <c r="O787" t="inlineStr">
        <is>
          <t>eng</t>
        </is>
      </c>
      <c r="P787" t="inlineStr">
        <is>
          <t>ctu</t>
        </is>
      </c>
      <c r="R787" t="inlineStr">
        <is>
          <t xml:space="preserve">QH </t>
        </is>
      </c>
      <c r="S787" t="n">
        <v>2</v>
      </c>
      <c r="T787" t="n">
        <v>2</v>
      </c>
      <c r="U787" t="inlineStr">
        <is>
          <t>2001-03-06</t>
        </is>
      </c>
      <c r="V787" t="inlineStr">
        <is>
          <t>2001-03-06</t>
        </is>
      </c>
      <c r="W787" t="inlineStr">
        <is>
          <t>1997-07-02</t>
        </is>
      </c>
      <c r="X787" t="inlineStr">
        <is>
          <t>1997-07-02</t>
        </is>
      </c>
      <c r="Y787" t="n">
        <v>803</v>
      </c>
      <c r="Z787" t="n">
        <v>620</v>
      </c>
      <c r="AA787" t="n">
        <v>635</v>
      </c>
      <c r="AB787" t="n">
        <v>4</v>
      </c>
      <c r="AC787" t="n">
        <v>4</v>
      </c>
      <c r="AD787" t="n">
        <v>25</v>
      </c>
      <c r="AE787" t="n">
        <v>26</v>
      </c>
      <c r="AF787" t="n">
        <v>7</v>
      </c>
      <c r="AG787" t="n">
        <v>8</v>
      </c>
      <c r="AH787" t="n">
        <v>5</v>
      </c>
      <c r="AI787" t="n">
        <v>5</v>
      </c>
      <c r="AJ787" t="n">
        <v>16</v>
      </c>
      <c r="AK787" t="n">
        <v>16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HYPERLINK("http://catalog.hathitrust.org/Record/000222790","HathiTrust Record")</f>
        <v/>
      </c>
      <c r="AS787">
        <f>HYPERLINK("https://creighton-primo.hosted.exlibrisgroup.com/primo-explore/search?tab=default_tab&amp;search_scope=EVERYTHING&amp;vid=01CRU&amp;lang=en_US&amp;offset=0&amp;query=any,contains,991000926019702656","Catalog Record")</f>
        <v/>
      </c>
      <c r="AT787">
        <f>HYPERLINK("http://www.worldcat.org/oclc/163381","WorldCat Record")</f>
        <v/>
      </c>
      <c r="AU787" t="inlineStr">
        <is>
          <t>539017:eng</t>
        </is>
      </c>
      <c r="AV787" t="inlineStr">
        <is>
          <t>163381</t>
        </is>
      </c>
      <c r="AW787" t="inlineStr">
        <is>
          <t>991000926019702656</t>
        </is>
      </c>
      <c r="AX787" t="inlineStr">
        <is>
          <t>991000926019702656</t>
        </is>
      </c>
      <c r="AY787" t="inlineStr">
        <is>
          <t>2272101740002656</t>
        </is>
      </c>
      <c r="AZ787" t="inlineStr">
        <is>
          <t>BOOK</t>
        </is>
      </c>
      <c r="BB787" t="inlineStr">
        <is>
          <t>9780878939268</t>
        </is>
      </c>
      <c r="BC787" t="inlineStr">
        <is>
          <t>32285002911609</t>
        </is>
      </c>
      <c r="BD787" t="inlineStr">
        <is>
          <t>893419894</t>
        </is>
      </c>
    </row>
    <row r="788">
      <c r="A788" t="inlineStr">
        <is>
          <t>No</t>
        </is>
      </c>
      <c r="B788" t="inlineStr">
        <is>
          <t>QH431 .W78</t>
        </is>
      </c>
      <c r="C788" t="inlineStr">
        <is>
          <t>0                      QH 0431000W  78</t>
        </is>
      </c>
      <c r="D788" t="inlineStr">
        <is>
          <t>Genetics of insect vectors of disease / edited for the World Health Organization by J. W. Wright and R. Pal.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Wright, J. W. (Jonathan William)</t>
        </is>
      </c>
      <c r="L788" t="inlineStr">
        <is>
          <t>Amsterdam, London, New York, Elsevier, 1967.</t>
        </is>
      </c>
      <c r="M788" t="inlineStr">
        <is>
          <t>1967</t>
        </is>
      </c>
      <c r="O788" t="inlineStr">
        <is>
          <t>eng</t>
        </is>
      </c>
      <c r="P788" t="inlineStr">
        <is>
          <t xml:space="preserve">ne </t>
        </is>
      </c>
      <c r="R788" t="inlineStr">
        <is>
          <t xml:space="preserve">QH </t>
        </is>
      </c>
      <c r="S788" t="n">
        <v>5</v>
      </c>
      <c r="T788" t="n">
        <v>5</v>
      </c>
      <c r="U788" t="inlineStr">
        <is>
          <t>2010-12-06</t>
        </is>
      </c>
      <c r="V788" t="inlineStr">
        <is>
          <t>2010-12-06</t>
        </is>
      </c>
      <c r="W788" t="inlineStr">
        <is>
          <t>1997-07-08</t>
        </is>
      </c>
      <c r="X788" t="inlineStr">
        <is>
          <t>1997-07-08</t>
        </is>
      </c>
      <c r="Y788" t="n">
        <v>325</v>
      </c>
      <c r="Z788" t="n">
        <v>221</v>
      </c>
      <c r="AA788" t="n">
        <v>223</v>
      </c>
      <c r="AB788" t="n">
        <v>3</v>
      </c>
      <c r="AC788" t="n">
        <v>3</v>
      </c>
      <c r="AD788" t="n">
        <v>9</v>
      </c>
      <c r="AE788" t="n">
        <v>9</v>
      </c>
      <c r="AF788" t="n">
        <v>2</v>
      </c>
      <c r="AG788" t="n">
        <v>2</v>
      </c>
      <c r="AH788" t="n">
        <v>2</v>
      </c>
      <c r="AI788" t="n">
        <v>2</v>
      </c>
      <c r="AJ788" t="n">
        <v>4</v>
      </c>
      <c r="AK788" t="n">
        <v>4</v>
      </c>
      <c r="AL788" t="n">
        <v>2</v>
      </c>
      <c r="AM788" t="n">
        <v>2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HYPERLINK("http://catalog.hathitrust.org/Record/001492433","HathiTrust Record")</f>
        <v/>
      </c>
      <c r="AS788">
        <f>HYPERLINK("https://creighton-primo.hosted.exlibrisgroup.com/primo-explore/search?tab=default_tab&amp;search_scope=EVERYTHING&amp;vid=01CRU&amp;lang=en_US&amp;offset=0&amp;query=any,contains,991001079629702656","Catalog Record")</f>
        <v/>
      </c>
      <c r="AT788">
        <f>HYPERLINK("http://www.worldcat.org/oclc/179494","WorldCat Record")</f>
        <v/>
      </c>
      <c r="AU788" t="inlineStr">
        <is>
          <t>347046337:eng</t>
        </is>
      </c>
      <c r="AV788" t="inlineStr">
        <is>
          <t>179494</t>
        </is>
      </c>
      <c r="AW788" t="inlineStr">
        <is>
          <t>991001079629702656</t>
        </is>
      </c>
      <c r="AX788" t="inlineStr">
        <is>
          <t>991001079629702656</t>
        </is>
      </c>
      <c r="AY788" t="inlineStr">
        <is>
          <t>2265149580002656</t>
        </is>
      </c>
      <c r="AZ788" t="inlineStr">
        <is>
          <t>BOOK</t>
        </is>
      </c>
      <c r="BC788" t="inlineStr">
        <is>
          <t>32285002911625</t>
        </is>
      </c>
      <c r="BD788" t="inlineStr">
        <is>
          <t>893426303</t>
        </is>
      </c>
    </row>
    <row r="789">
      <c r="A789" t="inlineStr">
        <is>
          <t>No</t>
        </is>
      </c>
      <c r="B789" t="inlineStr">
        <is>
          <t>QH431 .W785 1998</t>
        </is>
      </c>
      <c r="C789" t="inlineStr">
        <is>
          <t>0                      QH 0431000W  785         1998</t>
        </is>
      </c>
      <c r="D789" t="inlineStr">
        <is>
          <t>Born that way : genes, behavior, personality / William Wright.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Wright, William, 1930-2016.</t>
        </is>
      </c>
      <c r="L789" t="inlineStr">
        <is>
          <t>New York : Knopf, 1998.</t>
        </is>
      </c>
      <c r="M789" t="inlineStr">
        <is>
          <t>1998</t>
        </is>
      </c>
      <c r="N789" t="inlineStr">
        <is>
          <t>1st ed.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QH </t>
        </is>
      </c>
      <c r="S789" t="n">
        <v>10</v>
      </c>
      <c r="T789" t="n">
        <v>10</v>
      </c>
      <c r="U789" t="inlineStr">
        <is>
          <t>2004-11-19</t>
        </is>
      </c>
      <c r="V789" t="inlineStr">
        <is>
          <t>2004-11-19</t>
        </is>
      </c>
      <c r="W789" t="inlineStr">
        <is>
          <t>1998-08-24</t>
        </is>
      </c>
      <c r="X789" t="inlineStr">
        <is>
          <t>1998-08-24</t>
        </is>
      </c>
      <c r="Y789" t="n">
        <v>1048</v>
      </c>
      <c r="Z789" t="n">
        <v>980</v>
      </c>
      <c r="AA789" t="n">
        <v>1111</v>
      </c>
      <c r="AB789" t="n">
        <v>10</v>
      </c>
      <c r="AC789" t="n">
        <v>11</v>
      </c>
      <c r="AD789" t="n">
        <v>32</v>
      </c>
      <c r="AE789" t="n">
        <v>34</v>
      </c>
      <c r="AF789" t="n">
        <v>9</v>
      </c>
      <c r="AG789" t="n">
        <v>9</v>
      </c>
      <c r="AH789" t="n">
        <v>7</v>
      </c>
      <c r="AI789" t="n">
        <v>7</v>
      </c>
      <c r="AJ789" t="n">
        <v>16</v>
      </c>
      <c r="AK789" t="n">
        <v>16</v>
      </c>
      <c r="AL789" t="n">
        <v>6</v>
      </c>
      <c r="AM789" t="n">
        <v>7</v>
      </c>
      <c r="AN789" t="n">
        <v>0</v>
      </c>
      <c r="AO789" t="n">
        <v>1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HYPERLINK("http://catalog.hathitrust.org/Record/003977804","HathiTrust Record")</f>
        <v/>
      </c>
      <c r="AS789">
        <f>HYPERLINK("https://creighton-primo.hosted.exlibrisgroup.com/primo-explore/search?tab=default_tab&amp;search_scope=EVERYTHING&amp;vid=01CRU&amp;lang=en_US&amp;offset=0&amp;query=any,contains,991002915459702656","Catalog Record")</f>
        <v/>
      </c>
      <c r="AT789">
        <f>HYPERLINK("http://www.worldcat.org/oclc/38549839","WorldCat Record")</f>
        <v/>
      </c>
      <c r="AU789" t="inlineStr">
        <is>
          <t>570024:eng</t>
        </is>
      </c>
      <c r="AV789" t="inlineStr">
        <is>
          <t>38549839</t>
        </is>
      </c>
      <c r="AW789" t="inlineStr">
        <is>
          <t>991002915459702656</t>
        </is>
      </c>
      <c r="AX789" t="inlineStr">
        <is>
          <t>991002915459702656</t>
        </is>
      </c>
      <c r="AY789" t="inlineStr">
        <is>
          <t>2255527210002656</t>
        </is>
      </c>
      <c r="AZ789" t="inlineStr">
        <is>
          <t>BOOK</t>
        </is>
      </c>
      <c r="BB789" t="inlineStr">
        <is>
          <t>9780679430285</t>
        </is>
      </c>
      <c r="BC789" t="inlineStr">
        <is>
          <t>32285003461182</t>
        </is>
      </c>
      <c r="BD789" t="inlineStr">
        <is>
          <t>893428209</t>
        </is>
      </c>
    </row>
    <row r="790">
      <c r="A790" t="inlineStr">
        <is>
          <t>No</t>
        </is>
      </c>
      <c r="B790" t="inlineStr">
        <is>
          <t>QH431 .W79</t>
        </is>
      </c>
      <c r="C790" t="inlineStr">
        <is>
          <t>0                      QH 0431000W  79</t>
        </is>
      </c>
      <c r="D790" t="inlineStr">
        <is>
          <t>Evolution and the genetics of populations : a treatise.</t>
        </is>
      </c>
      <c r="E790" t="inlineStr">
        <is>
          <t>V.3</t>
        </is>
      </c>
      <c r="F790" t="inlineStr">
        <is>
          <t>Yes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Wright, Sewall, 1889-1988.</t>
        </is>
      </c>
      <c r="L790" t="inlineStr">
        <is>
          <t>Chicago : University of Chicago Press, [1968-78]</t>
        </is>
      </c>
      <c r="M790" t="inlineStr">
        <is>
          <t>1968</t>
        </is>
      </c>
      <c r="O790" t="inlineStr">
        <is>
          <t>eng</t>
        </is>
      </c>
      <c r="P790" t="inlineStr">
        <is>
          <t>ilu</t>
        </is>
      </c>
      <c r="R790" t="inlineStr">
        <is>
          <t xml:space="preserve">QH </t>
        </is>
      </c>
      <c r="S790" t="n">
        <v>0</v>
      </c>
      <c r="T790" t="n">
        <v>1</v>
      </c>
      <c r="V790" t="inlineStr">
        <is>
          <t>2001-05-09</t>
        </is>
      </c>
      <c r="W790" t="inlineStr">
        <is>
          <t>2000-01-18</t>
        </is>
      </c>
      <c r="X790" t="inlineStr">
        <is>
          <t>2000-01-18</t>
        </is>
      </c>
      <c r="Y790" t="n">
        <v>884</v>
      </c>
      <c r="Z790" t="n">
        <v>750</v>
      </c>
      <c r="AA790" t="n">
        <v>791</v>
      </c>
      <c r="AB790" t="n">
        <v>5</v>
      </c>
      <c r="AC790" t="n">
        <v>5</v>
      </c>
      <c r="AD790" t="n">
        <v>34</v>
      </c>
      <c r="AE790" t="n">
        <v>35</v>
      </c>
      <c r="AF790" t="n">
        <v>14</v>
      </c>
      <c r="AG790" t="n">
        <v>14</v>
      </c>
      <c r="AH790" t="n">
        <v>4</v>
      </c>
      <c r="AI790" t="n">
        <v>5</v>
      </c>
      <c r="AJ790" t="n">
        <v>19</v>
      </c>
      <c r="AK790" t="n">
        <v>20</v>
      </c>
      <c r="AL790" t="n">
        <v>4</v>
      </c>
      <c r="AM790" t="n">
        <v>4</v>
      </c>
      <c r="AN790" t="n">
        <v>0</v>
      </c>
      <c r="AO790" t="n">
        <v>0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HYPERLINK("http://catalog.hathitrust.org/Record/000760798","HathiTrust Record")</f>
        <v/>
      </c>
      <c r="AS790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0">
        <f>HYPERLINK("http://www.worldcat.org/oclc/551234","WorldCat Record")</f>
        <v/>
      </c>
      <c r="AU790" t="inlineStr">
        <is>
          <t>4757613365:eng</t>
        </is>
      </c>
      <c r="AV790" t="inlineStr">
        <is>
          <t>551234</t>
        </is>
      </c>
      <c r="AW790" t="inlineStr">
        <is>
          <t>991002974649702656</t>
        </is>
      </c>
      <c r="AX790" t="inlineStr">
        <is>
          <t>991002974649702656</t>
        </is>
      </c>
      <c r="AY790" t="inlineStr">
        <is>
          <t>2257569070002656</t>
        </is>
      </c>
      <c r="AZ790" t="inlineStr">
        <is>
          <t>BOOK</t>
        </is>
      </c>
      <c r="BB790" t="inlineStr">
        <is>
          <t>9780226910499</t>
        </is>
      </c>
      <c r="BC790" t="inlineStr">
        <is>
          <t>32285003642294</t>
        </is>
      </c>
      <c r="BD790" t="inlineStr">
        <is>
          <t>893329788</t>
        </is>
      </c>
    </row>
    <row r="791">
      <c r="A791" t="inlineStr">
        <is>
          <t>No</t>
        </is>
      </c>
      <c r="B791" t="inlineStr">
        <is>
          <t>QH431 .W79</t>
        </is>
      </c>
      <c r="C791" t="inlineStr">
        <is>
          <t>0                      QH 0431000W  79</t>
        </is>
      </c>
      <c r="D791" t="inlineStr">
        <is>
          <t>Evolution and the genetics of populations : a treatise.</t>
        </is>
      </c>
      <c r="E791" t="inlineStr">
        <is>
          <t>V.1</t>
        </is>
      </c>
      <c r="F791" t="inlineStr">
        <is>
          <t>Yes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Wright, Sewall, 1889-1988.</t>
        </is>
      </c>
      <c r="L791" t="inlineStr">
        <is>
          <t>Chicago : University of Chicago Press, [1968-78]</t>
        </is>
      </c>
      <c r="M791" t="inlineStr">
        <is>
          <t>1968</t>
        </is>
      </c>
      <c r="O791" t="inlineStr">
        <is>
          <t>eng</t>
        </is>
      </c>
      <c r="P791" t="inlineStr">
        <is>
          <t>ilu</t>
        </is>
      </c>
      <c r="R791" t="inlineStr">
        <is>
          <t xml:space="preserve">QH </t>
        </is>
      </c>
      <c r="S791" t="n">
        <v>1</v>
      </c>
      <c r="T791" t="n">
        <v>1</v>
      </c>
      <c r="U791" t="inlineStr">
        <is>
          <t>2001-05-09</t>
        </is>
      </c>
      <c r="V791" t="inlineStr">
        <is>
          <t>2001-05-09</t>
        </is>
      </c>
      <c r="W791" t="inlineStr">
        <is>
          <t>2000-01-18</t>
        </is>
      </c>
      <c r="X791" t="inlineStr">
        <is>
          <t>2000-01-18</t>
        </is>
      </c>
      <c r="Y791" t="n">
        <v>884</v>
      </c>
      <c r="Z791" t="n">
        <v>750</v>
      </c>
      <c r="AA791" t="n">
        <v>791</v>
      </c>
      <c r="AB791" t="n">
        <v>5</v>
      </c>
      <c r="AC791" t="n">
        <v>5</v>
      </c>
      <c r="AD791" t="n">
        <v>34</v>
      </c>
      <c r="AE791" t="n">
        <v>35</v>
      </c>
      <c r="AF791" t="n">
        <v>14</v>
      </c>
      <c r="AG791" t="n">
        <v>14</v>
      </c>
      <c r="AH791" t="n">
        <v>4</v>
      </c>
      <c r="AI791" t="n">
        <v>5</v>
      </c>
      <c r="AJ791" t="n">
        <v>19</v>
      </c>
      <c r="AK791" t="n">
        <v>20</v>
      </c>
      <c r="AL791" t="n">
        <v>4</v>
      </c>
      <c r="AM791" t="n">
        <v>4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HYPERLINK("http://catalog.hathitrust.org/Record/000760798","HathiTrust Record")</f>
        <v/>
      </c>
      <c r="AS791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1">
        <f>HYPERLINK("http://www.worldcat.org/oclc/551234","WorldCat Record")</f>
        <v/>
      </c>
      <c r="AU791" t="inlineStr">
        <is>
          <t>4757613365:eng</t>
        </is>
      </c>
      <c r="AV791" t="inlineStr">
        <is>
          <t>551234</t>
        </is>
      </c>
      <c r="AW791" t="inlineStr">
        <is>
          <t>991002974649702656</t>
        </is>
      </c>
      <c r="AX791" t="inlineStr">
        <is>
          <t>991002974649702656</t>
        </is>
      </c>
      <c r="AY791" t="inlineStr">
        <is>
          <t>2257569070002656</t>
        </is>
      </c>
      <c r="AZ791" t="inlineStr">
        <is>
          <t>BOOK</t>
        </is>
      </c>
      <c r="BB791" t="inlineStr">
        <is>
          <t>9780226910499</t>
        </is>
      </c>
      <c r="BC791" t="inlineStr">
        <is>
          <t>32285003642286</t>
        </is>
      </c>
      <c r="BD791" t="inlineStr">
        <is>
          <t>893348181</t>
        </is>
      </c>
    </row>
    <row r="792">
      <c r="A792" t="inlineStr">
        <is>
          <t>No</t>
        </is>
      </c>
      <c r="B792" t="inlineStr">
        <is>
          <t>QH431 .W79</t>
        </is>
      </c>
      <c r="C792" t="inlineStr">
        <is>
          <t>0                      QH 0431000W  79</t>
        </is>
      </c>
      <c r="D792" t="inlineStr">
        <is>
          <t>Evolution and the genetics of populations : a treatise.</t>
        </is>
      </c>
      <c r="E792" t="inlineStr">
        <is>
          <t>V.4</t>
        </is>
      </c>
      <c r="F792" t="inlineStr">
        <is>
          <t>Yes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Wright, Sewall, 1889-1988.</t>
        </is>
      </c>
      <c r="L792" t="inlineStr">
        <is>
          <t>Chicago : University of Chicago Press, [1968-78]</t>
        </is>
      </c>
      <c r="M792" t="inlineStr">
        <is>
          <t>1968</t>
        </is>
      </c>
      <c r="O792" t="inlineStr">
        <is>
          <t>eng</t>
        </is>
      </c>
      <c r="P792" t="inlineStr">
        <is>
          <t>ilu</t>
        </is>
      </c>
      <c r="R792" t="inlineStr">
        <is>
          <t xml:space="preserve">QH </t>
        </is>
      </c>
      <c r="S792" t="n">
        <v>0</v>
      </c>
      <c r="T792" t="n">
        <v>1</v>
      </c>
      <c r="V792" t="inlineStr">
        <is>
          <t>2001-05-09</t>
        </is>
      </c>
      <c r="W792" t="inlineStr">
        <is>
          <t>2000-01-18</t>
        </is>
      </c>
      <c r="X792" t="inlineStr">
        <is>
          <t>2000-01-18</t>
        </is>
      </c>
      <c r="Y792" t="n">
        <v>884</v>
      </c>
      <c r="Z792" t="n">
        <v>750</v>
      </c>
      <c r="AA792" t="n">
        <v>791</v>
      </c>
      <c r="AB792" t="n">
        <v>5</v>
      </c>
      <c r="AC792" t="n">
        <v>5</v>
      </c>
      <c r="AD792" t="n">
        <v>34</v>
      </c>
      <c r="AE792" t="n">
        <v>35</v>
      </c>
      <c r="AF792" t="n">
        <v>14</v>
      </c>
      <c r="AG792" t="n">
        <v>14</v>
      </c>
      <c r="AH792" t="n">
        <v>4</v>
      </c>
      <c r="AI792" t="n">
        <v>5</v>
      </c>
      <c r="AJ792" t="n">
        <v>19</v>
      </c>
      <c r="AK792" t="n">
        <v>20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HYPERLINK("http://catalog.hathitrust.org/Record/000760798","HathiTrust Record")</f>
        <v/>
      </c>
      <c r="AS792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2">
        <f>HYPERLINK("http://www.worldcat.org/oclc/551234","WorldCat Record")</f>
        <v/>
      </c>
      <c r="AU792" t="inlineStr">
        <is>
          <t>4757613365:eng</t>
        </is>
      </c>
      <c r="AV792" t="inlineStr">
        <is>
          <t>551234</t>
        </is>
      </c>
      <c r="AW792" t="inlineStr">
        <is>
          <t>991002974649702656</t>
        </is>
      </c>
      <c r="AX792" t="inlineStr">
        <is>
          <t>991002974649702656</t>
        </is>
      </c>
      <c r="AY792" t="inlineStr">
        <is>
          <t>2257569070002656</t>
        </is>
      </c>
      <c r="AZ792" t="inlineStr">
        <is>
          <t>BOOK</t>
        </is>
      </c>
      <c r="BB792" t="inlineStr">
        <is>
          <t>9780226910499</t>
        </is>
      </c>
      <c r="BC792" t="inlineStr">
        <is>
          <t>32285003642302</t>
        </is>
      </c>
      <c r="BD792" t="inlineStr">
        <is>
          <t>893348180</t>
        </is>
      </c>
    </row>
    <row r="793">
      <c r="A793" t="inlineStr">
        <is>
          <t>No</t>
        </is>
      </c>
      <c r="B793" t="inlineStr">
        <is>
          <t>QH431.A1 A3 v. 44</t>
        </is>
      </c>
      <c r="C793" t="inlineStr">
        <is>
          <t>0                      QH 0431000A  1                  A  3                                 v. 44</t>
        </is>
      </c>
      <c r="D793" t="inlineStr">
        <is>
          <t>Tay-Sachs disease / edited by Robert J. Desnick, Michael M. Kaback.</t>
        </is>
      </c>
      <c r="E793" t="inlineStr">
        <is>
          <t>V. 44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San Diego, Calif. ; London : Academic, 2001.</t>
        </is>
      </c>
      <c r="M793" t="inlineStr">
        <is>
          <t>2001</t>
        </is>
      </c>
      <c r="O793" t="inlineStr">
        <is>
          <t>eng</t>
        </is>
      </c>
      <c r="P793" t="inlineStr">
        <is>
          <t>cau</t>
        </is>
      </c>
      <c r="R793" t="inlineStr">
        <is>
          <t xml:space="preserve">QH </t>
        </is>
      </c>
      <c r="S793" t="n">
        <v>3</v>
      </c>
      <c r="T793" t="n">
        <v>3</v>
      </c>
      <c r="U793" t="inlineStr">
        <is>
          <t>2009-11-22</t>
        </is>
      </c>
      <c r="V793" t="inlineStr">
        <is>
          <t>2009-11-22</t>
        </is>
      </c>
      <c r="W793" t="inlineStr">
        <is>
          <t>2005-08-24</t>
        </is>
      </c>
      <c r="X793" t="inlineStr">
        <is>
          <t>2005-08-24</t>
        </is>
      </c>
      <c r="Y793" t="n">
        <v>224</v>
      </c>
      <c r="Z793" t="n">
        <v>159</v>
      </c>
      <c r="AA793" t="n">
        <v>236</v>
      </c>
      <c r="AB793" t="n">
        <v>2</v>
      </c>
      <c r="AC793" t="n">
        <v>3</v>
      </c>
      <c r="AD793" t="n">
        <v>8</v>
      </c>
      <c r="AE793" t="n">
        <v>12</v>
      </c>
      <c r="AF793" t="n">
        <v>3</v>
      </c>
      <c r="AG793" t="n">
        <v>5</v>
      </c>
      <c r="AH793" t="n">
        <v>0</v>
      </c>
      <c r="AI793" t="n">
        <v>1</v>
      </c>
      <c r="AJ793" t="n">
        <v>6</v>
      </c>
      <c r="AK793" t="n">
        <v>6</v>
      </c>
      <c r="AL793" t="n">
        <v>1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HYPERLINK("https://creighton-primo.hosted.exlibrisgroup.com/primo-explore/search?tab=default_tab&amp;search_scope=EVERYTHING&amp;vid=01CRU&amp;lang=en_US&amp;offset=0&amp;query=any,contains,991004633219702656","Catalog Record")</f>
        <v/>
      </c>
      <c r="AT793">
        <f>HYPERLINK("http://www.worldcat.org/oclc/46393297","WorldCat Record")</f>
        <v/>
      </c>
      <c r="AU793" t="inlineStr">
        <is>
          <t>909360971:eng</t>
        </is>
      </c>
      <c r="AV793" t="inlineStr">
        <is>
          <t>46393297</t>
        </is>
      </c>
      <c r="AW793" t="inlineStr">
        <is>
          <t>991004633219702656</t>
        </is>
      </c>
      <c r="AX793" t="inlineStr">
        <is>
          <t>991004633219702656</t>
        </is>
      </c>
      <c r="AY793" t="inlineStr">
        <is>
          <t>2270901610002656</t>
        </is>
      </c>
      <c r="AZ793" t="inlineStr">
        <is>
          <t>BOOK</t>
        </is>
      </c>
      <c r="BB793" t="inlineStr">
        <is>
          <t>9780120176441</t>
        </is>
      </c>
      <c r="BC793" t="inlineStr">
        <is>
          <t>32285004387816</t>
        </is>
      </c>
      <c r="BD793" t="inlineStr">
        <is>
          <t>893888982</t>
        </is>
      </c>
    </row>
    <row r="794">
      <c r="A794" t="inlineStr">
        <is>
          <t>No</t>
        </is>
      </c>
      <c r="B794" t="inlineStr">
        <is>
          <t>QH431.A1 A3 v. 45</t>
        </is>
      </c>
      <c r="C794" t="inlineStr">
        <is>
          <t>0                      QH 0431000A  1                  A  3                                 v. 45</t>
        </is>
      </c>
      <c r="D794" t="inlineStr">
        <is>
          <t>Batten disease : diagnosis, treatment, and research / edited by Krystyna E. Wisniewski, Nanbert Zhong.</t>
        </is>
      </c>
      <c r="E794" t="inlineStr">
        <is>
          <t>V. 45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San Diego : Academic Press, c2001.</t>
        </is>
      </c>
      <c r="M794" t="inlineStr">
        <is>
          <t>2001</t>
        </is>
      </c>
      <c r="O794" t="inlineStr">
        <is>
          <t>eng</t>
        </is>
      </c>
      <c r="P794" t="inlineStr">
        <is>
          <t>cau</t>
        </is>
      </c>
      <c r="Q794" t="inlineStr">
        <is>
          <t>Advances in genetics ; v. 45</t>
        </is>
      </c>
      <c r="R794" t="inlineStr">
        <is>
          <t xml:space="preserve">QH </t>
        </is>
      </c>
      <c r="S794" t="n">
        <v>1</v>
      </c>
      <c r="T794" t="n">
        <v>1</v>
      </c>
      <c r="U794" t="inlineStr">
        <is>
          <t>2006-09-14</t>
        </is>
      </c>
      <c r="V794" t="inlineStr">
        <is>
          <t>2006-09-14</t>
        </is>
      </c>
      <c r="W794" t="inlineStr">
        <is>
          <t>2005-08-24</t>
        </is>
      </c>
      <c r="X794" t="inlineStr">
        <is>
          <t>2005-08-24</t>
        </is>
      </c>
      <c r="Y794" t="n">
        <v>188</v>
      </c>
      <c r="Z794" t="n">
        <v>135</v>
      </c>
      <c r="AA794" t="n">
        <v>209</v>
      </c>
      <c r="AB794" t="n">
        <v>2</v>
      </c>
      <c r="AC794" t="n">
        <v>3</v>
      </c>
      <c r="AD794" t="n">
        <v>7</v>
      </c>
      <c r="AE794" t="n">
        <v>11</v>
      </c>
      <c r="AF794" t="n">
        <v>3</v>
      </c>
      <c r="AG794" t="n">
        <v>5</v>
      </c>
      <c r="AH794" t="n">
        <v>0</v>
      </c>
      <c r="AI794" t="n">
        <v>1</v>
      </c>
      <c r="AJ794" t="n">
        <v>5</v>
      </c>
      <c r="AK794" t="n">
        <v>5</v>
      </c>
      <c r="AL794" t="n">
        <v>1</v>
      </c>
      <c r="AM794" t="n">
        <v>2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HYPERLINK("https://creighton-primo.hosted.exlibrisgroup.com/primo-explore/search?tab=default_tab&amp;search_scope=EVERYTHING&amp;vid=01CRU&amp;lang=en_US&amp;offset=0&amp;query=any,contains,991004633189702656","Catalog Record")</f>
        <v/>
      </c>
      <c r="AT794">
        <f>HYPERLINK("http://www.worldcat.org/oclc/46848769","WorldCat Record")</f>
        <v/>
      </c>
      <c r="AU794" t="inlineStr">
        <is>
          <t>802457116:eng</t>
        </is>
      </c>
      <c r="AV794" t="inlineStr">
        <is>
          <t>46848769</t>
        </is>
      </c>
      <c r="AW794" t="inlineStr">
        <is>
          <t>991004633189702656</t>
        </is>
      </c>
      <c r="AX794" t="inlineStr">
        <is>
          <t>991004633189702656</t>
        </is>
      </c>
      <c r="AY794" t="inlineStr">
        <is>
          <t>2268536710002656</t>
        </is>
      </c>
      <c r="AZ794" t="inlineStr">
        <is>
          <t>BOOK</t>
        </is>
      </c>
      <c r="BB794" t="inlineStr">
        <is>
          <t>9780120176458</t>
        </is>
      </c>
      <c r="BC794" t="inlineStr">
        <is>
          <t>32285004325386</t>
        </is>
      </c>
      <c r="BD794" t="inlineStr">
        <is>
          <t>893532620</t>
        </is>
      </c>
    </row>
    <row r="795">
      <c r="A795" t="inlineStr">
        <is>
          <t>No</t>
        </is>
      </c>
      <c r="B795" t="inlineStr">
        <is>
          <t>QH431.A1 A3 v. 51</t>
        </is>
      </c>
      <c r="C795" t="inlineStr">
        <is>
          <t>0                      QH 0431000A  1                  A  3                                 v. 51</t>
        </is>
      </c>
      <c r="D795" t="inlineStr">
        <is>
          <t>Gene doping in sports : the science and ethics of genetically modified athletes / Angela J. Schneider, Theodore Friedmann.</t>
        </is>
      </c>
      <c r="E795" t="inlineStr">
        <is>
          <t>V. 51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Schneider, Angela Jo-Anne, 1959-</t>
        </is>
      </c>
      <c r="L795" t="inlineStr">
        <is>
          <t>Boston : Elsevier Academic Press, c2006.</t>
        </is>
      </c>
      <c r="M795" t="inlineStr">
        <is>
          <t>2006</t>
        </is>
      </c>
      <c r="O795" t="inlineStr">
        <is>
          <t>eng</t>
        </is>
      </c>
      <c r="P795" t="inlineStr">
        <is>
          <t>mau</t>
        </is>
      </c>
      <c r="Q795" t="inlineStr">
        <is>
          <t>Advances in genetics ; v. 51</t>
        </is>
      </c>
      <c r="R795" t="inlineStr">
        <is>
          <t xml:space="preserve">QH </t>
        </is>
      </c>
      <c r="S795" t="n">
        <v>1</v>
      </c>
      <c r="T795" t="n">
        <v>1</v>
      </c>
      <c r="U795" t="inlineStr">
        <is>
          <t>2006-05-03</t>
        </is>
      </c>
      <c r="V795" t="inlineStr">
        <is>
          <t>2006-05-03</t>
        </is>
      </c>
      <c r="W795" t="inlineStr">
        <is>
          <t>2006-05-03</t>
        </is>
      </c>
      <c r="X795" t="inlineStr">
        <is>
          <t>2006-05-03</t>
        </is>
      </c>
      <c r="Y795" t="n">
        <v>245</v>
      </c>
      <c r="Z795" t="n">
        <v>180</v>
      </c>
      <c r="AA795" t="n">
        <v>294</v>
      </c>
      <c r="AB795" t="n">
        <v>2</v>
      </c>
      <c r="AC795" t="n">
        <v>3</v>
      </c>
      <c r="AD795" t="n">
        <v>10</v>
      </c>
      <c r="AE795" t="n">
        <v>13</v>
      </c>
      <c r="AF795" t="n">
        <v>5</v>
      </c>
      <c r="AG795" t="n">
        <v>6</v>
      </c>
      <c r="AH795" t="n">
        <v>0</v>
      </c>
      <c r="AI795" t="n">
        <v>1</v>
      </c>
      <c r="AJ795" t="n">
        <v>5</v>
      </c>
      <c r="AK795" t="n">
        <v>5</v>
      </c>
      <c r="AL795" t="n">
        <v>1</v>
      </c>
      <c r="AM795" t="n">
        <v>2</v>
      </c>
      <c r="AN795" t="n">
        <v>1</v>
      </c>
      <c r="AO795" t="n">
        <v>1</v>
      </c>
      <c r="AP795" t="inlineStr">
        <is>
          <t>No</t>
        </is>
      </c>
      <c r="AQ795" t="inlineStr">
        <is>
          <t>No</t>
        </is>
      </c>
      <c r="AS795">
        <f>HYPERLINK("https://creighton-primo.hosted.exlibrisgroup.com/primo-explore/search?tab=default_tab&amp;search_scope=EVERYTHING&amp;vid=01CRU&amp;lang=en_US&amp;offset=0&amp;query=any,contains,991004812669702656","Catalog Record")</f>
        <v/>
      </c>
      <c r="AT795">
        <f>HYPERLINK("http://www.worldcat.org/oclc/65177501","WorldCat Record")</f>
        <v/>
      </c>
      <c r="AU795" t="inlineStr">
        <is>
          <t>800759408:eng</t>
        </is>
      </c>
      <c r="AV795" t="inlineStr">
        <is>
          <t>65177501</t>
        </is>
      </c>
      <c r="AW795" t="inlineStr">
        <is>
          <t>991004812669702656</t>
        </is>
      </c>
      <c r="AX795" t="inlineStr">
        <is>
          <t>991004812669702656</t>
        </is>
      </c>
      <c r="AY795" t="inlineStr">
        <is>
          <t>2256094910002656</t>
        </is>
      </c>
      <c r="AZ795" t="inlineStr">
        <is>
          <t>BOOK</t>
        </is>
      </c>
      <c r="BB795" t="inlineStr">
        <is>
          <t>9780120176519</t>
        </is>
      </c>
      <c r="BC795" t="inlineStr">
        <is>
          <t>32285005185060</t>
        </is>
      </c>
      <c r="BD795" t="inlineStr">
        <is>
          <t>893789128</t>
        </is>
      </c>
    </row>
    <row r="796">
      <c r="A796" t="inlineStr">
        <is>
          <t>No</t>
        </is>
      </c>
      <c r="B796" t="inlineStr">
        <is>
          <t>QH431.A1 A3 v. 59</t>
        </is>
      </c>
      <c r="C796" t="inlineStr">
        <is>
          <t>0                      QH 0431000A  1                  A  3                                 v. 59</t>
        </is>
      </c>
      <c r="D796" t="inlineStr">
        <is>
          <t>Genetics of sexual differentiation and sexually dimorphic behaviors / edited by Daisuke Yamamoto.</t>
        </is>
      </c>
      <c r="E796" t="inlineStr">
        <is>
          <t>V. 59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Amsterdam ; Boston : Elsevier/AP, c2007.</t>
        </is>
      </c>
      <c r="M796" t="inlineStr">
        <is>
          <t>2007</t>
        </is>
      </c>
      <c r="N796" t="inlineStr">
        <is>
          <t>1st ed.</t>
        </is>
      </c>
      <c r="O796" t="inlineStr">
        <is>
          <t>eng</t>
        </is>
      </c>
      <c r="P796" t="inlineStr">
        <is>
          <t xml:space="preserve">ne </t>
        </is>
      </c>
      <c r="Q796" t="inlineStr">
        <is>
          <t>Advances in genetics, 0065-2660 ; v. 59</t>
        </is>
      </c>
      <c r="R796" t="inlineStr">
        <is>
          <t xml:space="preserve">QH </t>
        </is>
      </c>
      <c r="S796" t="n">
        <v>1</v>
      </c>
      <c r="T796" t="n">
        <v>1</v>
      </c>
      <c r="U796" t="inlineStr">
        <is>
          <t>2007-10-08</t>
        </is>
      </c>
      <c r="V796" t="inlineStr">
        <is>
          <t>2007-10-08</t>
        </is>
      </c>
      <c r="W796" t="inlineStr">
        <is>
          <t>2007-10-08</t>
        </is>
      </c>
      <c r="X796" t="inlineStr">
        <is>
          <t>2007-10-08</t>
        </is>
      </c>
      <c r="Y796" t="n">
        <v>157</v>
      </c>
      <c r="Z796" t="n">
        <v>117</v>
      </c>
      <c r="AA796" t="n">
        <v>202</v>
      </c>
      <c r="AB796" t="n">
        <v>2</v>
      </c>
      <c r="AC796" t="n">
        <v>3</v>
      </c>
      <c r="AD796" t="n">
        <v>8</v>
      </c>
      <c r="AE796" t="n">
        <v>13</v>
      </c>
      <c r="AF796" t="n">
        <v>4</v>
      </c>
      <c r="AG796" t="n">
        <v>6</v>
      </c>
      <c r="AH796" t="n">
        <v>0</v>
      </c>
      <c r="AI796" t="n">
        <v>2</v>
      </c>
      <c r="AJ796" t="n">
        <v>5</v>
      </c>
      <c r="AK796" t="n">
        <v>5</v>
      </c>
      <c r="AL796" t="n">
        <v>1</v>
      </c>
      <c r="AM796" t="n">
        <v>2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HYPERLINK("https://creighton-primo.hosted.exlibrisgroup.com/primo-explore/search?tab=default_tab&amp;search_scope=EVERYTHING&amp;vid=01CRU&amp;lang=en_US&amp;offset=0&amp;query=any,contains,991005123349702656","Catalog Record")</f>
        <v/>
      </c>
      <c r="AT796">
        <f>HYPERLINK("http://www.worldcat.org/oclc/168503370","WorldCat Record")</f>
        <v/>
      </c>
      <c r="AU796" t="inlineStr">
        <is>
          <t>863640979:eng</t>
        </is>
      </c>
      <c r="AV796" t="inlineStr">
        <is>
          <t>168503370</t>
        </is>
      </c>
      <c r="AW796" t="inlineStr">
        <is>
          <t>991005123349702656</t>
        </is>
      </c>
      <c r="AX796" t="inlineStr">
        <is>
          <t>991005123349702656</t>
        </is>
      </c>
      <c r="AY796" t="inlineStr">
        <is>
          <t>2270324600002656</t>
        </is>
      </c>
      <c r="AZ796" t="inlineStr">
        <is>
          <t>BOOK</t>
        </is>
      </c>
      <c r="BB796" t="inlineStr">
        <is>
          <t>9780120176601</t>
        </is>
      </c>
      <c r="BC796" t="inlineStr">
        <is>
          <t>32285005329015</t>
        </is>
      </c>
      <c r="BD796" t="inlineStr">
        <is>
          <t>893719812</t>
        </is>
      </c>
    </row>
    <row r="797">
      <c r="A797" t="inlineStr">
        <is>
          <t>No</t>
        </is>
      </c>
      <c r="B797" t="inlineStr">
        <is>
          <t>QH431.A1 A3 v. 65</t>
        </is>
      </c>
      <c r="C797" t="inlineStr">
        <is>
          <t>0                      QH 0431000A  1                  A  3                                 v. 65</t>
        </is>
      </c>
      <c r="D797" t="inlineStr">
        <is>
          <t>Genetic dissection of neural circuits and behavior / edited by Stephen F. Goodwin.</t>
        </is>
      </c>
      <c r="E797" t="inlineStr">
        <is>
          <t>V. 65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Amsterdam ; Boston : Academic Press, c2009.</t>
        </is>
      </c>
      <c r="M797" t="inlineStr">
        <is>
          <t>2009</t>
        </is>
      </c>
      <c r="N797" t="inlineStr">
        <is>
          <t>1st ed.</t>
        </is>
      </c>
      <c r="O797" t="inlineStr">
        <is>
          <t>eng</t>
        </is>
      </c>
      <c r="P797" t="inlineStr">
        <is>
          <t xml:space="preserve">ne </t>
        </is>
      </c>
      <c r="Q797" t="inlineStr">
        <is>
          <t>Advances in genetics, 0065-2660 ; v. 65</t>
        </is>
      </c>
      <c r="R797" t="inlineStr">
        <is>
          <t xml:space="preserve">QH </t>
        </is>
      </c>
      <c r="S797" t="n">
        <v>1</v>
      </c>
      <c r="T797" t="n">
        <v>1</v>
      </c>
      <c r="U797" t="inlineStr">
        <is>
          <t>2009-12-17</t>
        </is>
      </c>
      <c r="V797" t="inlineStr">
        <is>
          <t>2009-12-17</t>
        </is>
      </c>
      <c r="W797" t="inlineStr">
        <is>
          <t>2009-12-17</t>
        </is>
      </c>
      <c r="X797" t="inlineStr">
        <is>
          <t>2009-12-17</t>
        </is>
      </c>
      <c r="Y797" t="n">
        <v>128</v>
      </c>
      <c r="Z797" t="n">
        <v>100</v>
      </c>
      <c r="AA797" t="n">
        <v>196</v>
      </c>
      <c r="AB797" t="n">
        <v>3</v>
      </c>
      <c r="AC797" t="n">
        <v>3</v>
      </c>
      <c r="AD797" t="n">
        <v>8</v>
      </c>
      <c r="AE797" t="n">
        <v>12</v>
      </c>
      <c r="AF797" t="n">
        <v>3</v>
      </c>
      <c r="AG797" t="n">
        <v>5</v>
      </c>
      <c r="AH797" t="n">
        <v>0</v>
      </c>
      <c r="AI797" t="n">
        <v>2</v>
      </c>
      <c r="AJ797" t="n">
        <v>5</v>
      </c>
      <c r="AK797" t="n">
        <v>5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HYPERLINK("https://creighton-primo.hosted.exlibrisgroup.com/primo-explore/search?tab=default_tab&amp;search_scope=EVERYTHING&amp;vid=01CRU&amp;lang=en_US&amp;offset=0&amp;query=any,contains,991005345099702656","Catalog Record")</f>
        <v/>
      </c>
      <c r="AT797">
        <f>HYPERLINK("http://www.worldcat.org/oclc/297146009","WorldCat Record")</f>
        <v/>
      </c>
      <c r="AU797" t="inlineStr">
        <is>
          <t>888555698:eng</t>
        </is>
      </c>
      <c r="AV797" t="inlineStr">
        <is>
          <t>297146009</t>
        </is>
      </c>
      <c r="AW797" t="inlineStr">
        <is>
          <t>991005345099702656</t>
        </is>
      </c>
      <c r="AX797" t="inlineStr">
        <is>
          <t>991005345099702656</t>
        </is>
      </c>
      <c r="AY797" t="inlineStr">
        <is>
          <t>2257901600002656</t>
        </is>
      </c>
      <c r="AZ797" t="inlineStr">
        <is>
          <t>BOOK</t>
        </is>
      </c>
      <c r="BB797" t="inlineStr">
        <is>
          <t>9780123748362</t>
        </is>
      </c>
      <c r="BC797" t="inlineStr">
        <is>
          <t>32285005554018</t>
        </is>
      </c>
      <c r="BD797" t="inlineStr">
        <is>
          <t>893431274</t>
        </is>
      </c>
    </row>
    <row r="798">
      <c r="A798" t="inlineStr">
        <is>
          <t>No</t>
        </is>
      </c>
      <c r="B798" t="inlineStr">
        <is>
          <t>QH431.A1 A3 v.63</t>
        </is>
      </c>
      <c r="C798" t="inlineStr">
        <is>
          <t>0                      QH 0431000A  1                  A  3                                 v.63</t>
        </is>
      </c>
      <c r="D798" t="inlineStr">
        <is>
          <t>Ion channel diseases / edited by Guy Rouleau, Claudia Gaspar.</t>
        </is>
      </c>
      <c r="E798" t="inlineStr">
        <is>
          <t>V. 63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Amsterdam ; Boston : Academic Press, c2008.</t>
        </is>
      </c>
      <c r="M798" t="inlineStr">
        <is>
          <t>2008</t>
        </is>
      </c>
      <c r="O798" t="inlineStr">
        <is>
          <t>eng</t>
        </is>
      </c>
      <c r="P798" t="inlineStr">
        <is>
          <t xml:space="preserve">ne </t>
        </is>
      </c>
      <c r="Q798" t="inlineStr">
        <is>
          <t>Advances in genetics ; v. 63</t>
        </is>
      </c>
      <c r="R798" t="inlineStr">
        <is>
          <t xml:space="preserve">QH </t>
        </is>
      </c>
      <c r="S798" t="n">
        <v>1</v>
      </c>
      <c r="T798" t="n">
        <v>1</v>
      </c>
      <c r="U798" t="inlineStr">
        <is>
          <t>2009-02-17</t>
        </is>
      </c>
      <c r="V798" t="inlineStr">
        <is>
          <t>2009-02-17</t>
        </is>
      </c>
      <c r="W798" t="inlineStr">
        <is>
          <t>2009-02-17</t>
        </is>
      </c>
      <c r="X798" t="inlineStr">
        <is>
          <t>2009-02-17</t>
        </is>
      </c>
      <c r="Y798" t="n">
        <v>128</v>
      </c>
      <c r="Z798" t="n">
        <v>96</v>
      </c>
      <c r="AA798" t="n">
        <v>117</v>
      </c>
      <c r="AB798" t="n">
        <v>2</v>
      </c>
      <c r="AC798" t="n">
        <v>2</v>
      </c>
      <c r="AD798" t="n">
        <v>7</v>
      </c>
      <c r="AE798" t="n">
        <v>8</v>
      </c>
      <c r="AF798" t="n">
        <v>3</v>
      </c>
      <c r="AG798" t="n">
        <v>3</v>
      </c>
      <c r="AH798" t="n">
        <v>0</v>
      </c>
      <c r="AI798" t="n">
        <v>1</v>
      </c>
      <c r="AJ798" t="n">
        <v>5</v>
      </c>
      <c r="AK798" t="n">
        <v>5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HYPERLINK("https://creighton-primo.hosted.exlibrisgroup.com/primo-explore/search?tab=default_tab&amp;search_scope=EVERYTHING&amp;vid=01CRU&amp;lang=en_US&amp;offset=0&amp;query=any,contains,991005292659702656","Catalog Record")</f>
        <v/>
      </c>
      <c r="AT798">
        <f>HYPERLINK("http://www.worldcat.org/oclc/234450069","WorldCat Record")</f>
        <v/>
      </c>
      <c r="AU798" t="inlineStr">
        <is>
          <t>368845826:eng</t>
        </is>
      </c>
      <c r="AV798" t="inlineStr">
        <is>
          <t>234450069</t>
        </is>
      </c>
      <c r="AW798" t="inlineStr">
        <is>
          <t>991005292659702656</t>
        </is>
      </c>
      <c r="AX798" t="inlineStr">
        <is>
          <t>991005292659702656</t>
        </is>
      </c>
      <c r="AY798" t="inlineStr">
        <is>
          <t>2268588850002656</t>
        </is>
      </c>
      <c r="AZ798" t="inlineStr">
        <is>
          <t>BOOK</t>
        </is>
      </c>
      <c r="BB798" t="inlineStr">
        <is>
          <t>9780123745279</t>
        </is>
      </c>
      <c r="BC798" t="inlineStr">
        <is>
          <t>32285005504328</t>
        </is>
      </c>
      <c r="BD798" t="inlineStr">
        <is>
          <t>893242497</t>
        </is>
      </c>
    </row>
    <row r="799">
      <c r="A799" t="inlineStr">
        <is>
          <t>No</t>
        </is>
      </c>
      <c r="B799" t="inlineStr">
        <is>
          <t>QH431.A1 A3 v.68</t>
        </is>
      </c>
      <c r="C799" t="inlineStr">
        <is>
          <t>0                      QH 0431000A  1                  A  3                                 v.68</t>
        </is>
      </c>
      <c r="D799" t="inlineStr">
        <is>
          <t>Socio-genetics / edited by Marla B. Sokolowski.</t>
        </is>
      </c>
      <c r="E799" t="inlineStr">
        <is>
          <t>V. 68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L799" t="inlineStr">
        <is>
          <t>San Diego, CA : Academic Press, 2009.</t>
        </is>
      </c>
      <c r="M799" t="inlineStr">
        <is>
          <t>2009</t>
        </is>
      </c>
      <c r="N799" t="inlineStr">
        <is>
          <t>1st ed.</t>
        </is>
      </c>
      <c r="O799" t="inlineStr">
        <is>
          <t>eng</t>
        </is>
      </c>
      <c r="P799" t="inlineStr">
        <is>
          <t>cau</t>
        </is>
      </c>
      <c r="Q799" t="inlineStr">
        <is>
          <t>Advances in genetics, 0065-2660 ; v. 68</t>
        </is>
      </c>
      <c r="R799" t="inlineStr">
        <is>
          <t xml:space="preserve">QH </t>
        </is>
      </c>
      <c r="S799" t="n">
        <v>1</v>
      </c>
      <c r="T799" t="n">
        <v>1</v>
      </c>
      <c r="U799" t="inlineStr">
        <is>
          <t>2010-06-09</t>
        </is>
      </c>
      <c r="V799" t="inlineStr">
        <is>
          <t>2010-06-09</t>
        </is>
      </c>
      <c r="W799" t="inlineStr">
        <is>
          <t>2010-06-09</t>
        </is>
      </c>
      <c r="X799" t="inlineStr">
        <is>
          <t>2010-06-09</t>
        </is>
      </c>
      <c r="Y799" t="n">
        <v>96</v>
      </c>
      <c r="Z799" t="n">
        <v>75</v>
      </c>
      <c r="AA799" t="n">
        <v>168</v>
      </c>
      <c r="AB799" t="n">
        <v>2</v>
      </c>
      <c r="AC799" t="n">
        <v>3</v>
      </c>
      <c r="AD799" t="n">
        <v>6</v>
      </c>
      <c r="AE799" t="n">
        <v>12</v>
      </c>
      <c r="AF799" t="n">
        <v>3</v>
      </c>
      <c r="AG799" t="n">
        <v>5</v>
      </c>
      <c r="AH799" t="n">
        <v>0</v>
      </c>
      <c r="AI799" t="n">
        <v>2</v>
      </c>
      <c r="AJ799" t="n">
        <v>4</v>
      </c>
      <c r="AK799" t="n">
        <v>5</v>
      </c>
      <c r="AL799" t="n">
        <v>1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HYPERLINK("https://creighton-primo.hosted.exlibrisgroup.com/primo-explore/search?tab=default_tab&amp;search_scope=EVERYTHING&amp;vid=01CRU&amp;lang=en_US&amp;offset=0&amp;query=any,contains,991005393509702656","Catalog Record")</f>
        <v/>
      </c>
      <c r="AT799">
        <f>HYPERLINK("http://www.worldcat.org/oclc/318877753","WorldCat Record")</f>
        <v/>
      </c>
      <c r="AU799" t="inlineStr">
        <is>
          <t>195942745:eng</t>
        </is>
      </c>
      <c r="AV799" t="inlineStr">
        <is>
          <t>318877753</t>
        </is>
      </c>
      <c r="AW799" t="inlineStr">
        <is>
          <t>991005393509702656</t>
        </is>
      </c>
      <c r="AX799" t="inlineStr">
        <is>
          <t>991005393509702656</t>
        </is>
      </c>
      <c r="AY799" t="inlineStr">
        <is>
          <t>2264217430002656</t>
        </is>
      </c>
      <c r="AZ799" t="inlineStr">
        <is>
          <t>BOOK</t>
        </is>
      </c>
      <c r="BB799" t="inlineStr">
        <is>
          <t>9780123748966</t>
        </is>
      </c>
      <c r="BC799" t="inlineStr">
        <is>
          <t>32285005587695</t>
        </is>
      </c>
      <c r="BD799" t="inlineStr">
        <is>
          <t>893594979</t>
        </is>
      </c>
    </row>
    <row r="800">
      <c r="A800" t="inlineStr">
        <is>
          <t>No</t>
        </is>
      </c>
      <c r="B800" t="inlineStr">
        <is>
          <t>QH432 .V36 1987</t>
        </is>
      </c>
      <c r="C800" t="inlineStr">
        <is>
          <t>0                      QH 0432000V  36          1987</t>
        </is>
      </c>
      <c r="D800" t="inlineStr">
        <is>
          <t>Genetics for the animal sciences / L. Dale Van Vleck, E. John Pollak, E.A. Branford Oltenacu.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Van Vleck, L. Dale (Lloyd Dale), 1933-</t>
        </is>
      </c>
      <c r="L800" t="inlineStr">
        <is>
          <t>New York : W.H. Freeman, c1987.</t>
        </is>
      </c>
      <c r="M800" t="inlineStr">
        <is>
          <t>1987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QH </t>
        </is>
      </c>
      <c r="S800" t="n">
        <v>3</v>
      </c>
      <c r="T800" t="n">
        <v>3</v>
      </c>
      <c r="U800" t="inlineStr">
        <is>
          <t>2006-01-18</t>
        </is>
      </c>
      <c r="V800" t="inlineStr">
        <is>
          <t>2006-01-18</t>
        </is>
      </c>
      <c r="W800" t="inlineStr">
        <is>
          <t>1992-03-09</t>
        </is>
      </c>
      <c r="X800" t="inlineStr">
        <is>
          <t>1992-03-09</t>
        </is>
      </c>
      <c r="Y800" t="n">
        <v>254</v>
      </c>
      <c r="Z800" t="n">
        <v>167</v>
      </c>
      <c r="AA800" t="n">
        <v>167</v>
      </c>
      <c r="AB800" t="n">
        <v>4</v>
      </c>
      <c r="AC800" t="n">
        <v>4</v>
      </c>
      <c r="AD800" t="n">
        <v>7</v>
      </c>
      <c r="AE800" t="n">
        <v>7</v>
      </c>
      <c r="AF800" t="n">
        <v>1</v>
      </c>
      <c r="AG800" t="n">
        <v>1</v>
      </c>
      <c r="AH800" t="n">
        <v>0</v>
      </c>
      <c r="AI800" t="n">
        <v>0</v>
      </c>
      <c r="AJ800" t="n">
        <v>3</v>
      </c>
      <c r="AK800" t="n">
        <v>3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HYPERLINK("https://creighton-primo.hosted.exlibrisgroup.com/primo-explore/search?tab=default_tab&amp;search_scope=EVERYTHING&amp;vid=01CRU&amp;lang=en_US&amp;offset=0&amp;query=any,contains,991000833879702656","Catalog Record")</f>
        <v/>
      </c>
      <c r="AT800">
        <f>HYPERLINK("http://www.worldcat.org/oclc/13457004","WorldCat Record")</f>
        <v/>
      </c>
      <c r="AU800" t="inlineStr">
        <is>
          <t>6881491:eng</t>
        </is>
      </c>
      <c r="AV800" t="inlineStr">
        <is>
          <t>13457004</t>
        </is>
      </c>
      <c r="AW800" t="inlineStr">
        <is>
          <t>991000833879702656</t>
        </is>
      </c>
      <c r="AX800" t="inlineStr">
        <is>
          <t>991000833879702656</t>
        </is>
      </c>
      <c r="AY800" t="inlineStr">
        <is>
          <t>2255714040002656</t>
        </is>
      </c>
      <c r="AZ800" t="inlineStr">
        <is>
          <t>BOOK</t>
        </is>
      </c>
      <c r="BB800" t="inlineStr">
        <is>
          <t>9780716718000</t>
        </is>
      </c>
      <c r="BC800" t="inlineStr">
        <is>
          <t>32285000993229</t>
        </is>
      </c>
      <c r="BD800" t="inlineStr">
        <is>
          <t>893696210</t>
        </is>
      </c>
    </row>
    <row r="801">
      <c r="A801" t="inlineStr">
        <is>
          <t>No</t>
        </is>
      </c>
      <c r="B801" t="inlineStr">
        <is>
          <t>QH433 .G7</t>
        </is>
      </c>
      <c r="C801" t="inlineStr">
        <is>
          <t>0                      QH 0433000G  7</t>
        </is>
      </c>
      <c r="D801" t="inlineStr">
        <is>
          <t>Genetics of flowering plants.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Grant, Verne.</t>
        </is>
      </c>
      <c r="L801" t="inlineStr">
        <is>
          <t>New York, Columbia University Press, 1975.</t>
        </is>
      </c>
      <c r="M801" t="inlineStr">
        <is>
          <t>1975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QH </t>
        </is>
      </c>
      <c r="S801" t="n">
        <v>5</v>
      </c>
      <c r="T801" t="n">
        <v>5</v>
      </c>
      <c r="U801" t="inlineStr">
        <is>
          <t>1997-02-11</t>
        </is>
      </c>
      <c r="V801" t="inlineStr">
        <is>
          <t>1997-02-11</t>
        </is>
      </c>
      <c r="W801" t="inlineStr">
        <is>
          <t>1992-11-24</t>
        </is>
      </c>
      <c r="X801" t="inlineStr">
        <is>
          <t>1992-11-24</t>
        </is>
      </c>
      <c r="Y801" t="n">
        <v>823</v>
      </c>
      <c r="Z801" t="n">
        <v>673</v>
      </c>
      <c r="AA801" t="n">
        <v>674</v>
      </c>
      <c r="AB801" t="n">
        <v>7</v>
      </c>
      <c r="AC801" t="n">
        <v>7</v>
      </c>
      <c r="AD801" t="n">
        <v>28</v>
      </c>
      <c r="AE801" t="n">
        <v>28</v>
      </c>
      <c r="AF801" t="n">
        <v>10</v>
      </c>
      <c r="AG801" t="n">
        <v>10</v>
      </c>
      <c r="AH801" t="n">
        <v>5</v>
      </c>
      <c r="AI801" t="n">
        <v>5</v>
      </c>
      <c r="AJ801" t="n">
        <v>11</v>
      </c>
      <c r="AK801" t="n">
        <v>11</v>
      </c>
      <c r="AL801" t="n">
        <v>6</v>
      </c>
      <c r="AM801" t="n">
        <v>6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HYPERLINK("https://creighton-primo.hosted.exlibrisgroup.com/primo-explore/search?tab=default_tab&amp;search_scope=EVERYTHING&amp;vid=01CRU&amp;lang=en_US&amp;offset=0&amp;query=any,contains,991003448449702656","Catalog Record")</f>
        <v/>
      </c>
      <c r="AT801">
        <f>HYPERLINK("http://www.worldcat.org/oclc/984076","WorldCat Record")</f>
        <v/>
      </c>
      <c r="AU801" t="inlineStr">
        <is>
          <t>419817:eng</t>
        </is>
      </c>
      <c r="AV801" t="inlineStr">
        <is>
          <t>984076</t>
        </is>
      </c>
      <c r="AW801" t="inlineStr">
        <is>
          <t>991003448449702656</t>
        </is>
      </c>
      <c r="AX801" t="inlineStr">
        <is>
          <t>991003448449702656</t>
        </is>
      </c>
      <c r="AY801" t="inlineStr">
        <is>
          <t>2272754510002656</t>
        </is>
      </c>
      <c r="AZ801" t="inlineStr">
        <is>
          <t>BOOK</t>
        </is>
      </c>
      <c r="BB801" t="inlineStr">
        <is>
          <t>9780231036948</t>
        </is>
      </c>
      <c r="BC801" t="inlineStr">
        <is>
          <t>32285001409704</t>
        </is>
      </c>
      <c r="BD801" t="inlineStr">
        <is>
          <t>893799721</t>
        </is>
      </c>
    </row>
    <row r="802">
      <c r="A802" t="inlineStr">
        <is>
          <t>No</t>
        </is>
      </c>
      <c r="B802" t="inlineStr">
        <is>
          <t>QH433 .S95 1976</t>
        </is>
      </c>
      <c r="C802" t="inlineStr">
        <is>
          <t>0                      QH 0433000S  95          1976</t>
        </is>
      </c>
      <c r="D802" t="inlineStr">
        <is>
          <t>Molecular biology of plants / edited by Irwin Rubenstein ... [et al.].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Symposium on Topics in Plant Molecular Biology (1976 : University of Minnesota)</t>
        </is>
      </c>
      <c r="L802" t="inlineStr">
        <is>
          <t>New York : Academic Press, 1979.</t>
        </is>
      </c>
      <c r="M802" t="inlineStr">
        <is>
          <t>1979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QH </t>
        </is>
      </c>
      <c r="S802" t="n">
        <v>2</v>
      </c>
      <c r="T802" t="n">
        <v>2</v>
      </c>
      <c r="U802" t="inlineStr">
        <is>
          <t>1998-02-25</t>
        </is>
      </c>
      <c r="V802" t="inlineStr">
        <is>
          <t>1998-02-25</t>
        </is>
      </c>
      <c r="W802" t="inlineStr">
        <is>
          <t>1993-04-07</t>
        </is>
      </c>
      <c r="X802" t="inlineStr">
        <is>
          <t>1993-04-07</t>
        </is>
      </c>
      <c r="Y802" t="n">
        <v>304</v>
      </c>
      <c r="Z802" t="n">
        <v>212</v>
      </c>
      <c r="AA802" t="n">
        <v>258</v>
      </c>
      <c r="AB802" t="n">
        <v>3</v>
      </c>
      <c r="AC802" t="n">
        <v>3</v>
      </c>
      <c r="AD802" t="n">
        <v>6</v>
      </c>
      <c r="AE802" t="n">
        <v>9</v>
      </c>
      <c r="AF802" t="n">
        <v>1</v>
      </c>
      <c r="AG802" t="n">
        <v>3</v>
      </c>
      <c r="AH802" t="n">
        <v>3</v>
      </c>
      <c r="AI802" t="n">
        <v>5</v>
      </c>
      <c r="AJ802" t="n">
        <v>2</v>
      </c>
      <c r="AK802" t="n">
        <v>2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HYPERLINK("http://catalog.hathitrust.org/Record/007475225","HathiTrust Record")</f>
        <v/>
      </c>
      <c r="AS802">
        <f>HYPERLINK("https://creighton-primo.hosted.exlibrisgroup.com/primo-explore/search?tab=default_tab&amp;search_scope=EVERYTHING&amp;vid=01CRU&amp;lang=en_US&amp;offset=0&amp;query=any,contains,991004808499702656","Catalog Record")</f>
        <v/>
      </c>
      <c r="AT802">
        <f>HYPERLINK("http://www.worldcat.org/oclc/5264480","WorldCat Record")</f>
        <v/>
      </c>
      <c r="AU802" t="inlineStr">
        <is>
          <t>3944126158:eng</t>
        </is>
      </c>
      <c r="AV802" t="inlineStr">
        <is>
          <t>5264480</t>
        </is>
      </c>
      <c r="AW802" t="inlineStr">
        <is>
          <t>991004808499702656</t>
        </is>
      </c>
      <c r="AX802" t="inlineStr">
        <is>
          <t>991004808499702656</t>
        </is>
      </c>
      <c r="AY802" t="inlineStr">
        <is>
          <t>2259062650002656</t>
        </is>
      </c>
      <c r="AZ802" t="inlineStr">
        <is>
          <t>BOOK</t>
        </is>
      </c>
      <c r="BB802" t="inlineStr">
        <is>
          <t>9780126019506</t>
        </is>
      </c>
      <c r="BC802" t="inlineStr">
        <is>
          <t>32285001554756</t>
        </is>
      </c>
      <c r="BD802" t="inlineStr">
        <is>
          <t>893411976</t>
        </is>
      </c>
    </row>
    <row r="803">
      <c r="A803" t="inlineStr">
        <is>
          <t>No</t>
        </is>
      </c>
      <c r="B803" t="inlineStr">
        <is>
          <t>QH434 .B33 1990</t>
        </is>
      </c>
      <c r="C803" t="inlineStr">
        <is>
          <t>0                      QH 0434000B  33          1990</t>
        </is>
      </c>
      <c r="D803" t="inlineStr">
        <is>
          <t>The Bacterial chromosome / edited by Karl Drlica, Monica Riley.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L803" t="inlineStr">
        <is>
          <t>Washington, D.C. : American Society for Microbiology, c1990.</t>
        </is>
      </c>
      <c r="M803" t="inlineStr">
        <is>
          <t>1990</t>
        </is>
      </c>
      <c r="O803" t="inlineStr">
        <is>
          <t>eng</t>
        </is>
      </c>
      <c r="P803" t="inlineStr">
        <is>
          <t>dcu</t>
        </is>
      </c>
      <c r="R803" t="inlineStr">
        <is>
          <t xml:space="preserve">QH </t>
        </is>
      </c>
      <c r="S803" t="n">
        <v>4</v>
      </c>
      <c r="T803" t="n">
        <v>4</v>
      </c>
      <c r="U803" t="inlineStr">
        <is>
          <t>1994-01-12</t>
        </is>
      </c>
      <c r="V803" t="inlineStr">
        <is>
          <t>1994-01-12</t>
        </is>
      </c>
      <c r="W803" t="inlineStr">
        <is>
          <t>1991-08-27</t>
        </is>
      </c>
      <c r="X803" t="inlineStr">
        <is>
          <t>1991-08-27</t>
        </is>
      </c>
      <c r="Y803" t="n">
        <v>290</v>
      </c>
      <c r="Z803" t="n">
        <v>186</v>
      </c>
      <c r="AA803" t="n">
        <v>187</v>
      </c>
      <c r="AB803" t="n">
        <v>2</v>
      </c>
      <c r="AC803" t="n">
        <v>2</v>
      </c>
      <c r="AD803" t="n">
        <v>6</v>
      </c>
      <c r="AE803" t="n">
        <v>6</v>
      </c>
      <c r="AF803" t="n">
        <v>0</v>
      </c>
      <c r="AG803" t="n">
        <v>0</v>
      </c>
      <c r="AH803" t="n">
        <v>3</v>
      </c>
      <c r="AI803" t="n">
        <v>3</v>
      </c>
      <c r="AJ803" t="n">
        <v>3</v>
      </c>
      <c r="AK803" t="n">
        <v>3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HYPERLINK("http://catalog.hathitrust.org/Record/002062411","HathiTrust Record")</f>
        <v/>
      </c>
      <c r="AS803">
        <f>HYPERLINK("https://creighton-primo.hosted.exlibrisgroup.com/primo-explore/search?tab=default_tab&amp;search_scope=EVERYTHING&amp;vid=01CRU&amp;lang=en_US&amp;offset=0&amp;query=any,contains,991001604459702656","Catalog Record")</f>
        <v/>
      </c>
      <c r="AT803">
        <f>HYPERLINK("http://www.worldcat.org/oclc/20690646","WorldCat Record")</f>
        <v/>
      </c>
      <c r="AU803" t="inlineStr">
        <is>
          <t>355714551:eng</t>
        </is>
      </c>
      <c r="AV803" t="inlineStr">
        <is>
          <t>20690646</t>
        </is>
      </c>
      <c r="AW803" t="inlineStr">
        <is>
          <t>991001604459702656</t>
        </is>
      </c>
      <c r="AX803" t="inlineStr">
        <is>
          <t>991001604459702656</t>
        </is>
      </c>
      <c r="AY803" t="inlineStr">
        <is>
          <t>2257832800002656</t>
        </is>
      </c>
      <c r="AZ803" t="inlineStr">
        <is>
          <t>BOOK</t>
        </is>
      </c>
      <c r="BB803" t="inlineStr">
        <is>
          <t>9781555810184</t>
        </is>
      </c>
      <c r="BC803" t="inlineStr">
        <is>
          <t>32285000702141</t>
        </is>
      </c>
      <c r="BD803" t="inlineStr">
        <is>
          <t>893590465</t>
        </is>
      </c>
    </row>
    <row r="804">
      <c r="A804" t="inlineStr">
        <is>
          <t>No</t>
        </is>
      </c>
      <c r="B804" t="inlineStr">
        <is>
          <t>QH434 .B76 1990</t>
        </is>
      </c>
      <c r="C804" t="inlineStr">
        <is>
          <t>0                      QH 0434000B  76          1990</t>
        </is>
      </c>
      <c r="D804" t="inlineStr">
        <is>
          <t>The emergence of bacterial genetics / by Thomas D. Brock.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Brock, Thomas D.</t>
        </is>
      </c>
      <c r="L804" t="inlineStr">
        <is>
          <t>Cold Spring Harbor, N.Y. : Cold Spring Harbor Laboratory Press, 1990.</t>
        </is>
      </c>
      <c r="M804" t="inlineStr">
        <is>
          <t>1990</t>
        </is>
      </c>
      <c r="O804" t="inlineStr">
        <is>
          <t>eng</t>
        </is>
      </c>
      <c r="P804" t="inlineStr">
        <is>
          <t>nyu</t>
        </is>
      </c>
      <c r="R804" t="inlineStr">
        <is>
          <t xml:space="preserve">QH </t>
        </is>
      </c>
      <c r="S804" t="n">
        <v>3</v>
      </c>
      <c r="T804" t="n">
        <v>3</v>
      </c>
      <c r="U804" t="inlineStr">
        <is>
          <t>1993-12-02</t>
        </is>
      </c>
      <c r="V804" t="inlineStr">
        <is>
          <t>1993-12-02</t>
        </is>
      </c>
      <c r="W804" t="inlineStr">
        <is>
          <t>1991-05-13</t>
        </is>
      </c>
      <c r="X804" t="inlineStr">
        <is>
          <t>1991-05-13</t>
        </is>
      </c>
      <c r="Y804" t="n">
        <v>455</v>
      </c>
      <c r="Z804" t="n">
        <v>345</v>
      </c>
      <c r="AA804" t="n">
        <v>351</v>
      </c>
      <c r="AB804" t="n">
        <v>2</v>
      </c>
      <c r="AC804" t="n">
        <v>2</v>
      </c>
      <c r="AD804" t="n">
        <v>16</v>
      </c>
      <c r="AE804" t="n">
        <v>16</v>
      </c>
      <c r="AF804" t="n">
        <v>5</v>
      </c>
      <c r="AG804" t="n">
        <v>5</v>
      </c>
      <c r="AH804" t="n">
        <v>3</v>
      </c>
      <c r="AI804" t="n">
        <v>3</v>
      </c>
      <c r="AJ804" t="n">
        <v>9</v>
      </c>
      <c r="AK804" t="n">
        <v>9</v>
      </c>
      <c r="AL804" t="n">
        <v>1</v>
      </c>
      <c r="AM804" t="n">
        <v>1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HYPERLINK("http://catalog.hathitrust.org/Record/002205791","HathiTrust Record")</f>
        <v/>
      </c>
      <c r="AS804">
        <f>HYPERLINK("https://creighton-primo.hosted.exlibrisgroup.com/primo-explore/search?tab=default_tab&amp;search_scope=EVERYTHING&amp;vid=01CRU&amp;lang=en_US&amp;offset=0&amp;query=any,contains,991001687549702656","Catalog Record")</f>
        <v/>
      </c>
      <c r="AT804">
        <f>HYPERLINK("http://www.worldcat.org/oclc/21408986","WorldCat Record")</f>
        <v/>
      </c>
      <c r="AU804" t="inlineStr">
        <is>
          <t>20888701:eng</t>
        </is>
      </c>
      <c r="AV804" t="inlineStr">
        <is>
          <t>21408986</t>
        </is>
      </c>
      <c r="AW804" t="inlineStr">
        <is>
          <t>991001687549702656</t>
        </is>
      </c>
      <c r="AX804" t="inlineStr">
        <is>
          <t>991001687549702656</t>
        </is>
      </c>
      <c r="AY804" t="inlineStr">
        <is>
          <t>2272724920002656</t>
        </is>
      </c>
      <c r="AZ804" t="inlineStr">
        <is>
          <t>BOOK</t>
        </is>
      </c>
      <c r="BB804" t="inlineStr">
        <is>
          <t>9780879693503</t>
        </is>
      </c>
      <c r="BC804" t="inlineStr">
        <is>
          <t>32285000572643</t>
        </is>
      </c>
      <c r="BD804" t="inlineStr">
        <is>
          <t>893433033</t>
        </is>
      </c>
    </row>
    <row r="805">
      <c r="A805" t="inlineStr">
        <is>
          <t>No</t>
        </is>
      </c>
      <c r="B805" t="inlineStr">
        <is>
          <t>QH434 .D35 1989</t>
        </is>
      </c>
      <c r="C805" t="inlineStr">
        <is>
          <t>0                      QH 0434000D  35          1989</t>
        </is>
      </c>
      <c r="D805" t="inlineStr">
        <is>
          <t>Molecular genetics of bacteria / Jeremy Dale.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Dale, Jeremy (Jeremy W.)</t>
        </is>
      </c>
      <c r="L805" t="inlineStr">
        <is>
          <t>Chichester ; New York : Wiley, c1989.</t>
        </is>
      </c>
      <c r="M805" t="inlineStr">
        <is>
          <t>1989</t>
        </is>
      </c>
      <c r="O805" t="inlineStr">
        <is>
          <t>eng</t>
        </is>
      </c>
      <c r="P805" t="inlineStr">
        <is>
          <t>enk</t>
        </is>
      </c>
      <c r="R805" t="inlineStr">
        <is>
          <t xml:space="preserve">QH </t>
        </is>
      </c>
      <c r="S805" t="n">
        <v>1</v>
      </c>
      <c r="T805" t="n">
        <v>1</v>
      </c>
      <c r="U805" t="inlineStr">
        <is>
          <t>2008-09-27</t>
        </is>
      </c>
      <c r="V805" t="inlineStr">
        <is>
          <t>2008-09-27</t>
        </is>
      </c>
      <c r="W805" t="inlineStr">
        <is>
          <t>1990-08-06</t>
        </is>
      </c>
      <c r="X805" t="inlineStr">
        <is>
          <t>1990-08-06</t>
        </is>
      </c>
      <c r="Y805" t="n">
        <v>443</v>
      </c>
      <c r="Z805" t="n">
        <v>329</v>
      </c>
      <c r="AA805" t="n">
        <v>656</v>
      </c>
      <c r="AB805" t="n">
        <v>4</v>
      </c>
      <c r="AC805" t="n">
        <v>5</v>
      </c>
      <c r="AD805" t="n">
        <v>16</v>
      </c>
      <c r="AE805" t="n">
        <v>30</v>
      </c>
      <c r="AF805" t="n">
        <v>4</v>
      </c>
      <c r="AG805" t="n">
        <v>11</v>
      </c>
      <c r="AH805" t="n">
        <v>4</v>
      </c>
      <c r="AI805" t="n">
        <v>7</v>
      </c>
      <c r="AJ805" t="n">
        <v>9</v>
      </c>
      <c r="AK805" t="n">
        <v>15</v>
      </c>
      <c r="AL805" t="n">
        <v>3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HYPERLINK("http://catalog.hathitrust.org/Record/001304038","HathiTrust Record")</f>
        <v/>
      </c>
      <c r="AS805">
        <f>HYPERLINK("https://creighton-primo.hosted.exlibrisgroup.com/primo-explore/search?tab=default_tab&amp;search_scope=EVERYTHING&amp;vid=01CRU&amp;lang=en_US&amp;offset=0&amp;query=any,contains,991001408909702656","Catalog Record")</f>
        <v/>
      </c>
      <c r="AT805">
        <f>HYPERLINK("http://www.worldcat.org/oclc/18874719","WorldCat Record")</f>
        <v/>
      </c>
      <c r="AU805" t="inlineStr">
        <is>
          <t>551443:eng</t>
        </is>
      </c>
      <c r="AV805" t="inlineStr">
        <is>
          <t>18874719</t>
        </is>
      </c>
      <c r="AW805" t="inlineStr">
        <is>
          <t>991001408909702656</t>
        </is>
      </c>
      <c r="AX805" t="inlineStr">
        <is>
          <t>991001408909702656</t>
        </is>
      </c>
      <c r="AY805" t="inlineStr">
        <is>
          <t>2272376650002656</t>
        </is>
      </c>
      <c r="AZ805" t="inlineStr">
        <is>
          <t>BOOK</t>
        </is>
      </c>
      <c r="BB805" t="inlineStr">
        <is>
          <t>9780471922094</t>
        </is>
      </c>
      <c r="BC805" t="inlineStr">
        <is>
          <t>32285000242155</t>
        </is>
      </c>
      <c r="BD805" t="inlineStr">
        <is>
          <t>893590274</t>
        </is>
      </c>
    </row>
    <row r="806">
      <c r="A806" t="inlineStr">
        <is>
          <t>No</t>
        </is>
      </c>
      <c r="B806" t="inlineStr">
        <is>
          <t>QH434 .G456 1985</t>
        </is>
      </c>
      <c r="C806" t="inlineStr">
        <is>
          <t>0                      QH 0434000G  456         1985</t>
        </is>
      </c>
      <c r="D806" t="inlineStr">
        <is>
          <t>Genetics of bacteria / edited by John Scaife, David Leach, A. Galizzi.</t>
        </is>
      </c>
      <c r="F806" t="inlineStr">
        <is>
          <t>No</t>
        </is>
      </c>
      <c r="G806" t="inlineStr">
        <is>
          <t>1</t>
        </is>
      </c>
      <c r="H806" t="inlineStr">
        <is>
          <t>Yes</t>
        </is>
      </c>
      <c r="I806" t="inlineStr">
        <is>
          <t>No</t>
        </is>
      </c>
      <c r="J806" t="inlineStr">
        <is>
          <t>0</t>
        </is>
      </c>
      <c r="L806" t="inlineStr">
        <is>
          <t>London ; Orlando : Academic Press, 1985.</t>
        </is>
      </c>
      <c r="M806" t="inlineStr">
        <is>
          <t>1985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QH </t>
        </is>
      </c>
      <c r="S806" t="n">
        <v>0</v>
      </c>
      <c r="T806" t="n">
        <v>1</v>
      </c>
      <c r="V806" t="inlineStr">
        <is>
          <t>2002-02-22</t>
        </is>
      </c>
      <c r="W806" t="inlineStr">
        <is>
          <t>1993-04-07</t>
        </is>
      </c>
      <c r="X806" t="inlineStr">
        <is>
          <t>1993-04-07</t>
        </is>
      </c>
      <c r="Y806" t="n">
        <v>513</v>
      </c>
      <c r="Z806" t="n">
        <v>361</v>
      </c>
      <c r="AA806" t="n">
        <v>362</v>
      </c>
      <c r="AB806" t="n">
        <v>3</v>
      </c>
      <c r="AC806" t="n">
        <v>3</v>
      </c>
      <c r="AD806" t="n">
        <v>11</v>
      </c>
      <c r="AE806" t="n">
        <v>11</v>
      </c>
      <c r="AF806" t="n">
        <v>4</v>
      </c>
      <c r="AG806" t="n">
        <v>4</v>
      </c>
      <c r="AH806" t="n">
        <v>4</v>
      </c>
      <c r="AI806" t="n">
        <v>4</v>
      </c>
      <c r="AJ806" t="n">
        <v>6</v>
      </c>
      <c r="AK806" t="n">
        <v>6</v>
      </c>
      <c r="AL806" t="n">
        <v>1</v>
      </c>
      <c r="AM806" t="n">
        <v>1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HYPERLINK("http://catalog.hathitrust.org/Record/000460918","HathiTrust Record")</f>
        <v/>
      </c>
      <c r="AS806">
        <f>HYPERLINK("https://creighton-primo.hosted.exlibrisgroup.com/primo-explore/search?tab=default_tab&amp;search_scope=EVERYTHING&amp;vid=01CRU&amp;lang=en_US&amp;offset=0&amp;query=any,contains,991001779639702656","Catalog Record")</f>
        <v/>
      </c>
      <c r="AT806">
        <f>HYPERLINK("http://www.worldcat.org/oclc/11090524","WorldCat Record")</f>
        <v/>
      </c>
      <c r="AU806" t="inlineStr">
        <is>
          <t>365361332:eng</t>
        </is>
      </c>
      <c r="AV806" t="inlineStr">
        <is>
          <t>11090524</t>
        </is>
      </c>
      <c r="AW806" t="inlineStr">
        <is>
          <t>991001779639702656</t>
        </is>
      </c>
      <c r="AX806" t="inlineStr">
        <is>
          <t>991001779639702656</t>
        </is>
      </c>
      <c r="AY806" t="inlineStr">
        <is>
          <t>2268886390002656</t>
        </is>
      </c>
      <c r="AZ806" t="inlineStr">
        <is>
          <t>BOOK</t>
        </is>
      </c>
      <c r="BB806" t="inlineStr">
        <is>
          <t>9780126211801</t>
        </is>
      </c>
      <c r="BC806" t="inlineStr">
        <is>
          <t>32285001554798</t>
        </is>
      </c>
      <c r="BD806" t="inlineStr">
        <is>
          <t>893791694</t>
        </is>
      </c>
    </row>
    <row r="807">
      <c r="A807" t="inlineStr">
        <is>
          <t>No</t>
        </is>
      </c>
      <c r="B807" t="inlineStr">
        <is>
          <t>QH434 .J67 1993</t>
        </is>
      </c>
      <c r="C807" t="inlineStr">
        <is>
          <t>0                      QH 0434000J  67          1993</t>
        </is>
      </c>
      <c r="D807" t="inlineStr">
        <is>
          <t>Prokaryotic genetics : genome organization, transfer, and plasticity / Françoise Joset, Janine Guespin-Michel, with the collaboration of Leslie O. Butler.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Joset, Françoise.</t>
        </is>
      </c>
      <c r="L807" t="inlineStr">
        <is>
          <t>Oxford ; Boston : Blackwell Scientific Publications, 1993.</t>
        </is>
      </c>
      <c r="M807" t="inlineStr">
        <is>
          <t>1993</t>
        </is>
      </c>
      <c r="O807" t="inlineStr">
        <is>
          <t>eng</t>
        </is>
      </c>
      <c r="P807" t="inlineStr">
        <is>
          <t>enk</t>
        </is>
      </c>
      <c r="Q807" t="inlineStr">
        <is>
          <t>Studies in microbiology</t>
        </is>
      </c>
      <c r="R807" t="inlineStr">
        <is>
          <t xml:space="preserve">QH </t>
        </is>
      </c>
      <c r="S807" t="n">
        <v>7</v>
      </c>
      <c r="T807" t="n">
        <v>7</v>
      </c>
      <c r="U807" t="inlineStr">
        <is>
          <t>2008-09-25</t>
        </is>
      </c>
      <c r="V807" t="inlineStr">
        <is>
          <t>2008-09-25</t>
        </is>
      </c>
      <c r="W807" t="inlineStr">
        <is>
          <t>1994-04-21</t>
        </is>
      </c>
      <c r="X807" t="inlineStr">
        <is>
          <t>1994-04-21</t>
        </is>
      </c>
      <c r="Y807" t="n">
        <v>301</v>
      </c>
      <c r="Z807" t="n">
        <v>185</v>
      </c>
      <c r="AA807" t="n">
        <v>185</v>
      </c>
      <c r="AB807" t="n">
        <v>1</v>
      </c>
      <c r="AC807" t="n">
        <v>1</v>
      </c>
      <c r="AD807" t="n">
        <v>7</v>
      </c>
      <c r="AE807" t="n">
        <v>7</v>
      </c>
      <c r="AF807" t="n">
        <v>3</v>
      </c>
      <c r="AG807" t="n">
        <v>3</v>
      </c>
      <c r="AH807" t="n">
        <v>3</v>
      </c>
      <c r="AI807" t="n">
        <v>3</v>
      </c>
      <c r="AJ807" t="n">
        <v>4</v>
      </c>
      <c r="AK807" t="n">
        <v>4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HYPERLINK("https://creighton-primo.hosted.exlibrisgroup.com/primo-explore/search?tab=default_tab&amp;search_scope=EVERYTHING&amp;vid=01CRU&amp;lang=en_US&amp;offset=0&amp;query=any,contains,991002087069702656","Catalog Record")</f>
        <v/>
      </c>
      <c r="AT807">
        <f>HYPERLINK("http://www.worldcat.org/oclc/26768556","WorldCat Record")</f>
        <v/>
      </c>
      <c r="AU807" t="inlineStr">
        <is>
          <t>322166379:eng</t>
        </is>
      </c>
      <c r="AV807" t="inlineStr">
        <is>
          <t>26768556</t>
        </is>
      </c>
      <c r="AW807" t="inlineStr">
        <is>
          <t>991002087069702656</t>
        </is>
      </c>
      <c r="AX807" t="inlineStr">
        <is>
          <t>991002087069702656</t>
        </is>
      </c>
      <c r="AY807" t="inlineStr">
        <is>
          <t>2270592050002656</t>
        </is>
      </c>
      <c r="AZ807" t="inlineStr">
        <is>
          <t>BOOK</t>
        </is>
      </c>
      <c r="BB807" t="inlineStr">
        <is>
          <t>9780632027286</t>
        </is>
      </c>
      <c r="BC807" t="inlineStr">
        <is>
          <t>32285001876506</t>
        </is>
      </c>
      <c r="BD807" t="inlineStr">
        <is>
          <t>893792024</t>
        </is>
      </c>
    </row>
    <row r="808">
      <c r="A808" t="inlineStr">
        <is>
          <t>No</t>
        </is>
      </c>
      <c r="B808" t="inlineStr">
        <is>
          <t>QH434 .M35 1990</t>
        </is>
      </c>
      <c r="C808" t="inlineStr">
        <is>
          <t>0                      QH 0434000M  35          1990</t>
        </is>
      </c>
      <c r="D808" t="inlineStr">
        <is>
          <t>Experimental techniques in bacterial genetics / Stanley R. Maloy.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Maloy, Stanley.</t>
        </is>
      </c>
      <c r="L808" t="inlineStr">
        <is>
          <t>Boston : Jones and Bartlett, c1990.</t>
        </is>
      </c>
      <c r="M808" t="inlineStr">
        <is>
          <t>1990</t>
        </is>
      </c>
      <c r="O808" t="inlineStr">
        <is>
          <t>eng</t>
        </is>
      </c>
      <c r="P808" t="inlineStr">
        <is>
          <t>mau</t>
        </is>
      </c>
      <c r="R808" t="inlineStr">
        <is>
          <t xml:space="preserve">QH </t>
        </is>
      </c>
      <c r="S808" t="n">
        <v>4</v>
      </c>
      <c r="T808" t="n">
        <v>4</v>
      </c>
      <c r="U808" t="inlineStr">
        <is>
          <t>2008-09-27</t>
        </is>
      </c>
      <c r="V808" t="inlineStr">
        <is>
          <t>2008-09-27</t>
        </is>
      </c>
      <c r="W808" t="inlineStr">
        <is>
          <t>1990-01-02</t>
        </is>
      </c>
      <c r="X808" t="inlineStr">
        <is>
          <t>1990-01-02</t>
        </is>
      </c>
      <c r="Y808" t="n">
        <v>203</v>
      </c>
      <c r="Z808" t="n">
        <v>148</v>
      </c>
      <c r="AA808" t="n">
        <v>150</v>
      </c>
      <c r="AB808" t="n">
        <v>4</v>
      </c>
      <c r="AC808" t="n">
        <v>4</v>
      </c>
      <c r="AD808" t="n">
        <v>10</v>
      </c>
      <c r="AE808" t="n">
        <v>10</v>
      </c>
      <c r="AF808" t="n">
        <v>3</v>
      </c>
      <c r="AG808" t="n">
        <v>3</v>
      </c>
      <c r="AH808" t="n">
        <v>2</v>
      </c>
      <c r="AI808" t="n">
        <v>2</v>
      </c>
      <c r="AJ808" t="n">
        <v>6</v>
      </c>
      <c r="AK808" t="n">
        <v>6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HYPERLINK("https://creighton-primo.hosted.exlibrisgroup.com/primo-explore/search?tab=default_tab&amp;search_scope=EVERYTHING&amp;vid=01CRU&amp;lang=en_US&amp;offset=0&amp;query=any,contains,991001494059702656","Catalog Record")</f>
        <v/>
      </c>
      <c r="AT808">
        <f>HYPERLINK("http://www.worldcat.org/oclc/19741151","WorldCat Record")</f>
        <v/>
      </c>
      <c r="AU808" t="inlineStr">
        <is>
          <t>21813676:eng</t>
        </is>
      </c>
      <c r="AV808" t="inlineStr">
        <is>
          <t>19741151</t>
        </is>
      </c>
      <c r="AW808" t="inlineStr">
        <is>
          <t>991001494059702656</t>
        </is>
      </c>
      <c r="AX808" t="inlineStr">
        <is>
          <t>991001494059702656</t>
        </is>
      </c>
      <c r="AY808" t="inlineStr">
        <is>
          <t>2265676510002656</t>
        </is>
      </c>
      <c r="AZ808" t="inlineStr">
        <is>
          <t>BOOK</t>
        </is>
      </c>
      <c r="BB808" t="inlineStr">
        <is>
          <t>9780867201185</t>
        </is>
      </c>
      <c r="BC808" t="inlineStr">
        <is>
          <t>32285000018936</t>
        </is>
      </c>
      <c r="BD808" t="inlineStr">
        <is>
          <t>893596501</t>
        </is>
      </c>
    </row>
    <row r="809">
      <c r="A809" t="inlineStr">
        <is>
          <t>No</t>
        </is>
      </c>
      <c r="B809" t="inlineStr">
        <is>
          <t>QH437 .D47 2005</t>
        </is>
      </c>
      <c r="C809" t="inlineStr">
        <is>
          <t>0                      QH 0437000D  47          2005</t>
        </is>
      </c>
      <c r="D809" t="inlineStr">
        <is>
          <t>Welcome to the genome : a user's guide to the genetic past, present, and future / Rob DeSalle, Michael Yudell.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DeSalle, Rob.</t>
        </is>
      </c>
      <c r="L809" t="inlineStr">
        <is>
          <t>Hoboken, NJ : Wiley-Liss, c2005.</t>
        </is>
      </c>
      <c r="M809" t="inlineStr">
        <is>
          <t>2005</t>
        </is>
      </c>
      <c r="O809" t="inlineStr">
        <is>
          <t>eng</t>
        </is>
      </c>
      <c r="P809" t="inlineStr">
        <is>
          <t>nju</t>
        </is>
      </c>
      <c r="R809" t="inlineStr">
        <is>
          <t xml:space="preserve">QH </t>
        </is>
      </c>
      <c r="S809" t="n">
        <v>1</v>
      </c>
      <c r="T809" t="n">
        <v>1</v>
      </c>
      <c r="U809" t="inlineStr">
        <is>
          <t>2004-12-13</t>
        </is>
      </c>
      <c r="V809" t="inlineStr">
        <is>
          <t>2004-12-13</t>
        </is>
      </c>
      <c r="W809" t="inlineStr">
        <is>
          <t>2004-12-13</t>
        </is>
      </c>
      <c r="X809" t="inlineStr">
        <is>
          <t>2004-12-13</t>
        </is>
      </c>
      <c r="Y809" t="n">
        <v>1202</v>
      </c>
      <c r="Z809" t="n">
        <v>1057</v>
      </c>
      <c r="AA809" t="n">
        <v>1076</v>
      </c>
      <c r="AB809" t="n">
        <v>8</v>
      </c>
      <c r="AC809" t="n">
        <v>8</v>
      </c>
      <c r="AD809" t="n">
        <v>37</v>
      </c>
      <c r="AE809" t="n">
        <v>37</v>
      </c>
      <c r="AF809" t="n">
        <v>18</v>
      </c>
      <c r="AG809" t="n">
        <v>18</v>
      </c>
      <c r="AH809" t="n">
        <v>7</v>
      </c>
      <c r="AI809" t="n">
        <v>7</v>
      </c>
      <c r="AJ809" t="n">
        <v>16</v>
      </c>
      <c r="AK809" t="n">
        <v>16</v>
      </c>
      <c r="AL809" t="n">
        <v>5</v>
      </c>
      <c r="AM809" t="n">
        <v>5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HYPERLINK("https://creighton-primo.hosted.exlibrisgroup.com/primo-explore/search?tab=default_tab&amp;search_scope=EVERYTHING&amp;vid=01CRU&amp;lang=en_US&amp;offset=0&amp;query=any,contains,991004419639702656","Catalog Record")</f>
        <v/>
      </c>
      <c r="AT809">
        <f>HYPERLINK("http://www.worldcat.org/oclc/56587321","WorldCat Record")</f>
        <v/>
      </c>
      <c r="AU809" t="inlineStr">
        <is>
          <t>132863:eng</t>
        </is>
      </c>
      <c r="AV809" t="inlineStr">
        <is>
          <t>56587321</t>
        </is>
      </c>
      <c r="AW809" t="inlineStr">
        <is>
          <t>991004419639702656</t>
        </is>
      </c>
      <c r="AX809" t="inlineStr">
        <is>
          <t>991004419639702656</t>
        </is>
      </c>
      <c r="AY809" t="inlineStr">
        <is>
          <t>2268014480002656</t>
        </is>
      </c>
      <c r="AZ809" t="inlineStr">
        <is>
          <t>BOOK</t>
        </is>
      </c>
      <c r="BB809" t="inlineStr">
        <is>
          <t>9780471453314</t>
        </is>
      </c>
      <c r="BC809" t="inlineStr">
        <is>
          <t>32285005016398</t>
        </is>
      </c>
      <c r="BD809" t="inlineStr">
        <is>
          <t>893606012</t>
        </is>
      </c>
    </row>
    <row r="810">
      <c r="A810" t="inlineStr">
        <is>
          <t>No</t>
        </is>
      </c>
      <c r="B810" t="inlineStr">
        <is>
          <t>QH437 .G44 2004</t>
        </is>
      </c>
      <c r="C810" t="inlineStr">
        <is>
          <t>0                      QH 0437000G  44          2004</t>
        </is>
      </c>
      <c r="D810" t="inlineStr">
        <is>
          <t>Jacob's ladder : the history of the human genome / Henry Gee.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Gee, Henry.</t>
        </is>
      </c>
      <c r="L810" t="inlineStr">
        <is>
          <t>New York : W.W. Norton &amp; Co., 2004.</t>
        </is>
      </c>
      <c r="M810" t="inlineStr">
        <is>
          <t>2004</t>
        </is>
      </c>
      <c r="N810" t="inlineStr">
        <is>
          <t>1st American ed.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QH </t>
        </is>
      </c>
      <c r="S810" t="n">
        <v>5</v>
      </c>
      <c r="T810" t="n">
        <v>5</v>
      </c>
      <c r="U810" t="inlineStr">
        <is>
          <t>2009-08-28</t>
        </is>
      </c>
      <c r="V810" t="inlineStr">
        <is>
          <t>2009-08-28</t>
        </is>
      </c>
      <c r="W810" t="inlineStr">
        <is>
          <t>2004-08-09</t>
        </is>
      </c>
      <c r="X810" t="inlineStr">
        <is>
          <t>2004-08-09</t>
        </is>
      </c>
      <c r="Y810" t="n">
        <v>1174</v>
      </c>
      <c r="Z810" t="n">
        <v>1095</v>
      </c>
      <c r="AA810" t="n">
        <v>1117</v>
      </c>
      <c r="AB810" t="n">
        <v>10</v>
      </c>
      <c r="AC810" t="n">
        <v>10</v>
      </c>
      <c r="AD810" t="n">
        <v>35</v>
      </c>
      <c r="AE810" t="n">
        <v>35</v>
      </c>
      <c r="AF810" t="n">
        <v>14</v>
      </c>
      <c r="AG810" t="n">
        <v>14</v>
      </c>
      <c r="AH810" t="n">
        <v>4</v>
      </c>
      <c r="AI810" t="n">
        <v>4</v>
      </c>
      <c r="AJ810" t="n">
        <v>14</v>
      </c>
      <c r="AK810" t="n">
        <v>14</v>
      </c>
      <c r="AL810" t="n">
        <v>8</v>
      </c>
      <c r="AM810" t="n">
        <v>8</v>
      </c>
      <c r="AN810" t="n">
        <v>0</v>
      </c>
      <c r="AO810" t="n">
        <v>0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HYPERLINK("https://creighton-primo.hosted.exlibrisgroup.com/primo-explore/search?tab=default_tab&amp;search_scope=EVERYTHING&amp;vid=01CRU&amp;lang=en_US&amp;offset=0&amp;query=any,contains,991004319359702656","Catalog Record")</f>
        <v/>
      </c>
      <c r="AT810">
        <f>HYPERLINK("http://www.worldcat.org/oclc/55131525","WorldCat Record")</f>
        <v/>
      </c>
      <c r="AU810" t="inlineStr">
        <is>
          <t>796432448:eng</t>
        </is>
      </c>
      <c r="AV810" t="inlineStr">
        <is>
          <t>55131525</t>
        </is>
      </c>
      <c r="AW810" t="inlineStr">
        <is>
          <t>991004319359702656</t>
        </is>
      </c>
      <c r="AX810" t="inlineStr">
        <is>
          <t>991004319359702656</t>
        </is>
      </c>
      <c r="AY810" t="inlineStr">
        <is>
          <t>2268519220002656</t>
        </is>
      </c>
      <c r="AZ810" t="inlineStr">
        <is>
          <t>BOOK</t>
        </is>
      </c>
      <c r="BB810" t="inlineStr">
        <is>
          <t>9780393050837</t>
        </is>
      </c>
      <c r="BC810" t="inlineStr">
        <is>
          <t>32285004980545</t>
        </is>
      </c>
      <c r="BD810" t="inlineStr">
        <is>
          <t>893806921</t>
        </is>
      </c>
    </row>
    <row r="811">
      <c r="A811" t="inlineStr">
        <is>
          <t>No</t>
        </is>
      </c>
      <c r="B811" t="inlineStr">
        <is>
          <t>QH437 .P65 1994</t>
        </is>
      </c>
      <c r="C811" t="inlineStr">
        <is>
          <t>0                      QH 0437000P  65          1994</t>
        </is>
      </c>
      <c r="D811" t="inlineStr">
        <is>
          <t>Signs of life : the language and meanings of DNA / Robert Pollack.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Pollack, Robert, 1940-</t>
        </is>
      </c>
      <c r="L811" t="inlineStr">
        <is>
          <t>Boston : Houghton Mifflin, 1994.</t>
        </is>
      </c>
      <c r="M811" t="inlineStr">
        <is>
          <t>1994</t>
        </is>
      </c>
      <c r="O811" t="inlineStr">
        <is>
          <t>eng</t>
        </is>
      </c>
      <c r="P811" t="inlineStr">
        <is>
          <t>mau</t>
        </is>
      </c>
      <c r="R811" t="inlineStr">
        <is>
          <t xml:space="preserve">QH </t>
        </is>
      </c>
      <c r="S811" t="n">
        <v>3</v>
      </c>
      <c r="T811" t="n">
        <v>3</v>
      </c>
      <c r="U811" t="inlineStr">
        <is>
          <t>1995-03-30</t>
        </is>
      </c>
      <c r="V811" t="inlineStr">
        <is>
          <t>1995-03-30</t>
        </is>
      </c>
      <c r="W811" t="inlineStr">
        <is>
          <t>1994-11-14</t>
        </is>
      </c>
      <c r="X811" t="inlineStr">
        <is>
          <t>1994-11-14</t>
        </is>
      </c>
      <c r="Y811" t="n">
        <v>1086</v>
      </c>
      <c r="Z811" t="n">
        <v>1008</v>
      </c>
      <c r="AA811" t="n">
        <v>1021</v>
      </c>
      <c r="AB811" t="n">
        <v>4</v>
      </c>
      <c r="AC811" t="n">
        <v>4</v>
      </c>
      <c r="AD811" t="n">
        <v>28</v>
      </c>
      <c r="AE811" t="n">
        <v>28</v>
      </c>
      <c r="AF811" t="n">
        <v>9</v>
      </c>
      <c r="AG811" t="n">
        <v>9</v>
      </c>
      <c r="AH811" t="n">
        <v>7</v>
      </c>
      <c r="AI811" t="n">
        <v>7</v>
      </c>
      <c r="AJ811" t="n">
        <v>14</v>
      </c>
      <c r="AK811" t="n">
        <v>14</v>
      </c>
      <c r="AL811" t="n">
        <v>3</v>
      </c>
      <c r="AM811" t="n">
        <v>3</v>
      </c>
      <c r="AN811" t="n">
        <v>2</v>
      </c>
      <c r="AO811" t="n">
        <v>2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HYPERLINK("http://catalog.hathitrust.org/Record/002790283","HathiTrust Record")</f>
        <v/>
      </c>
      <c r="AS811">
        <f>HYPERLINK("https://creighton-primo.hosted.exlibrisgroup.com/primo-explore/search?tab=default_tab&amp;search_scope=EVERYTHING&amp;vid=01CRU&amp;lang=en_US&amp;offset=0&amp;query=any,contains,991002240649702656","Catalog Record")</f>
        <v/>
      </c>
      <c r="AT811">
        <f>HYPERLINK("http://www.worldcat.org/oclc/28891077","WorldCat Record")</f>
        <v/>
      </c>
      <c r="AU811" t="inlineStr">
        <is>
          <t>336139:eng</t>
        </is>
      </c>
      <c r="AV811" t="inlineStr">
        <is>
          <t>28891077</t>
        </is>
      </c>
      <c r="AW811" t="inlineStr">
        <is>
          <t>991002240649702656</t>
        </is>
      </c>
      <c r="AX811" t="inlineStr">
        <is>
          <t>991002240649702656</t>
        </is>
      </c>
      <c r="AY811" t="inlineStr">
        <is>
          <t>2262754060002656</t>
        </is>
      </c>
      <c r="AZ811" t="inlineStr">
        <is>
          <t>BOOK</t>
        </is>
      </c>
      <c r="BB811" t="inlineStr">
        <is>
          <t>9780395644980</t>
        </is>
      </c>
      <c r="BC811" t="inlineStr">
        <is>
          <t>32285001958395</t>
        </is>
      </c>
      <c r="BD811" t="inlineStr">
        <is>
          <t>893257056</t>
        </is>
      </c>
    </row>
    <row r="812">
      <c r="A812" t="inlineStr">
        <is>
          <t>No</t>
        </is>
      </c>
      <c r="B812" t="inlineStr">
        <is>
          <t>QH438 .C97</t>
        </is>
      </c>
      <c r="C812" t="inlineStr">
        <is>
          <t>0                      QH 0438000C  97</t>
        </is>
      </c>
      <c r="D812" t="inlineStr">
        <is>
          <t>Cytogenetics / edited by Ronald L. Phillips, Charles R. Burnham.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L812" t="inlineStr">
        <is>
          <t>Stroudsburg, Pa. : Dowden, Hutchinson &amp; Ross ; New York : distributed by Academic Press, c1977. --</t>
        </is>
      </c>
      <c r="M812" t="inlineStr">
        <is>
          <t>1977</t>
        </is>
      </c>
      <c r="O812" t="inlineStr">
        <is>
          <t>eng</t>
        </is>
      </c>
      <c r="P812" t="inlineStr">
        <is>
          <t>pau</t>
        </is>
      </c>
      <c r="Q812" t="inlineStr">
        <is>
          <t>Benchmark papers in genetics ; 6</t>
        </is>
      </c>
      <c r="R812" t="inlineStr">
        <is>
          <t xml:space="preserve">QH </t>
        </is>
      </c>
      <c r="S812" t="n">
        <v>3</v>
      </c>
      <c r="T812" t="n">
        <v>3</v>
      </c>
      <c r="U812" t="inlineStr">
        <is>
          <t>1999-06-25</t>
        </is>
      </c>
      <c r="V812" t="inlineStr">
        <is>
          <t>1999-06-25</t>
        </is>
      </c>
      <c r="W812" t="inlineStr">
        <is>
          <t>1993-04-07</t>
        </is>
      </c>
      <c r="X812" t="inlineStr">
        <is>
          <t>1993-04-07</t>
        </is>
      </c>
      <c r="Y812" t="n">
        <v>325</v>
      </c>
      <c r="Z812" t="n">
        <v>242</v>
      </c>
      <c r="AA812" t="n">
        <v>244</v>
      </c>
      <c r="AB812" t="n">
        <v>2</v>
      </c>
      <c r="AC812" t="n">
        <v>2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4</v>
      </c>
      <c r="AK812" t="n">
        <v>4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HYPERLINK("http://catalog.hathitrust.org/Record/000214149","HathiTrust Record")</f>
        <v/>
      </c>
      <c r="AS812">
        <f>HYPERLINK("https://creighton-primo.hosted.exlibrisgroup.com/primo-explore/search?tab=default_tab&amp;search_scope=EVERYTHING&amp;vid=01CRU&amp;lang=en_US&amp;offset=0&amp;query=any,contains,991004301139702656","Catalog Record")</f>
        <v/>
      </c>
      <c r="AT812">
        <f>HYPERLINK("http://www.worldcat.org/oclc/2968243","WorldCat Record")</f>
        <v/>
      </c>
      <c r="AU812" t="inlineStr">
        <is>
          <t>355126327:eng</t>
        </is>
      </c>
      <c r="AV812" t="inlineStr">
        <is>
          <t>2968243</t>
        </is>
      </c>
      <c r="AW812" t="inlineStr">
        <is>
          <t>991004301139702656</t>
        </is>
      </c>
      <c r="AX812" t="inlineStr">
        <is>
          <t>991004301139702656</t>
        </is>
      </c>
      <c r="AY812" t="inlineStr">
        <is>
          <t>2269124160002656</t>
        </is>
      </c>
      <c r="AZ812" t="inlineStr">
        <is>
          <t>BOOK</t>
        </is>
      </c>
      <c r="BB812" t="inlineStr">
        <is>
          <t>9780879332587</t>
        </is>
      </c>
      <c r="BC812" t="inlineStr">
        <is>
          <t>32285001554806</t>
        </is>
      </c>
      <c r="BD812" t="inlineStr">
        <is>
          <t>893901077</t>
        </is>
      </c>
    </row>
    <row r="813">
      <c r="A813" t="inlineStr">
        <is>
          <t>No</t>
        </is>
      </c>
      <c r="B813" t="inlineStr">
        <is>
          <t>QH438 .W38 2000</t>
        </is>
      </c>
      <c r="C813" t="inlineStr">
        <is>
          <t>0                      QH 0438000W  38          2000</t>
        </is>
      </c>
      <c r="D813" t="inlineStr">
        <is>
          <t>A passion for DNA : genes, genomes, and society / James D. Watson ; with an introduction, afterword, and annotations by Walter Gratzer.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Watson, James D., 1928-</t>
        </is>
      </c>
      <c r="L813" t="inlineStr">
        <is>
          <t>Oxford : Oxford University Press, c2000.</t>
        </is>
      </c>
      <c r="M813" t="inlineStr">
        <is>
          <t>2000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QH </t>
        </is>
      </c>
      <c r="S813" t="n">
        <v>6</v>
      </c>
      <c r="T813" t="n">
        <v>6</v>
      </c>
      <c r="U813" t="inlineStr">
        <is>
          <t>2001-11-04</t>
        </is>
      </c>
      <c r="V813" t="inlineStr">
        <is>
          <t>2001-11-04</t>
        </is>
      </c>
      <c r="W813" t="inlineStr">
        <is>
          <t>2000-10-17</t>
        </is>
      </c>
      <c r="X813" t="inlineStr">
        <is>
          <t>2000-10-17</t>
        </is>
      </c>
      <c r="Y813" t="n">
        <v>130</v>
      </c>
      <c r="Z813" t="n">
        <v>23</v>
      </c>
      <c r="AA813" t="n">
        <v>1286</v>
      </c>
      <c r="AB813" t="n">
        <v>2</v>
      </c>
      <c r="AC813" t="n">
        <v>28</v>
      </c>
      <c r="AD813" t="n">
        <v>1</v>
      </c>
      <c r="AE813" t="n">
        <v>51</v>
      </c>
      <c r="AF813" t="n">
        <v>0</v>
      </c>
      <c r="AG813" t="n">
        <v>17</v>
      </c>
      <c r="AH813" t="n">
        <v>0</v>
      </c>
      <c r="AI813" t="n">
        <v>10</v>
      </c>
      <c r="AJ813" t="n">
        <v>0</v>
      </c>
      <c r="AK813" t="n">
        <v>20</v>
      </c>
      <c r="AL813" t="n">
        <v>1</v>
      </c>
      <c r="AM813" t="n">
        <v>13</v>
      </c>
      <c r="AN813" t="n">
        <v>0</v>
      </c>
      <c r="AO813" t="n">
        <v>1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HYPERLINK("https://creighton-primo.hosted.exlibrisgroup.com/primo-explore/search?tab=default_tab&amp;search_scope=EVERYTHING&amp;vid=01CRU&amp;lang=en_US&amp;offset=0&amp;query=any,contains,991003262319702656","Catalog Record")</f>
        <v/>
      </c>
      <c r="AT813">
        <f>HYPERLINK("http://www.worldcat.org/oclc/59397873","WorldCat Record")</f>
        <v/>
      </c>
      <c r="AU813" t="inlineStr">
        <is>
          <t>793879890:eng</t>
        </is>
      </c>
      <c r="AV813" t="inlineStr">
        <is>
          <t>59397873</t>
        </is>
      </c>
      <c r="AW813" t="inlineStr">
        <is>
          <t>991003262319702656</t>
        </is>
      </c>
      <c r="AX813" t="inlineStr">
        <is>
          <t>991003262319702656</t>
        </is>
      </c>
      <c r="AY813" t="inlineStr">
        <is>
          <t>2271410770002656</t>
        </is>
      </c>
      <c r="AZ813" t="inlineStr">
        <is>
          <t>BOOK</t>
        </is>
      </c>
      <c r="BB813" t="inlineStr">
        <is>
          <t>9780198506973</t>
        </is>
      </c>
      <c r="BC813" t="inlineStr">
        <is>
          <t>32285003768198</t>
        </is>
      </c>
      <c r="BD813" t="inlineStr">
        <is>
          <t>893511753</t>
        </is>
      </c>
    </row>
    <row r="814">
      <c r="A814" t="inlineStr">
        <is>
          <t>No</t>
        </is>
      </c>
      <c r="B814" t="inlineStr">
        <is>
          <t>QH438.4.B55 A95 1994</t>
        </is>
      </c>
      <c r="C814" t="inlineStr">
        <is>
          <t>0                      QH 0438400B  55                 A  95          1994</t>
        </is>
      </c>
      <c r="D814" t="inlineStr">
        <is>
          <t>Molecular markers, natural history and evolution / John C. Avise.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Avise, John C.</t>
        </is>
      </c>
      <c r="L814" t="inlineStr">
        <is>
          <t>New York : Chapman &amp; Hall, 1994.</t>
        </is>
      </c>
      <c r="M814" t="inlineStr">
        <is>
          <t>1994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QH </t>
        </is>
      </c>
      <c r="S814" t="n">
        <v>2</v>
      </c>
      <c r="T814" t="n">
        <v>2</v>
      </c>
      <c r="U814" t="inlineStr">
        <is>
          <t>1997-02-15</t>
        </is>
      </c>
      <c r="V814" t="inlineStr">
        <is>
          <t>1997-02-15</t>
        </is>
      </c>
      <c r="W814" t="inlineStr">
        <is>
          <t>1994-05-06</t>
        </is>
      </c>
      <c r="X814" t="inlineStr">
        <is>
          <t>1994-05-06</t>
        </is>
      </c>
      <c r="Y814" t="n">
        <v>601</v>
      </c>
      <c r="Z814" t="n">
        <v>419</v>
      </c>
      <c r="AA814" t="n">
        <v>663</v>
      </c>
      <c r="AB814" t="n">
        <v>3</v>
      </c>
      <c r="AC814" t="n">
        <v>6</v>
      </c>
      <c r="AD814" t="n">
        <v>19</v>
      </c>
      <c r="AE814" t="n">
        <v>35</v>
      </c>
      <c r="AF814" t="n">
        <v>7</v>
      </c>
      <c r="AG814" t="n">
        <v>16</v>
      </c>
      <c r="AH814" t="n">
        <v>3</v>
      </c>
      <c r="AI814" t="n">
        <v>5</v>
      </c>
      <c r="AJ814" t="n">
        <v>11</v>
      </c>
      <c r="AK814" t="n">
        <v>17</v>
      </c>
      <c r="AL814" t="n">
        <v>2</v>
      </c>
      <c r="AM814" t="n">
        <v>5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HYPERLINK("https://creighton-primo.hosted.exlibrisgroup.com/primo-explore/search?tab=default_tab&amp;search_scope=EVERYTHING&amp;vid=01CRU&amp;lang=en_US&amp;offset=0&amp;query=any,contains,991002159159702656","Catalog Record")</f>
        <v/>
      </c>
      <c r="AT814">
        <f>HYPERLINK("http://www.worldcat.org/oclc/27812245","WorldCat Record")</f>
        <v/>
      </c>
      <c r="AU814" t="inlineStr">
        <is>
          <t>336964:eng</t>
        </is>
      </c>
      <c r="AV814" t="inlineStr">
        <is>
          <t>27812245</t>
        </is>
      </c>
      <c r="AW814" t="inlineStr">
        <is>
          <t>991002159159702656</t>
        </is>
      </c>
      <c r="AX814" t="inlineStr">
        <is>
          <t>991002159159702656</t>
        </is>
      </c>
      <c r="AY814" t="inlineStr">
        <is>
          <t>2256368210002656</t>
        </is>
      </c>
      <c r="AZ814" t="inlineStr">
        <is>
          <t>BOOK</t>
        </is>
      </c>
      <c r="BB814" t="inlineStr">
        <is>
          <t>9780412037719</t>
        </is>
      </c>
      <c r="BC814" t="inlineStr">
        <is>
          <t>32285001878379</t>
        </is>
      </c>
      <c r="BD814" t="inlineStr">
        <is>
          <t>893238697</t>
        </is>
      </c>
    </row>
    <row r="815">
      <c r="A815" t="inlineStr">
        <is>
          <t>No</t>
        </is>
      </c>
      <c r="B815" t="inlineStr">
        <is>
          <t>QH438.4.M3 O35</t>
        </is>
      </c>
      <c r="C815" t="inlineStr">
        <is>
          <t>0                      QH 0438400M  3                  O  35</t>
        </is>
      </c>
      <c r="D815" t="inlineStr">
        <is>
          <t>Evolution and variation of multigene families / Tomoko Ohta.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Ōta, Tomoko.</t>
        </is>
      </c>
      <c r="L815" t="inlineStr">
        <is>
          <t>Berlin ; New York : Springer-Verlag, 1980.</t>
        </is>
      </c>
      <c r="M815" t="inlineStr">
        <is>
          <t>1980</t>
        </is>
      </c>
      <c r="O815" t="inlineStr">
        <is>
          <t>eng</t>
        </is>
      </c>
      <c r="P815" t="inlineStr">
        <is>
          <t xml:space="preserve">gw </t>
        </is>
      </c>
      <c r="Q815" t="inlineStr">
        <is>
          <t>Lecture notes in biomathematics ; v. 37</t>
        </is>
      </c>
      <c r="R815" t="inlineStr">
        <is>
          <t xml:space="preserve">QH </t>
        </is>
      </c>
      <c r="S815" t="n">
        <v>3</v>
      </c>
      <c r="T815" t="n">
        <v>3</v>
      </c>
      <c r="U815" t="inlineStr">
        <is>
          <t>1996-09-24</t>
        </is>
      </c>
      <c r="V815" t="inlineStr">
        <is>
          <t>1996-09-24</t>
        </is>
      </c>
      <c r="W815" t="inlineStr">
        <is>
          <t>1993-08-20</t>
        </is>
      </c>
      <c r="X815" t="inlineStr">
        <is>
          <t>1993-08-20</t>
        </is>
      </c>
      <c r="Y815" t="n">
        <v>249</v>
      </c>
      <c r="Z815" t="n">
        <v>148</v>
      </c>
      <c r="AA815" t="n">
        <v>164</v>
      </c>
      <c r="AB815" t="n">
        <v>2</v>
      </c>
      <c r="AC815" t="n">
        <v>2</v>
      </c>
      <c r="AD815" t="n">
        <v>4</v>
      </c>
      <c r="AE815" t="n">
        <v>4</v>
      </c>
      <c r="AF815" t="n">
        <v>0</v>
      </c>
      <c r="AG815" t="n">
        <v>0</v>
      </c>
      <c r="AH815" t="n">
        <v>2</v>
      </c>
      <c r="AI815" t="n">
        <v>2</v>
      </c>
      <c r="AJ815" t="n">
        <v>2</v>
      </c>
      <c r="AK815" t="n">
        <v>2</v>
      </c>
      <c r="AL815" t="n">
        <v>1</v>
      </c>
      <c r="AM815" t="n">
        <v>1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HYPERLINK("http://catalog.hathitrust.org/Record/000104676","HathiTrust Record")</f>
        <v/>
      </c>
      <c r="AS815">
        <f>HYPERLINK("https://creighton-primo.hosted.exlibrisgroup.com/primo-explore/search?tab=default_tab&amp;search_scope=EVERYTHING&amp;vid=01CRU&amp;lang=en_US&amp;offset=0&amp;query=any,contains,991005001739702656","Catalog Record")</f>
        <v/>
      </c>
      <c r="AT815">
        <f>HYPERLINK("http://www.worldcat.org/oclc/6554027","WorldCat Record")</f>
        <v/>
      </c>
      <c r="AU815" t="inlineStr">
        <is>
          <t>22712194:eng</t>
        </is>
      </c>
      <c r="AV815" t="inlineStr">
        <is>
          <t>6554027</t>
        </is>
      </c>
      <c r="AW815" t="inlineStr">
        <is>
          <t>991005001739702656</t>
        </is>
      </c>
      <c r="AX815" t="inlineStr">
        <is>
          <t>991005001739702656</t>
        </is>
      </c>
      <c r="AY815" t="inlineStr">
        <is>
          <t>2255181850002656</t>
        </is>
      </c>
      <c r="AZ815" t="inlineStr">
        <is>
          <t>BOOK</t>
        </is>
      </c>
      <c r="BB815" t="inlineStr">
        <is>
          <t>9780387099989</t>
        </is>
      </c>
      <c r="BC815" t="inlineStr">
        <is>
          <t>32285001760577</t>
        </is>
      </c>
      <c r="BD815" t="inlineStr">
        <is>
          <t>893895730</t>
        </is>
      </c>
    </row>
    <row r="816">
      <c r="A816" t="inlineStr">
        <is>
          <t>No</t>
        </is>
      </c>
      <c r="B816" t="inlineStr">
        <is>
          <t>QH438.4.M3 S72 1999</t>
        </is>
      </c>
      <c r="C816" t="inlineStr">
        <is>
          <t>0                      QH 0438400M  3                  S  72          1999</t>
        </is>
      </c>
      <c r="D816" t="inlineStr">
        <is>
          <t>Statistics in molecular biology and genetics : selected proceedings of a 1997 Joint AMS-IMS-SIAM Summer Conference on Statistics in Molecular Biology / Francoise Seillier-Moiseiwitsch, editor.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L816" t="inlineStr">
        <is>
          <t>Hayward, California : Institute of Mathematical Statistics ; Providence, Rhode Island : American Mathematical Society, c1999.</t>
        </is>
      </c>
      <c r="M816" t="inlineStr">
        <is>
          <t>1999</t>
        </is>
      </c>
      <c r="O816" t="inlineStr">
        <is>
          <t>eng</t>
        </is>
      </c>
      <c r="P816" t="inlineStr">
        <is>
          <t>cau</t>
        </is>
      </c>
      <c r="R816" t="inlineStr">
        <is>
          <t xml:space="preserve">QH </t>
        </is>
      </c>
      <c r="S816" t="n">
        <v>13</v>
      </c>
      <c r="T816" t="n">
        <v>13</v>
      </c>
      <c r="U816" t="inlineStr">
        <is>
          <t>2006-09-18</t>
        </is>
      </c>
      <c r="V816" t="inlineStr">
        <is>
          <t>2006-09-18</t>
        </is>
      </c>
      <c r="W816" t="inlineStr">
        <is>
          <t>2000-08-01</t>
        </is>
      </c>
      <c r="X816" t="inlineStr">
        <is>
          <t>2000-08-01</t>
        </is>
      </c>
      <c r="Y816" t="n">
        <v>113</v>
      </c>
      <c r="Z816" t="n">
        <v>83</v>
      </c>
      <c r="AA816" t="n">
        <v>113</v>
      </c>
      <c r="AB816" t="n">
        <v>2</v>
      </c>
      <c r="AC816" t="n">
        <v>2</v>
      </c>
      <c r="AD816" t="n">
        <v>3</v>
      </c>
      <c r="AE816" t="n">
        <v>5</v>
      </c>
      <c r="AF816" t="n">
        <v>0</v>
      </c>
      <c r="AG816" t="n">
        <v>1</v>
      </c>
      <c r="AH816" t="n">
        <v>1</v>
      </c>
      <c r="AI816" t="n">
        <v>3</v>
      </c>
      <c r="AJ816" t="n">
        <v>2</v>
      </c>
      <c r="AK816" t="n">
        <v>2</v>
      </c>
      <c r="AL816" t="n">
        <v>1</v>
      </c>
      <c r="AM816" t="n">
        <v>1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HYPERLINK("https://creighton-primo.hosted.exlibrisgroup.com/primo-explore/search?tab=default_tab&amp;search_scope=EVERYTHING&amp;vid=01CRU&amp;lang=en_US&amp;offset=0&amp;query=any,contains,991003230039702656","Catalog Record")</f>
        <v/>
      </c>
      <c r="AT816">
        <f>HYPERLINK("http://www.worldcat.org/oclc/43299935","WorldCat Record")</f>
        <v/>
      </c>
      <c r="AU816" t="inlineStr">
        <is>
          <t>366216314:eng</t>
        </is>
      </c>
      <c r="AV816" t="inlineStr">
        <is>
          <t>43299935</t>
        </is>
      </c>
      <c r="AW816" t="inlineStr">
        <is>
          <t>991003230039702656</t>
        </is>
      </c>
      <c r="AX816" t="inlineStr">
        <is>
          <t>991003230039702656</t>
        </is>
      </c>
      <c r="AY816" t="inlineStr">
        <is>
          <t>2260236050002656</t>
        </is>
      </c>
      <c r="AZ816" t="inlineStr">
        <is>
          <t>BOOK</t>
        </is>
      </c>
      <c r="BB816" t="inlineStr">
        <is>
          <t>9780940600478</t>
        </is>
      </c>
      <c r="BC816" t="inlineStr">
        <is>
          <t>32285003744611</t>
        </is>
      </c>
      <c r="BD816" t="inlineStr">
        <is>
          <t>893252169</t>
        </is>
      </c>
    </row>
    <row r="817">
      <c r="A817" t="inlineStr">
        <is>
          <t>No</t>
        </is>
      </c>
      <c r="B817" t="inlineStr">
        <is>
          <t>QH438.4.S73 N37 1990</t>
        </is>
      </c>
      <c r="C817" t="inlineStr">
        <is>
          <t>0                      QH 0438400S  73                 N  37          1990</t>
        </is>
      </c>
      <c r="D817" t="inlineStr">
        <is>
          <t>Statistical genetics / Prem Narain.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Narain, Prem, Prof.</t>
        </is>
      </c>
      <c r="L817" t="inlineStr">
        <is>
          <t>New York ; New Delhi, India : Wiley, 1990.</t>
        </is>
      </c>
      <c r="M817" t="inlineStr">
        <is>
          <t>1990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QH </t>
        </is>
      </c>
      <c r="S817" t="n">
        <v>7</v>
      </c>
      <c r="T817" t="n">
        <v>7</v>
      </c>
      <c r="U817" t="inlineStr">
        <is>
          <t>2001-02-07</t>
        </is>
      </c>
      <c r="V817" t="inlineStr">
        <is>
          <t>2001-02-07</t>
        </is>
      </c>
      <c r="W817" t="inlineStr">
        <is>
          <t>1991-05-31</t>
        </is>
      </c>
      <c r="X817" t="inlineStr">
        <is>
          <t>1991-05-31</t>
        </is>
      </c>
      <c r="Y817" t="n">
        <v>153</v>
      </c>
      <c r="Z817" t="n">
        <v>107</v>
      </c>
      <c r="AA817" t="n">
        <v>109</v>
      </c>
      <c r="AB817" t="n">
        <v>3</v>
      </c>
      <c r="AC817" t="n">
        <v>3</v>
      </c>
      <c r="AD817" t="n">
        <v>5</v>
      </c>
      <c r="AE817" t="n">
        <v>5</v>
      </c>
      <c r="AF817" t="n">
        <v>1</v>
      </c>
      <c r="AG817" t="n">
        <v>1</v>
      </c>
      <c r="AH817" t="n">
        <v>1</v>
      </c>
      <c r="AI817" t="n">
        <v>1</v>
      </c>
      <c r="AJ817" t="n">
        <v>2</v>
      </c>
      <c r="AK817" t="n">
        <v>2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HYPERLINK("http://catalog.hathitrust.org/Record/002209954","HathiTrust Record")</f>
        <v/>
      </c>
      <c r="AS817">
        <f>HYPERLINK("https://creighton-primo.hosted.exlibrisgroup.com/primo-explore/search?tab=default_tab&amp;search_scope=EVERYTHING&amp;vid=01CRU&amp;lang=en_US&amp;offset=0&amp;query=any,contains,991001411339702656","Catalog Record")</f>
        <v/>
      </c>
      <c r="AT817">
        <f>HYPERLINK("http://www.worldcat.org/oclc/18907555","WorldCat Record")</f>
        <v/>
      </c>
      <c r="AU817" t="inlineStr">
        <is>
          <t>192723467:eng</t>
        </is>
      </c>
      <c r="AV817" t="inlineStr">
        <is>
          <t>18907555</t>
        </is>
      </c>
      <c r="AW817" t="inlineStr">
        <is>
          <t>991001411339702656</t>
        </is>
      </c>
      <c r="AX817" t="inlineStr">
        <is>
          <t>991001411339702656</t>
        </is>
      </c>
      <c r="AY817" t="inlineStr">
        <is>
          <t>2256734750002656</t>
        </is>
      </c>
      <c r="AZ817" t="inlineStr">
        <is>
          <t>BOOK</t>
        </is>
      </c>
      <c r="BB817" t="inlineStr">
        <is>
          <t>9788122402452</t>
        </is>
      </c>
      <c r="BC817" t="inlineStr">
        <is>
          <t>32285000590579</t>
        </is>
      </c>
      <c r="BD817" t="inlineStr">
        <is>
          <t>893328126</t>
        </is>
      </c>
    </row>
    <row r="818">
      <c r="A818" t="inlineStr">
        <is>
          <t>No</t>
        </is>
      </c>
      <c r="B818" t="inlineStr">
        <is>
          <t>QH438.4.S73 W45 1996</t>
        </is>
      </c>
      <c r="C818" t="inlineStr">
        <is>
          <t>0                      QH 0438400S  73                 W  45          1996</t>
        </is>
      </c>
      <c r="D818" t="inlineStr">
        <is>
          <t>Genetic data analysis II : methods for discrete population genetic data / Bruce S. Weir.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Weir, B. S. (Bruce S.), 1943-</t>
        </is>
      </c>
      <c r="L818" t="inlineStr">
        <is>
          <t>Sunderland, Mass. : Sinauer Associates, c1996.</t>
        </is>
      </c>
      <c r="M818" t="inlineStr">
        <is>
          <t>1996</t>
        </is>
      </c>
      <c r="O818" t="inlineStr">
        <is>
          <t>eng</t>
        </is>
      </c>
      <c r="P818" t="inlineStr">
        <is>
          <t>mau</t>
        </is>
      </c>
      <c r="R818" t="inlineStr">
        <is>
          <t xml:space="preserve">QH </t>
        </is>
      </c>
      <c r="S818" t="n">
        <v>61</v>
      </c>
      <c r="T818" t="n">
        <v>61</v>
      </c>
      <c r="U818" t="inlineStr">
        <is>
          <t>2005-07-20</t>
        </is>
      </c>
      <c r="V818" t="inlineStr">
        <is>
          <t>2005-07-20</t>
        </is>
      </c>
      <c r="W818" t="inlineStr">
        <is>
          <t>1997-04-24</t>
        </is>
      </c>
      <c r="X818" t="inlineStr">
        <is>
          <t>1997-04-24</t>
        </is>
      </c>
      <c r="Y818" t="n">
        <v>441</v>
      </c>
      <c r="Z818" t="n">
        <v>320</v>
      </c>
      <c r="AA818" t="n">
        <v>466</v>
      </c>
      <c r="AB818" t="n">
        <v>3</v>
      </c>
      <c r="AC818" t="n">
        <v>4</v>
      </c>
      <c r="AD818" t="n">
        <v>15</v>
      </c>
      <c r="AE818" t="n">
        <v>18</v>
      </c>
      <c r="AF818" t="n">
        <v>6</v>
      </c>
      <c r="AG818" t="n">
        <v>7</v>
      </c>
      <c r="AH818" t="n">
        <v>2</v>
      </c>
      <c r="AI818" t="n">
        <v>5</v>
      </c>
      <c r="AJ818" t="n">
        <v>8</v>
      </c>
      <c r="AK818" t="n">
        <v>8</v>
      </c>
      <c r="AL818" t="n">
        <v>2</v>
      </c>
      <c r="AM818" t="n">
        <v>2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HYPERLINK("http://catalog.hathitrust.org/Record/004561922","HathiTrust Record")</f>
        <v/>
      </c>
      <c r="AS818">
        <f>HYPERLINK("https://creighton-primo.hosted.exlibrisgroup.com/primo-explore/search?tab=default_tab&amp;search_scope=EVERYTHING&amp;vid=01CRU&amp;lang=en_US&amp;offset=0&amp;query=any,contains,991005423659702656","Catalog Record")</f>
        <v/>
      </c>
      <c r="AT818">
        <f>HYPERLINK("http://www.worldcat.org/oclc/34564935","WorldCat Record")</f>
        <v/>
      </c>
      <c r="AU818" t="inlineStr">
        <is>
          <t>335117900:eng</t>
        </is>
      </c>
      <c r="AV818" t="inlineStr">
        <is>
          <t>34564935</t>
        </is>
      </c>
      <c r="AW818" t="inlineStr">
        <is>
          <t>991005423659702656</t>
        </is>
      </c>
      <c r="AX818" t="inlineStr">
        <is>
          <t>991005423659702656</t>
        </is>
      </c>
      <c r="AY818" t="inlineStr">
        <is>
          <t>2267694710002656</t>
        </is>
      </c>
      <c r="AZ818" t="inlineStr">
        <is>
          <t>BOOK</t>
        </is>
      </c>
      <c r="BB818" t="inlineStr">
        <is>
          <t>9780878939022</t>
        </is>
      </c>
      <c r="BC818" t="inlineStr">
        <is>
          <t>32285002540473</t>
        </is>
      </c>
      <c r="BD818" t="inlineStr">
        <is>
          <t>893412878</t>
        </is>
      </c>
    </row>
    <row r="819">
      <c r="A819" t="inlineStr">
        <is>
          <t>No</t>
        </is>
      </c>
      <c r="B819" t="inlineStr">
        <is>
          <t>QH438.5 .C7</t>
        </is>
      </c>
      <c r="C819" t="inlineStr">
        <is>
          <t>0                      QH 0438500C  7</t>
        </is>
      </c>
      <c r="D819" t="inlineStr">
        <is>
          <t>The triumph of evolution : American scientists and the heredity-environment controversy, 1900-1941 / Hamilton Cravens.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Cravens, Hamilton.</t>
        </is>
      </c>
      <c r="L819" t="inlineStr">
        <is>
          <t>Philadelphia : University of Pennsylvania Press, 1978.</t>
        </is>
      </c>
      <c r="M819" t="inlineStr">
        <is>
          <t>1978</t>
        </is>
      </c>
      <c r="O819" t="inlineStr">
        <is>
          <t>eng</t>
        </is>
      </c>
      <c r="P819" t="inlineStr">
        <is>
          <t>pau</t>
        </is>
      </c>
      <c r="R819" t="inlineStr">
        <is>
          <t xml:space="preserve">QH </t>
        </is>
      </c>
      <c r="S819" t="n">
        <v>2</v>
      </c>
      <c r="T819" t="n">
        <v>2</v>
      </c>
      <c r="U819" t="inlineStr">
        <is>
          <t>2000-11-15</t>
        </is>
      </c>
      <c r="V819" t="inlineStr">
        <is>
          <t>2000-11-15</t>
        </is>
      </c>
      <c r="W819" t="inlineStr">
        <is>
          <t>1993-04-07</t>
        </is>
      </c>
      <c r="X819" t="inlineStr">
        <is>
          <t>1993-04-07</t>
        </is>
      </c>
      <c r="Y819" t="n">
        <v>750</v>
      </c>
      <c r="Z819" t="n">
        <v>644</v>
      </c>
      <c r="AA819" t="n">
        <v>866</v>
      </c>
      <c r="AB819" t="n">
        <v>3</v>
      </c>
      <c r="AC819" t="n">
        <v>4</v>
      </c>
      <c r="AD819" t="n">
        <v>21</v>
      </c>
      <c r="AE819" t="n">
        <v>34</v>
      </c>
      <c r="AF819" t="n">
        <v>9</v>
      </c>
      <c r="AG819" t="n">
        <v>18</v>
      </c>
      <c r="AH819" t="n">
        <v>4</v>
      </c>
      <c r="AI819" t="n">
        <v>7</v>
      </c>
      <c r="AJ819" t="n">
        <v>11</v>
      </c>
      <c r="AK819" t="n">
        <v>16</v>
      </c>
      <c r="AL819" t="n">
        <v>2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HYPERLINK("http://catalog.hathitrust.org/Record/000131649","HathiTrust Record")</f>
        <v/>
      </c>
      <c r="AS819">
        <f>HYPERLINK("https://creighton-primo.hosted.exlibrisgroup.com/primo-explore/search?tab=default_tab&amp;search_scope=EVERYTHING&amp;vid=01CRU&amp;lang=en_US&amp;offset=0&amp;query=any,contains,991004499589702656","Catalog Record")</f>
        <v/>
      </c>
      <c r="AT819">
        <f>HYPERLINK("http://www.worldcat.org/oclc/3710750","WorldCat Record")</f>
        <v/>
      </c>
      <c r="AU819" t="inlineStr">
        <is>
          <t>292023426:eng</t>
        </is>
      </c>
      <c r="AV819" t="inlineStr">
        <is>
          <t>3710750</t>
        </is>
      </c>
      <c r="AW819" t="inlineStr">
        <is>
          <t>991004499589702656</t>
        </is>
      </c>
      <c r="AX819" t="inlineStr">
        <is>
          <t>991004499589702656</t>
        </is>
      </c>
      <c r="AY819" t="inlineStr">
        <is>
          <t>2263902750002656</t>
        </is>
      </c>
      <c r="AZ819" t="inlineStr">
        <is>
          <t>BOOK</t>
        </is>
      </c>
      <c r="BB819" t="inlineStr">
        <is>
          <t>9780812277449</t>
        </is>
      </c>
      <c r="BC819" t="inlineStr">
        <is>
          <t>32285001554814</t>
        </is>
      </c>
      <c r="BD819" t="inlineStr">
        <is>
          <t>893895062</t>
        </is>
      </c>
    </row>
    <row r="820">
      <c r="A820" t="inlineStr">
        <is>
          <t>No</t>
        </is>
      </c>
      <c r="B820" t="inlineStr">
        <is>
          <t>QH438.5 .H4 1977</t>
        </is>
      </c>
      <c r="C820" t="inlineStr">
        <is>
          <t>0                      QH 0438500H  4           1977</t>
        </is>
      </c>
      <c r="D820" t="inlineStr">
        <is>
          <t>Heredity &amp; environment / edited by A. H. Halsey.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L820" t="inlineStr">
        <is>
          <t>New York : Free Press, 1977.</t>
        </is>
      </c>
      <c r="M820" t="inlineStr">
        <is>
          <t>1977</t>
        </is>
      </c>
      <c r="N820" t="inlineStr">
        <is>
          <t>1st American ed.</t>
        </is>
      </c>
      <c r="O820" t="inlineStr">
        <is>
          <t>eng</t>
        </is>
      </c>
      <c r="P820" t="inlineStr">
        <is>
          <t>nyu</t>
        </is>
      </c>
      <c r="R820" t="inlineStr">
        <is>
          <t xml:space="preserve">QH </t>
        </is>
      </c>
      <c r="S820" t="n">
        <v>12</v>
      </c>
      <c r="T820" t="n">
        <v>12</v>
      </c>
      <c r="U820" t="inlineStr">
        <is>
          <t>2002-11-27</t>
        </is>
      </c>
      <c r="V820" t="inlineStr">
        <is>
          <t>2002-11-27</t>
        </is>
      </c>
      <c r="W820" t="inlineStr">
        <is>
          <t>1992-02-25</t>
        </is>
      </c>
      <c r="X820" t="inlineStr">
        <is>
          <t>1992-02-25</t>
        </is>
      </c>
      <c r="Y820" t="n">
        <v>505</v>
      </c>
      <c r="Z820" t="n">
        <v>468</v>
      </c>
      <c r="AA820" t="n">
        <v>547</v>
      </c>
      <c r="AB820" t="n">
        <v>4</v>
      </c>
      <c r="AC820" t="n">
        <v>5</v>
      </c>
      <c r="AD820" t="n">
        <v>18</v>
      </c>
      <c r="AE820" t="n">
        <v>21</v>
      </c>
      <c r="AF820" t="n">
        <v>8</v>
      </c>
      <c r="AG820" t="n">
        <v>8</v>
      </c>
      <c r="AH820" t="n">
        <v>4</v>
      </c>
      <c r="AI820" t="n">
        <v>4</v>
      </c>
      <c r="AJ820" t="n">
        <v>8</v>
      </c>
      <c r="AK820" t="n">
        <v>10</v>
      </c>
      <c r="AL820" t="n">
        <v>3</v>
      </c>
      <c r="AM820" t="n">
        <v>4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HYPERLINK("http://catalog.hathitrust.org/Record/000749476","HathiTrust Record")</f>
        <v/>
      </c>
      <c r="AS820">
        <f>HYPERLINK("https://creighton-primo.hosted.exlibrisgroup.com/primo-explore/search?tab=default_tab&amp;search_scope=EVERYTHING&amp;vid=01CRU&amp;lang=en_US&amp;offset=0&amp;query=any,contains,991004410969702656","Catalog Record")</f>
        <v/>
      </c>
      <c r="AT820">
        <f>HYPERLINK("http://www.worldcat.org/oclc/3341177","WorldCat Record")</f>
        <v/>
      </c>
      <c r="AU820" t="inlineStr">
        <is>
          <t>54187486:eng</t>
        </is>
      </c>
      <c r="AV820" t="inlineStr">
        <is>
          <t>3341177</t>
        </is>
      </c>
      <c r="AW820" t="inlineStr">
        <is>
          <t>991004410969702656</t>
        </is>
      </c>
      <c r="AX820" t="inlineStr">
        <is>
          <t>991004410969702656</t>
        </is>
      </c>
      <c r="AY820" t="inlineStr">
        <is>
          <t>2259531210002656</t>
        </is>
      </c>
      <c r="AZ820" t="inlineStr">
        <is>
          <t>BOOK</t>
        </is>
      </c>
      <c r="BB820" t="inlineStr">
        <is>
          <t>9780029136706</t>
        </is>
      </c>
      <c r="BC820" t="inlineStr">
        <is>
          <t>32285000976174</t>
        </is>
      </c>
      <c r="BD820" t="inlineStr">
        <is>
          <t>893325349</t>
        </is>
      </c>
    </row>
    <row r="821">
      <c r="A821" t="inlineStr">
        <is>
          <t>No</t>
        </is>
      </c>
      <c r="B821" t="inlineStr">
        <is>
          <t>QH438.5 .L49 2000</t>
        </is>
      </c>
      <c r="C821" t="inlineStr">
        <is>
          <t>0                      QH 0438500L  49          2000</t>
        </is>
      </c>
      <c r="D821" t="inlineStr">
        <is>
          <t>It ain't necessarily so : the dream of the human genome and other illusions / by Richard Lewontin.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Lewontin, Richard C., 1929-</t>
        </is>
      </c>
      <c r="L821" t="inlineStr">
        <is>
          <t>New York : New York Review Books, 2000.</t>
        </is>
      </c>
      <c r="M821" t="inlineStr">
        <is>
          <t>2000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QH </t>
        </is>
      </c>
      <c r="S821" t="n">
        <v>7</v>
      </c>
      <c r="T821" t="n">
        <v>7</v>
      </c>
      <c r="U821" t="inlineStr">
        <is>
          <t>2001-11-04</t>
        </is>
      </c>
      <c r="V821" t="inlineStr">
        <is>
          <t>2001-11-04</t>
        </is>
      </c>
      <c r="W821" t="inlineStr">
        <is>
          <t>2000-12-14</t>
        </is>
      </c>
      <c r="X821" t="inlineStr">
        <is>
          <t>2000-12-14</t>
        </is>
      </c>
      <c r="Y821" t="n">
        <v>532</v>
      </c>
      <c r="Z821" t="n">
        <v>466</v>
      </c>
      <c r="AA821" t="n">
        <v>542</v>
      </c>
      <c r="AB821" t="n">
        <v>4</v>
      </c>
      <c r="AC821" t="n">
        <v>5</v>
      </c>
      <c r="AD821" t="n">
        <v>16</v>
      </c>
      <c r="AE821" t="n">
        <v>23</v>
      </c>
      <c r="AF821" t="n">
        <v>6</v>
      </c>
      <c r="AG821" t="n">
        <v>7</v>
      </c>
      <c r="AH821" t="n">
        <v>2</v>
      </c>
      <c r="AI821" t="n">
        <v>4</v>
      </c>
      <c r="AJ821" t="n">
        <v>8</v>
      </c>
      <c r="AK821" t="n">
        <v>11</v>
      </c>
      <c r="AL821" t="n">
        <v>2</v>
      </c>
      <c r="AM821" t="n">
        <v>3</v>
      </c>
      <c r="AN821" t="n">
        <v>1</v>
      </c>
      <c r="AO821" t="n">
        <v>2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HYPERLINK("http://catalog.hathitrust.org/Record/003529998","HathiTrust Record")</f>
        <v/>
      </c>
      <c r="AS821">
        <f>HYPERLINK("https://creighton-primo.hosted.exlibrisgroup.com/primo-explore/search?tab=default_tab&amp;search_scope=EVERYTHING&amp;vid=01CRU&amp;lang=en_US&amp;offset=0&amp;query=any,contains,991003353039702656","Catalog Record")</f>
        <v/>
      </c>
      <c r="AT821">
        <f>HYPERLINK("http://www.worldcat.org/oclc/42761814","WorldCat Record")</f>
        <v/>
      </c>
      <c r="AU821" t="inlineStr">
        <is>
          <t>836999110:eng</t>
        </is>
      </c>
      <c r="AV821" t="inlineStr">
        <is>
          <t>42761814</t>
        </is>
      </c>
      <c r="AW821" t="inlineStr">
        <is>
          <t>991003353039702656</t>
        </is>
      </c>
      <c r="AX821" t="inlineStr">
        <is>
          <t>991003353039702656</t>
        </is>
      </c>
      <c r="AY821" t="inlineStr">
        <is>
          <t>2270173180002656</t>
        </is>
      </c>
      <c r="AZ821" t="inlineStr">
        <is>
          <t>BOOK</t>
        </is>
      </c>
      <c r="BB821" t="inlineStr">
        <is>
          <t>9780940322103</t>
        </is>
      </c>
      <c r="BC821" t="inlineStr">
        <is>
          <t>32285004276753</t>
        </is>
      </c>
      <c r="BD821" t="inlineStr">
        <is>
          <t>893234094</t>
        </is>
      </c>
    </row>
    <row r="822">
      <c r="A822" t="inlineStr">
        <is>
          <t>No</t>
        </is>
      </c>
      <c r="B822" t="inlineStr">
        <is>
          <t>QH438.7 .B3 1977</t>
        </is>
      </c>
      <c r="C822" t="inlineStr">
        <is>
          <t>0                      QH 0438700B  3           1977</t>
        </is>
      </c>
      <c r="D822" t="inlineStr">
        <is>
          <t>Heredity and society : readings in social genetics / edited by Adela S. Baer.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Baer, Adela S., 1931- compiler.</t>
        </is>
      </c>
      <c r="L822" t="inlineStr">
        <is>
          <t>New York : Macmillan, c1977.</t>
        </is>
      </c>
      <c r="M822" t="inlineStr">
        <is>
          <t>1977</t>
        </is>
      </c>
      <c r="N822" t="inlineStr">
        <is>
          <t>2d ed.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QH </t>
        </is>
      </c>
      <c r="S822" t="n">
        <v>9</v>
      </c>
      <c r="T822" t="n">
        <v>9</v>
      </c>
      <c r="U822" t="inlineStr">
        <is>
          <t>1996-09-28</t>
        </is>
      </c>
      <c r="V822" t="inlineStr">
        <is>
          <t>1996-09-28</t>
        </is>
      </c>
      <c r="W822" t="inlineStr">
        <is>
          <t>1993-04-07</t>
        </is>
      </c>
      <c r="X822" t="inlineStr">
        <is>
          <t>1993-04-07</t>
        </is>
      </c>
      <c r="Y822" t="n">
        <v>261</v>
      </c>
      <c r="Z822" t="n">
        <v>180</v>
      </c>
      <c r="AA822" t="n">
        <v>505</v>
      </c>
      <c r="AB822" t="n">
        <v>2</v>
      </c>
      <c r="AC822" t="n">
        <v>4</v>
      </c>
      <c r="AD822" t="n">
        <v>8</v>
      </c>
      <c r="AE822" t="n">
        <v>17</v>
      </c>
      <c r="AF822" t="n">
        <v>2</v>
      </c>
      <c r="AG822" t="n">
        <v>8</v>
      </c>
      <c r="AH822" t="n">
        <v>2</v>
      </c>
      <c r="AI822" t="n">
        <v>3</v>
      </c>
      <c r="AJ822" t="n">
        <v>3</v>
      </c>
      <c r="AK822" t="n">
        <v>5</v>
      </c>
      <c r="AL822" t="n">
        <v>1</v>
      </c>
      <c r="AM822" t="n">
        <v>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HYPERLINK("https://creighton-primo.hosted.exlibrisgroup.com/primo-explore/search?tab=default_tab&amp;search_scope=EVERYTHING&amp;vid=01CRU&amp;lang=en_US&amp;offset=0&amp;query=any,contains,991004011239702656","Catalog Record")</f>
        <v/>
      </c>
      <c r="AT822">
        <f>HYPERLINK("http://www.worldcat.org/oclc/2091528","WorldCat Record")</f>
        <v/>
      </c>
      <c r="AU822" t="inlineStr">
        <is>
          <t>1675752:eng</t>
        </is>
      </c>
      <c r="AV822" t="inlineStr">
        <is>
          <t>2091528</t>
        </is>
      </c>
      <c r="AW822" t="inlineStr">
        <is>
          <t>991004011239702656</t>
        </is>
      </c>
      <c r="AX822" t="inlineStr">
        <is>
          <t>991004011239702656</t>
        </is>
      </c>
      <c r="AY822" t="inlineStr">
        <is>
          <t>2269360290002656</t>
        </is>
      </c>
      <c r="AZ822" t="inlineStr">
        <is>
          <t>BOOK</t>
        </is>
      </c>
      <c r="BB822" t="inlineStr">
        <is>
          <t>9780023051609</t>
        </is>
      </c>
      <c r="BC822" t="inlineStr">
        <is>
          <t>32285001554822</t>
        </is>
      </c>
      <c r="BD822" t="inlineStr">
        <is>
          <t>893535763</t>
        </is>
      </c>
    </row>
    <row r="823">
      <c r="A823" t="inlineStr">
        <is>
          <t>No</t>
        </is>
      </c>
      <c r="B823" t="inlineStr">
        <is>
          <t>QH438.7 .S89 1989</t>
        </is>
      </c>
      <c r="C823" t="inlineStr">
        <is>
          <t>0                      QH 0438700S  89          1989</t>
        </is>
      </c>
      <c r="D823" t="inlineStr">
        <is>
          <t>Genethics : the clash between the new genetics and human values / David Suzuki &amp; Peter Knudtson.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Suzuki, David, 1936-</t>
        </is>
      </c>
      <c r="L823" t="inlineStr">
        <is>
          <t>Cambridge, Mass. : Harvard University Press, 1989.</t>
        </is>
      </c>
      <c r="M823" t="inlineStr">
        <is>
          <t>1989</t>
        </is>
      </c>
      <c r="O823" t="inlineStr">
        <is>
          <t>eng</t>
        </is>
      </c>
      <c r="P823" t="inlineStr">
        <is>
          <t>mau</t>
        </is>
      </c>
      <c r="R823" t="inlineStr">
        <is>
          <t xml:space="preserve">QH </t>
        </is>
      </c>
      <c r="S823" t="n">
        <v>39</v>
      </c>
      <c r="T823" t="n">
        <v>39</v>
      </c>
      <c r="U823" t="inlineStr">
        <is>
          <t>1999-03-07</t>
        </is>
      </c>
      <c r="V823" t="inlineStr">
        <is>
          <t>1999-03-07</t>
        </is>
      </c>
      <c r="W823" t="inlineStr">
        <is>
          <t>1991-11-08</t>
        </is>
      </c>
      <c r="X823" t="inlineStr">
        <is>
          <t>1991-11-08</t>
        </is>
      </c>
      <c r="Y823" t="n">
        <v>1076</v>
      </c>
      <c r="Z823" t="n">
        <v>981</v>
      </c>
      <c r="AA823" t="n">
        <v>1031</v>
      </c>
      <c r="AB823" t="n">
        <v>6</v>
      </c>
      <c r="AC823" t="n">
        <v>6</v>
      </c>
      <c r="AD823" t="n">
        <v>32</v>
      </c>
      <c r="AE823" t="n">
        <v>33</v>
      </c>
      <c r="AF823" t="n">
        <v>9</v>
      </c>
      <c r="AG823" t="n">
        <v>10</v>
      </c>
      <c r="AH823" t="n">
        <v>8</v>
      </c>
      <c r="AI823" t="n">
        <v>8</v>
      </c>
      <c r="AJ823" t="n">
        <v>13</v>
      </c>
      <c r="AK823" t="n">
        <v>14</v>
      </c>
      <c r="AL823" t="n">
        <v>5</v>
      </c>
      <c r="AM823" t="n">
        <v>5</v>
      </c>
      <c r="AN823" t="n">
        <v>3</v>
      </c>
      <c r="AO823" t="n">
        <v>3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HYPERLINK("http://catalog.hathitrust.org/Record/001087011","HathiTrust Record")</f>
        <v/>
      </c>
      <c r="AS823">
        <f>HYPERLINK("https://creighton-primo.hosted.exlibrisgroup.com/primo-explore/search?tab=default_tab&amp;search_scope=EVERYTHING&amp;vid=01CRU&amp;lang=en_US&amp;offset=0&amp;query=any,contains,991001351819702656","Catalog Record")</f>
        <v/>
      </c>
      <c r="AT823">
        <f>HYPERLINK("http://www.worldcat.org/oclc/18442424","WorldCat Record")</f>
        <v/>
      </c>
      <c r="AU823" t="inlineStr">
        <is>
          <t>3960832578:eng</t>
        </is>
      </c>
      <c r="AV823" t="inlineStr">
        <is>
          <t>18442424</t>
        </is>
      </c>
      <c r="AW823" t="inlineStr">
        <is>
          <t>991001351819702656</t>
        </is>
      </c>
      <c r="AX823" t="inlineStr">
        <is>
          <t>991001351819702656</t>
        </is>
      </c>
      <c r="AY823" t="inlineStr">
        <is>
          <t>2269512850002656</t>
        </is>
      </c>
      <c r="AZ823" t="inlineStr">
        <is>
          <t>BOOK</t>
        </is>
      </c>
      <c r="BB823" t="inlineStr">
        <is>
          <t>9780674345652</t>
        </is>
      </c>
      <c r="BC823" t="inlineStr">
        <is>
          <t>32285000821164</t>
        </is>
      </c>
      <c r="BD823" t="inlineStr">
        <is>
          <t>893872482</t>
        </is>
      </c>
    </row>
    <row r="824">
      <c r="A824" t="inlineStr">
        <is>
          <t>No</t>
        </is>
      </c>
      <c r="B824" t="inlineStr">
        <is>
          <t>QH44 .K58 1999</t>
        </is>
      </c>
      <c r="C824" t="inlineStr">
        <is>
          <t>0                      QH 0044000K  58          1999</t>
        </is>
      </c>
      <c r="D824" t="inlineStr">
        <is>
          <t>Linnaeus : nature and nation / Lisbet Koerner.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Koerner, Lisbet.</t>
        </is>
      </c>
      <c r="L824" t="inlineStr">
        <is>
          <t>Cambridge, Mass. : Harvard University Press, 1999.</t>
        </is>
      </c>
      <c r="M824" t="inlineStr">
        <is>
          <t>1999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QH </t>
        </is>
      </c>
      <c r="S824" t="n">
        <v>3</v>
      </c>
      <c r="T824" t="n">
        <v>3</v>
      </c>
      <c r="U824" t="inlineStr">
        <is>
          <t>2001-01-03</t>
        </is>
      </c>
      <c r="V824" t="inlineStr">
        <is>
          <t>2001-01-03</t>
        </is>
      </c>
      <c r="W824" t="inlineStr">
        <is>
          <t>2001-01-03</t>
        </is>
      </c>
      <c r="X824" t="inlineStr">
        <is>
          <t>2001-01-03</t>
        </is>
      </c>
      <c r="Y824" t="n">
        <v>611</v>
      </c>
      <c r="Z824" t="n">
        <v>515</v>
      </c>
      <c r="AA824" t="n">
        <v>544</v>
      </c>
      <c r="AB824" t="n">
        <v>3</v>
      </c>
      <c r="AC824" t="n">
        <v>3</v>
      </c>
      <c r="AD824" t="n">
        <v>17</v>
      </c>
      <c r="AE824" t="n">
        <v>19</v>
      </c>
      <c r="AF824" t="n">
        <v>6</v>
      </c>
      <c r="AG824" t="n">
        <v>7</v>
      </c>
      <c r="AH824" t="n">
        <v>3</v>
      </c>
      <c r="AI824" t="n">
        <v>3</v>
      </c>
      <c r="AJ824" t="n">
        <v>8</v>
      </c>
      <c r="AK824" t="n">
        <v>9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HYPERLINK("http://catalog.hathitrust.org/Record/004081608","HathiTrust Record")</f>
        <v/>
      </c>
      <c r="AS824">
        <f>HYPERLINK("https://creighton-primo.hosted.exlibrisgroup.com/primo-explore/search?tab=default_tab&amp;search_scope=EVERYTHING&amp;vid=01CRU&amp;lang=en_US&amp;offset=0&amp;query=any,contains,991003343879702656","Catalog Record")</f>
        <v/>
      </c>
      <c r="AT824">
        <f>HYPERLINK("http://www.worldcat.org/oclc/41431772","WorldCat Record")</f>
        <v/>
      </c>
      <c r="AU824" t="inlineStr">
        <is>
          <t>806818847:eng</t>
        </is>
      </c>
      <c r="AV824" t="inlineStr">
        <is>
          <t>41431772</t>
        </is>
      </c>
      <c r="AW824" t="inlineStr">
        <is>
          <t>991003343879702656</t>
        </is>
      </c>
      <c r="AX824" t="inlineStr">
        <is>
          <t>991003343879702656</t>
        </is>
      </c>
      <c r="AY824" t="inlineStr">
        <is>
          <t>2272026150002656</t>
        </is>
      </c>
      <c r="AZ824" t="inlineStr">
        <is>
          <t>BOOK</t>
        </is>
      </c>
      <c r="BB824" t="inlineStr">
        <is>
          <t>9780674097452</t>
        </is>
      </c>
      <c r="BC824" t="inlineStr">
        <is>
          <t>32285004278825</t>
        </is>
      </c>
      <c r="BD824" t="inlineStr">
        <is>
          <t>893799628</t>
        </is>
      </c>
    </row>
    <row r="825">
      <c r="A825" t="inlineStr">
        <is>
          <t>No</t>
        </is>
      </c>
      <c r="B825" t="inlineStr">
        <is>
          <t>QH440.4 .S53</t>
        </is>
      </c>
      <c r="C825" t="inlineStr">
        <is>
          <t>0                      QH 0440400S  53</t>
        </is>
      </c>
      <c r="D825" t="inlineStr">
        <is>
          <t>Practical genetics / edited by P. M. Sheppard.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Sheppard, P. M. (Philip MacDonald)</t>
        </is>
      </c>
      <c r="L825" t="inlineStr">
        <is>
          <t>New York : Wiley, [1973]</t>
        </is>
      </c>
      <c r="M825" t="inlineStr">
        <is>
          <t>1973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QH </t>
        </is>
      </c>
      <c r="S825" t="n">
        <v>2</v>
      </c>
      <c r="T825" t="n">
        <v>2</v>
      </c>
      <c r="U825" t="inlineStr">
        <is>
          <t>2002-10-08</t>
        </is>
      </c>
      <c r="V825" t="inlineStr">
        <is>
          <t>2002-10-08</t>
        </is>
      </c>
      <c r="W825" t="inlineStr">
        <is>
          <t>1994-11-02</t>
        </is>
      </c>
      <c r="X825" t="inlineStr">
        <is>
          <t>1994-11-02</t>
        </is>
      </c>
      <c r="Y825" t="n">
        <v>283</v>
      </c>
      <c r="Z825" t="n">
        <v>258</v>
      </c>
      <c r="AA825" t="n">
        <v>282</v>
      </c>
      <c r="AB825" t="n">
        <v>5</v>
      </c>
      <c r="AC825" t="n">
        <v>5</v>
      </c>
      <c r="AD825" t="n">
        <v>8</v>
      </c>
      <c r="AE825" t="n">
        <v>9</v>
      </c>
      <c r="AF825" t="n">
        <v>1</v>
      </c>
      <c r="AG825" t="n">
        <v>1</v>
      </c>
      <c r="AH825" t="n">
        <v>2</v>
      </c>
      <c r="AI825" t="n">
        <v>2</v>
      </c>
      <c r="AJ825" t="n">
        <v>1</v>
      </c>
      <c r="AK825" t="n">
        <v>2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HYPERLINK("http://catalog.hathitrust.org/Record/005708960","HathiTrust Record")</f>
        <v/>
      </c>
      <c r="AS825">
        <f>HYPERLINK("https://creighton-primo.hosted.exlibrisgroup.com/primo-explore/search?tab=default_tab&amp;search_scope=EVERYTHING&amp;vid=01CRU&amp;lang=en_US&amp;offset=0&amp;query=any,contains,991003114239702656","Catalog Record")</f>
        <v/>
      </c>
      <c r="AT825">
        <f>HYPERLINK("http://www.worldcat.org/oclc/659047","WorldCat Record")</f>
        <v/>
      </c>
      <c r="AU825" t="inlineStr">
        <is>
          <t>356205963:eng</t>
        </is>
      </c>
      <c r="AV825" t="inlineStr">
        <is>
          <t>659047</t>
        </is>
      </c>
      <c r="AW825" t="inlineStr">
        <is>
          <t>991003114239702656</t>
        </is>
      </c>
      <c r="AX825" t="inlineStr">
        <is>
          <t>991003114239702656</t>
        </is>
      </c>
      <c r="AY825" t="inlineStr">
        <is>
          <t>2260709260002656</t>
        </is>
      </c>
      <c r="AZ825" t="inlineStr">
        <is>
          <t>BOOK</t>
        </is>
      </c>
      <c r="BB825" t="inlineStr">
        <is>
          <t>9780470783603</t>
        </is>
      </c>
      <c r="BC825" t="inlineStr">
        <is>
          <t>32285001963924</t>
        </is>
      </c>
      <c r="BD825" t="inlineStr">
        <is>
          <t>893323773</t>
        </is>
      </c>
    </row>
    <row r="826">
      <c r="A826" t="inlineStr">
        <is>
          <t>No</t>
        </is>
      </c>
      <c r="B826" t="inlineStr">
        <is>
          <t>QH441 .M65 1989</t>
        </is>
      </c>
      <c r="C826" t="inlineStr">
        <is>
          <t>0                      QH 0441000M  65          1989</t>
        </is>
      </c>
      <c r="D826" t="inlineStr">
        <is>
          <t>Molecular genetics / edited by Edward J. Benz, Jr.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L826" t="inlineStr">
        <is>
          <t>Edinburgh ; New York : Churchill Livingstone, 1989.</t>
        </is>
      </c>
      <c r="M826" t="inlineStr">
        <is>
          <t>1989</t>
        </is>
      </c>
      <c r="N826" t="inlineStr">
        <is>
          <t>1st ed.</t>
        </is>
      </c>
      <c r="O826" t="inlineStr">
        <is>
          <t>eng</t>
        </is>
      </c>
      <c r="P826" t="inlineStr">
        <is>
          <t>stk</t>
        </is>
      </c>
      <c r="Q826" t="inlineStr">
        <is>
          <t>Methods in hemotology ; v. 20</t>
        </is>
      </c>
      <c r="R826" t="inlineStr">
        <is>
          <t xml:space="preserve">QH </t>
        </is>
      </c>
      <c r="S826" t="n">
        <v>6</v>
      </c>
      <c r="T826" t="n">
        <v>6</v>
      </c>
      <c r="U826" t="inlineStr">
        <is>
          <t>2001-07-02</t>
        </is>
      </c>
      <c r="V826" t="inlineStr">
        <is>
          <t>2001-07-02</t>
        </is>
      </c>
      <c r="W826" t="inlineStr">
        <is>
          <t>1990-01-02</t>
        </is>
      </c>
      <c r="X826" t="inlineStr">
        <is>
          <t>1990-01-02</t>
        </is>
      </c>
      <c r="Y826" t="n">
        <v>136</v>
      </c>
      <c r="Z826" t="n">
        <v>88</v>
      </c>
      <c r="AA826" t="n">
        <v>90</v>
      </c>
      <c r="AB826" t="n">
        <v>1</v>
      </c>
      <c r="AC826" t="n">
        <v>1</v>
      </c>
      <c r="AD826" t="n">
        <v>1</v>
      </c>
      <c r="AE826" t="n">
        <v>1</v>
      </c>
      <c r="AF826" t="n">
        <v>0</v>
      </c>
      <c r="AG826" t="n">
        <v>0</v>
      </c>
      <c r="AH826" t="n">
        <v>1</v>
      </c>
      <c r="AI826" t="n">
        <v>1</v>
      </c>
      <c r="AJ826" t="n">
        <v>1</v>
      </c>
      <c r="AK826" t="n">
        <v>1</v>
      </c>
      <c r="AL826" t="n">
        <v>0</v>
      </c>
      <c r="AM826" t="n">
        <v>0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HYPERLINK("http://catalog.hathitrust.org/Record/001533517","HathiTrust Record")</f>
        <v/>
      </c>
      <c r="AS826">
        <f>HYPERLINK("https://creighton-primo.hosted.exlibrisgroup.com/primo-explore/search?tab=default_tab&amp;search_scope=EVERYTHING&amp;vid=01CRU&amp;lang=en_US&amp;offset=0&amp;query=any,contains,991001351359702656","Catalog Record")</f>
        <v/>
      </c>
      <c r="AT826">
        <f>HYPERLINK("http://www.worldcat.org/oclc/18442132","WorldCat Record")</f>
        <v/>
      </c>
      <c r="AU826" t="inlineStr">
        <is>
          <t>55125878:eng</t>
        </is>
      </c>
      <c r="AV826" t="inlineStr">
        <is>
          <t>18442132</t>
        </is>
      </c>
      <c r="AW826" t="inlineStr">
        <is>
          <t>991001351359702656</t>
        </is>
      </c>
      <c r="AX826" t="inlineStr">
        <is>
          <t>991001351359702656</t>
        </is>
      </c>
      <c r="AY826" t="inlineStr">
        <is>
          <t>2269528530002656</t>
        </is>
      </c>
      <c r="AZ826" t="inlineStr">
        <is>
          <t>BOOK</t>
        </is>
      </c>
      <c r="BB826" t="inlineStr">
        <is>
          <t>9780443038525</t>
        </is>
      </c>
      <c r="BC826" t="inlineStr">
        <is>
          <t>32285000019959</t>
        </is>
      </c>
      <c r="BD826" t="inlineStr">
        <is>
          <t>893608780</t>
        </is>
      </c>
    </row>
    <row r="827">
      <c r="A827" t="inlineStr">
        <is>
          <t>No</t>
        </is>
      </c>
      <c r="B827" t="inlineStr">
        <is>
          <t>QH441.2 .M55 1996</t>
        </is>
      </c>
      <c r="C827" t="inlineStr">
        <is>
          <t>0                      QH 0441200M  55          1996</t>
        </is>
      </c>
      <c r="D827" t="inlineStr">
        <is>
          <t>An introduction to genetic algorithms / Melanie Mitchell.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Mitchell, Melanie.</t>
        </is>
      </c>
      <c r="L827" t="inlineStr">
        <is>
          <t>Cambridge, Mass. : MIT Press, c1996.</t>
        </is>
      </c>
      <c r="M827" t="inlineStr">
        <is>
          <t>1996</t>
        </is>
      </c>
      <c r="O827" t="inlineStr">
        <is>
          <t>eng</t>
        </is>
      </c>
      <c r="P827" t="inlineStr">
        <is>
          <t>mau</t>
        </is>
      </c>
      <c r="Q827" t="inlineStr">
        <is>
          <t>Complex adaptive systems</t>
        </is>
      </c>
      <c r="R827" t="inlineStr">
        <is>
          <t xml:space="preserve">QH </t>
        </is>
      </c>
      <c r="S827" t="n">
        <v>4</v>
      </c>
      <c r="T827" t="n">
        <v>4</v>
      </c>
      <c r="U827" t="inlineStr">
        <is>
          <t>2002-12-23</t>
        </is>
      </c>
      <c r="V827" t="inlineStr">
        <is>
          <t>2002-12-23</t>
        </is>
      </c>
      <c r="W827" t="inlineStr">
        <is>
          <t>1996-04-12</t>
        </is>
      </c>
      <c r="X827" t="inlineStr">
        <is>
          <t>1996-04-12</t>
        </is>
      </c>
      <c r="Y827" t="n">
        <v>642</v>
      </c>
      <c r="Z827" t="n">
        <v>457</v>
      </c>
      <c r="AA827" t="n">
        <v>1173</v>
      </c>
      <c r="AB827" t="n">
        <v>6</v>
      </c>
      <c r="AC827" t="n">
        <v>9</v>
      </c>
      <c r="AD827" t="n">
        <v>26</v>
      </c>
      <c r="AE827" t="n">
        <v>42</v>
      </c>
      <c r="AF827" t="n">
        <v>11</v>
      </c>
      <c r="AG827" t="n">
        <v>19</v>
      </c>
      <c r="AH827" t="n">
        <v>2</v>
      </c>
      <c r="AI827" t="n">
        <v>7</v>
      </c>
      <c r="AJ827" t="n">
        <v>14</v>
      </c>
      <c r="AK827" t="n">
        <v>20</v>
      </c>
      <c r="AL827" t="n">
        <v>5</v>
      </c>
      <c r="AM827" t="n">
        <v>7</v>
      </c>
      <c r="AN827" t="n">
        <v>0</v>
      </c>
      <c r="AO827" t="n">
        <v>0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HYPERLINK("https://creighton-primo.hosted.exlibrisgroup.com/primo-explore/search?tab=default_tab&amp;search_scope=EVERYTHING&amp;vid=01CRU&amp;lang=en_US&amp;offset=0&amp;query=any,contains,991002524849702656","Catalog Record")</f>
        <v/>
      </c>
      <c r="AT827">
        <f>HYPERLINK("http://www.worldcat.org/oclc/32822438","WorldCat Record")</f>
        <v/>
      </c>
      <c r="AU827" t="inlineStr">
        <is>
          <t>603812:eng</t>
        </is>
      </c>
      <c r="AV827" t="inlineStr">
        <is>
          <t>32822438</t>
        </is>
      </c>
      <c r="AW827" t="inlineStr">
        <is>
          <t>991002524849702656</t>
        </is>
      </c>
      <c r="AX827" t="inlineStr">
        <is>
          <t>991002524849702656</t>
        </is>
      </c>
      <c r="AY827" t="inlineStr">
        <is>
          <t>2263998620002656</t>
        </is>
      </c>
      <c r="AZ827" t="inlineStr">
        <is>
          <t>BOOK</t>
        </is>
      </c>
      <c r="BB827" t="inlineStr">
        <is>
          <t>9780262133166</t>
        </is>
      </c>
      <c r="BC827" t="inlineStr">
        <is>
          <t>32285002152279</t>
        </is>
      </c>
      <c r="BD827" t="inlineStr">
        <is>
          <t>893245286</t>
        </is>
      </c>
    </row>
    <row r="828">
      <c r="A828" t="inlineStr">
        <is>
          <t>No</t>
        </is>
      </c>
      <c r="B828" t="inlineStr">
        <is>
          <t>QH442 .A67 1998</t>
        </is>
      </c>
      <c r="C828" t="inlineStr">
        <is>
          <t>0                      QH 0442000A  67          1998</t>
        </is>
      </c>
      <c r="D828" t="inlineStr">
        <is>
          <t>Brave new worlds : staying human in the genetic future / Bryan Appleyard.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Appleyard, Bryan.</t>
        </is>
      </c>
      <c r="L828" t="inlineStr">
        <is>
          <t>New York : Viking, 1998.</t>
        </is>
      </c>
      <c r="M828" t="inlineStr">
        <is>
          <t>1998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QH </t>
        </is>
      </c>
      <c r="S828" t="n">
        <v>16</v>
      </c>
      <c r="T828" t="n">
        <v>16</v>
      </c>
      <c r="U828" t="inlineStr">
        <is>
          <t>2007-11-20</t>
        </is>
      </c>
      <c r="V828" t="inlineStr">
        <is>
          <t>2007-11-20</t>
        </is>
      </c>
      <c r="W828" t="inlineStr">
        <is>
          <t>1998-09-24</t>
        </is>
      </c>
      <c r="X828" t="inlineStr">
        <is>
          <t>1998-09-24</t>
        </is>
      </c>
      <c r="Y828" t="n">
        <v>682</v>
      </c>
      <c r="Z828" t="n">
        <v>620</v>
      </c>
      <c r="AA828" t="n">
        <v>637</v>
      </c>
      <c r="AB828" t="n">
        <v>6</v>
      </c>
      <c r="AC828" t="n">
        <v>6</v>
      </c>
      <c r="AD828" t="n">
        <v>26</v>
      </c>
      <c r="AE828" t="n">
        <v>28</v>
      </c>
      <c r="AF828" t="n">
        <v>8</v>
      </c>
      <c r="AG828" t="n">
        <v>8</v>
      </c>
      <c r="AH828" t="n">
        <v>7</v>
      </c>
      <c r="AI828" t="n">
        <v>8</v>
      </c>
      <c r="AJ828" t="n">
        <v>12</v>
      </c>
      <c r="AK828" t="n">
        <v>14</v>
      </c>
      <c r="AL828" t="n">
        <v>5</v>
      </c>
      <c r="AM828" t="n">
        <v>5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HYPERLINK("https://creighton-primo.hosted.exlibrisgroup.com/primo-explore/search?tab=default_tab&amp;search_scope=EVERYTHING&amp;vid=01CRU&amp;lang=en_US&amp;offset=0&amp;query=any,contains,991002907349702656","Catalog Record")</f>
        <v/>
      </c>
      <c r="AT828">
        <f>HYPERLINK("http://www.worldcat.org/oclc/38410554","WorldCat Record")</f>
        <v/>
      </c>
      <c r="AU828" t="inlineStr">
        <is>
          <t>837024352:eng</t>
        </is>
      </c>
      <c r="AV828" t="inlineStr">
        <is>
          <t>38410554</t>
        </is>
      </c>
      <c r="AW828" t="inlineStr">
        <is>
          <t>991002907349702656</t>
        </is>
      </c>
      <c r="AX828" t="inlineStr">
        <is>
          <t>991002907349702656</t>
        </is>
      </c>
      <c r="AY828" t="inlineStr">
        <is>
          <t>2254807230002656</t>
        </is>
      </c>
      <c r="AZ828" t="inlineStr">
        <is>
          <t>BOOK</t>
        </is>
      </c>
      <c r="BB828" t="inlineStr">
        <is>
          <t>9780670869893</t>
        </is>
      </c>
      <c r="BC828" t="inlineStr">
        <is>
          <t>32285003470837</t>
        </is>
      </c>
      <c r="BD828" t="inlineStr">
        <is>
          <t>893899390</t>
        </is>
      </c>
    </row>
    <row r="829">
      <c r="A829" t="inlineStr">
        <is>
          <t>No</t>
        </is>
      </c>
      <c r="B829" t="inlineStr">
        <is>
          <t>QH442 .B35 1987</t>
        </is>
      </c>
      <c r="C829" t="inlineStr">
        <is>
          <t>0                      QH 0442000B  35          1987</t>
        </is>
      </c>
      <c r="D829" t="inlineStr">
        <is>
          <t>Genetic engineering for almost everybody / William Bains.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Bains, William, 1955-</t>
        </is>
      </c>
      <c r="L829" t="inlineStr">
        <is>
          <t>London : Penguin books ; New York : Viking Penguin, 1987.</t>
        </is>
      </c>
      <c r="M829" t="inlineStr">
        <is>
          <t>1987</t>
        </is>
      </c>
      <c r="O829" t="inlineStr">
        <is>
          <t>eng</t>
        </is>
      </c>
      <c r="P829" t="inlineStr">
        <is>
          <t>enk</t>
        </is>
      </c>
      <c r="Q829" t="inlineStr">
        <is>
          <t>Pelican books</t>
        </is>
      </c>
      <c r="R829" t="inlineStr">
        <is>
          <t xml:space="preserve">QH </t>
        </is>
      </c>
      <c r="S829" t="n">
        <v>30</v>
      </c>
      <c r="T829" t="n">
        <v>30</v>
      </c>
      <c r="U829" t="inlineStr">
        <is>
          <t>2003-04-05</t>
        </is>
      </c>
      <c r="V829" t="inlineStr">
        <is>
          <t>2003-04-05</t>
        </is>
      </c>
      <c r="W829" t="inlineStr">
        <is>
          <t>1990-02-13</t>
        </is>
      </c>
      <c r="X829" t="inlineStr">
        <is>
          <t>1990-02-13</t>
        </is>
      </c>
      <c r="Y829" t="n">
        <v>244</v>
      </c>
      <c r="Z829" t="n">
        <v>158</v>
      </c>
      <c r="AA829" t="n">
        <v>174</v>
      </c>
      <c r="AB829" t="n">
        <v>1</v>
      </c>
      <c r="AC829" t="n">
        <v>1</v>
      </c>
      <c r="AD829" t="n">
        <v>4</v>
      </c>
      <c r="AE829" t="n">
        <v>4</v>
      </c>
      <c r="AF829" t="n">
        <v>3</v>
      </c>
      <c r="AG829" t="n">
        <v>3</v>
      </c>
      <c r="AH829" t="n">
        <v>0</v>
      </c>
      <c r="AI829" t="n">
        <v>0</v>
      </c>
      <c r="AJ829" t="n">
        <v>2</v>
      </c>
      <c r="AK829" t="n">
        <v>2</v>
      </c>
      <c r="AL829" t="n">
        <v>0</v>
      </c>
      <c r="AM829" t="n">
        <v>0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HYPERLINK("https://creighton-primo.hosted.exlibrisgroup.com/primo-explore/search?tab=default_tab&amp;search_scope=EVERYTHING&amp;vid=01CRU&amp;lang=en_US&amp;offset=0&amp;query=any,contains,991001243489702656","Catalog Record")</f>
        <v/>
      </c>
      <c r="AT829">
        <f>HYPERLINK("http://www.worldcat.org/oclc/17596236","WorldCat Record")</f>
        <v/>
      </c>
      <c r="AU829" t="inlineStr">
        <is>
          <t>16181697:eng</t>
        </is>
      </c>
      <c r="AV829" t="inlineStr">
        <is>
          <t>17596236</t>
        </is>
      </c>
      <c r="AW829" t="inlineStr">
        <is>
          <t>991001243489702656</t>
        </is>
      </c>
      <c r="AX829" t="inlineStr">
        <is>
          <t>991001243489702656</t>
        </is>
      </c>
      <c r="AY829" t="inlineStr">
        <is>
          <t>2268916810002656</t>
        </is>
      </c>
      <c r="AZ829" t="inlineStr">
        <is>
          <t>BOOK</t>
        </is>
      </c>
      <c r="BB829" t="inlineStr">
        <is>
          <t>9780140227406</t>
        </is>
      </c>
      <c r="BC829" t="inlineStr">
        <is>
          <t>32285000051150</t>
        </is>
      </c>
      <c r="BD829" t="inlineStr">
        <is>
          <t>893516032</t>
        </is>
      </c>
    </row>
    <row r="830">
      <c r="A830" t="inlineStr">
        <is>
          <t>No</t>
        </is>
      </c>
      <c r="B830" t="inlineStr">
        <is>
          <t>QH442 .B58</t>
        </is>
      </c>
      <c r="C830" t="inlineStr">
        <is>
          <t>0                      QH 0442000B  58</t>
        </is>
      </c>
      <c r="D830" t="inlineStr">
        <is>
          <t>The political implications of human genetic technology / Robert H. Blank.</t>
        </is>
      </c>
      <c r="F830" t="inlineStr">
        <is>
          <t>No</t>
        </is>
      </c>
      <c r="G830" t="inlineStr">
        <is>
          <t>1</t>
        </is>
      </c>
      <c r="H830" t="inlineStr">
        <is>
          <t>Yes</t>
        </is>
      </c>
      <c r="I830" t="inlineStr">
        <is>
          <t>No</t>
        </is>
      </c>
      <c r="J830" t="inlineStr">
        <is>
          <t>0</t>
        </is>
      </c>
      <c r="K830" t="inlineStr">
        <is>
          <t>Blank, Robert H.</t>
        </is>
      </c>
      <c r="L830" t="inlineStr">
        <is>
          <t>Boulder, Colo. : Westview Press, 1981.</t>
        </is>
      </c>
      <c r="M830" t="inlineStr">
        <is>
          <t>1981</t>
        </is>
      </c>
      <c r="O830" t="inlineStr">
        <is>
          <t>eng</t>
        </is>
      </c>
      <c r="P830" t="inlineStr">
        <is>
          <t>cou</t>
        </is>
      </c>
      <c r="Q830" t="inlineStr">
        <is>
          <t>Westview special studies in science, technology, and public policy</t>
        </is>
      </c>
      <c r="R830" t="inlineStr">
        <is>
          <t xml:space="preserve">QH </t>
        </is>
      </c>
      <c r="S830" t="n">
        <v>25</v>
      </c>
      <c r="T830" t="n">
        <v>25</v>
      </c>
      <c r="U830" t="inlineStr">
        <is>
          <t>2007-11-20</t>
        </is>
      </c>
      <c r="V830" t="inlineStr">
        <is>
          <t>2007-11-20</t>
        </is>
      </c>
      <c r="W830" t="inlineStr">
        <is>
          <t>1992-05-15</t>
        </is>
      </c>
      <c r="X830" t="inlineStr">
        <is>
          <t>1992-05-15</t>
        </is>
      </c>
      <c r="Y830" t="n">
        <v>555</v>
      </c>
      <c r="Z830" t="n">
        <v>480</v>
      </c>
      <c r="AA830" t="n">
        <v>508</v>
      </c>
      <c r="AB830" t="n">
        <v>6</v>
      </c>
      <c r="AC830" t="n">
        <v>6</v>
      </c>
      <c r="AD830" t="n">
        <v>19</v>
      </c>
      <c r="AE830" t="n">
        <v>19</v>
      </c>
      <c r="AF830" t="n">
        <v>10</v>
      </c>
      <c r="AG830" t="n">
        <v>10</v>
      </c>
      <c r="AH830" t="n">
        <v>3</v>
      </c>
      <c r="AI830" t="n">
        <v>3</v>
      </c>
      <c r="AJ830" t="n">
        <v>6</v>
      </c>
      <c r="AK830" t="n">
        <v>6</v>
      </c>
      <c r="AL830" t="n">
        <v>4</v>
      </c>
      <c r="AM830" t="n">
        <v>4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HYPERLINK("http://catalog.hathitrust.org/Record/000766049","HathiTrust Record")</f>
        <v/>
      </c>
      <c r="AS830">
        <f>HYPERLINK("https://creighton-primo.hosted.exlibrisgroup.com/primo-explore/search?tab=default_tab&amp;search_scope=EVERYTHING&amp;vid=01CRU&amp;lang=en_US&amp;offset=0&amp;query=any,contains,991005050339702656","Catalog Record")</f>
        <v/>
      </c>
      <c r="AT830">
        <f>HYPERLINK("http://www.worldcat.org/oclc/6864245","WorldCat Record")</f>
        <v/>
      </c>
      <c r="AU830" t="inlineStr">
        <is>
          <t>23968442:eng</t>
        </is>
      </c>
      <c r="AV830" t="inlineStr">
        <is>
          <t>6864245</t>
        </is>
      </c>
      <c r="AW830" t="inlineStr">
        <is>
          <t>991005050339702656</t>
        </is>
      </c>
      <c r="AX830" t="inlineStr">
        <is>
          <t>991005050339702656</t>
        </is>
      </c>
      <c r="AY830" t="inlineStr">
        <is>
          <t>2269695910002656</t>
        </is>
      </c>
      <c r="AZ830" t="inlineStr">
        <is>
          <t>BOOK</t>
        </is>
      </c>
      <c r="BB830" t="inlineStr">
        <is>
          <t>9780865311930</t>
        </is>
      </c>
      <c r="BC830" t="inlineStr">
        <is>
          <t>32285001098036</t>
        </is>
      </c>
      <c r="BD830" t="inlineStr">
        <is>
          <t>893242116</t>
        </is>
      </c>
    </row>
    <row r="831">
      <c r="A831" t="inlineStr">
        <is>
          <t>No</t>
        </is>
      </c>
      <c r="B831" t="inlineStr">
        <is>
          <t>QH442 .C46 1982</t>
        </is>
      </c>
      <c r="C831" t="inlineStr">
        <is>
          <t>0                      QH 0442000C  46          1982</t>
        </is>
      </c>
      <c r="D831" t="inlineStr">
        <is>
          <t>Man-made life : an overview of the science, technology, and commerce of genetic engineering / Jeremy Cherfas.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Cherfas, Jeremy.</t>
        </is>
      </c>
      <c r="L831" t="inlineStr">
        <is>
          <t>New York : Pantheon Books, c1982.</t>
        </is>
      </c>
      <c r="M831" t="inlineStr">
        <is>
          <t>1982</t>
        </is>
      </c>
      <c r="N831" t="inlineStr">
        <is>
          <t>1st American ed.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QH </t>
        </is>
      </c>
      <c r="S831" t="n">
        <v>24</v>
      </c>
      <c r="T831" t="n">
        <v>24</v>
      </c>
      <c r="U831" t="inlineStr">
        <is>
          <t>2001-08-30</t>
        </is>
      </c>
      <c r="V831" t="inlineStr">
        <is>
          <t>2001-08-30</t>
        </is>
      </c>
      <c r="W831" t="inlineStr">
        <is>
          <t>1990-02-13</t>
        </is>
      </c>
      <c r="X831" t="inlineStr">
        <is>
          <t>1990-02-13</t>
        </is>
      </c>
      <c r="Y831" t="n">
        <v>1079</v>
      </c>
      <c r="Z831" t="n">
        <v>1016</v>
      </c>
      <c r="AA831" t="n">
        <v>1033</v>
      </c>
      <c r="AB831" t="n">
        <v>5</v>
      </c>
      <c r="AC831" t="n">
        <v>6</v>
      </c>
      <c r="AD831" t="n">
        <v>28</v>
      </c>
      <c r="AE831" t="n">
        <v>29</v>
      </c>
      <c r="AF831" t="n">
        <v>13</v>
      </c>
      <c r="AG831" t="n">
        <v>13</v>
      </c>
      <c r="AH831" t="n">
        <v>6</v>
      </c>
      <c r="AI831" t="n">
        <v>6</v>
      </c>
      <c r="AJ831" t="n">
        <v>11</v>
      </c>
      <c r="AK831" t="n">
        <v>11</v>
      </c>
      <c r="AL831" t="n">
        <v>2</v>
      </c>
      <c r="AM831" t="n">
        <v>3</v>
      </c>
      <c r="AN831" t="n">
        <v>1</v>
      </c>
      <c r="AO831" t="n">
        <v>1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HYPERLINK("https://creighton-primo.hosted.exlibrisgroup.com/primo-explore/search?tab=default_tab&amp;search_scope=EVERYTHING&amp;vid=01CRU&amp;lang=en_US&amp;offset=0&amp;query=any,contains,991000066079702656","Catalog Record")</f>
        <v/>
      </c>
      <c r="AT831">
        <f>HYPERLINK("http://www.worldcat.org/oclc/8763724","WorldCat Record")</f>
        <v/>
      </c>
      <c r="AU831" t="inlineStr">
        <is>
          <t>3944175819:eng</t>
        </is>
      </c>
      <c r="AV831" t="inlineStr">
        <is>
          <t>8763724</t>
        </is>
      </c>
      <c r="AW831" t="inlineStr">
        <is>
          <t>991000066079702656</t>
        </is>
      </c>
      <c r="AX831" t="inlineStr">
        <is>
          <t>991000066079702656</t>
        </is>
      </c>
      <c r="AY831" t="inlineStr">
        <is>
          <t>2265459220002656</t>
        </is>
      </c>
      <c r="AZ831" t="inlineStr">
        <is>
          <t>BOOK</t>
        </is>
      </c>
      <c r="BB831" t="inlineStr">
        <is>
          <t>9780394713120</t>
        </is>
      </c>
      <c r="BC831" t="inlineStr">
        <is>
          <t>32285000051143</t>
        </is>
      </c>
      <c r="BD831" t="inlineStr">
        <is>
          <t>893419163</t>
        </is>
      </c>
    </row>
    <row r="832">
      <c r="A832" t="inlineStr">
        <is>
          <t>No</t>
        </is>
      </c>
      <c r="B832" t="inlineStr">
        <is>
          <t>QH442 .C64 1993</t>
        </is>
      </c>
      <c r="C832" t="inlineStr">
        <is>
          <t>0                      QH 0442000C  64          1993</t>
        </is>
      </c>
      <c r="D832" t="inlineStr">
        <is>
          <t>The new genesis : theology and the genetic revolution / Ronald Cole-Turner.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Cole-Turner, Ronald, 1948-</t>
        </is>
      </c>
      <c r="L832" t="inlineStr">
        <is>
          <t>Louisville, Ky. : Westminster/John Knox Press, c1993.</t>
        </is>
      </c>
      <c r="M832" t="inlineStr">
        <is>
          <t>1993</t>
        </is>
      </c>
      <c r="N832" t="inlineStr">
        <is>
          <t>1st ed.</t>
        </is>
      </c>
      <c r="O832" t="inlineStr">
        <is>
          <t>eng</t>
        </is>
      </c>
      <c r="P832" t="inlineStr">
        <is>
          <t>kyu</t>
        </is>
      </c>
      <c r="R832" t="inlineStr">
        <is>
          <t xml:space="preserve">QH </t>
        </is>
      </c>
      <c r="S832" t="n">
        <v>44</v>
      </c>
      <c r="T832" t="n">
        <v>44</v>
      </c>
      <c r="U832" t="inlineStr">
        <is>
          <t>2004-04-07</t>
        </is>
      </c>
      <c r="V832" t="inlineStr">
        <is>
          <t>2004-04-07</t>
        </is>
      </c>
      <c r="W832" t="inlineStr">
        <is>
          <t>1993-07-22</t>
        </is>
      </c>
      <c r="X832" t="inlineStr">
        <is>
          <t>1993-07-22</t>
        </is>
      </c>
      <c r="Y832" t="n">
        <v>510</v>
      </c>
      <c r="Z832" t="n">
        <v>439</v>
      </c>
      <c r="AA832" t="n">
        <v>439</v>
      </c>
      <c r="AB832" t="n">
        <v>4</v>
      </c>
      <c r="AC832" t="n">
        <v>4</v>
      </c>
      <c r="AD832" t="n">
        <v>25</v>
      </c>
      <c r="AE832" t="n">
        <v>25</v>
      </c>
      <c r="AF832" t="n">
        <v>10</v>
      </c>
      <c r="AG832" t="n">
        <v>10</v>
      </c>
      <c r="AH832" t="n">
        <v>4</v>
      </c>
      <c r="AI832" t="n">
        <v>4</v>
      </c>
      <c r="AJ832" t="n">
        <v>16</v>
      </c>
      <c r="AK832" t="n">
        <v>16</v>
      </c>
      <c r="AL832" t="n">
        <v>3</v>
      </c>
      <c r="AM832" t="n">
        <v>3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HYPERLINK("https://creighton-primo.hosted.exlibrisgroup.com/primo-explore/search?tab=default_tab&amp;search_scope=EVERYTHING&amp;vid=01CRU&amp;lang=en_US&amp;offset=0&amp;query=any,contains,991002065389702656","Catalog Record")</f>
        <v/>
      </c>
      <c r="AT832">
        <f>HYPERLINK("http://www.worldcat.org/oclc/26402489","WorldCat Record")</f>
        <v/>
      </c>
      <c r="AU832" t="inlineStr">
        <is>
          <t>197329100:eng</t>
        </is>
      </c>
      <c r="AV832" t="inlineStr">
        <is>
          <t>26402489</t>
        </is>
      </c>
      <c r="AW832" t="inlineStr">
        <is>
          <t>991002065389702656</t>
        </is>
      </c>
      <c r="AX832" t="inlineStr">
        <is>
          <t>991002065389702656</t>
        </is>
      </c>
      <c r="AY832" t="inlineStr">
        <is>
          <t>2266643690002656</t>
        </is>
      </c>
      <c r="AZ832" t="inlineStr">
        <is>
          <t>BOOK</t>
        </is>
      </c>
      <c r="BB832" t="inlineStr">
        <is>
          <t>9780664254063</t>
        </is>
      </c>
      <c r="BC832" t="inlineStr">
        <is>
          <t>32285001703569</t>
        </is>
      </c>
      <c r="BD832" t="inlineStr">
        <is>
          <t>893226411</t>
        </is>
      </c>
    </row>
    <row r="833">
      <c r="A833" t="inlineStr">
        <is>
          <t>No</t>
        </is>
      </c>
      <c r="B833" t="inlineStr">
        <is>
          <t>QH442 .D39 1996</t>
        </is>
      </c>
      <c r="C833" t="inlineStr">
        <is>
          <t>0                      QH 0442000D  39          1996</t>
        </is>
      </c>
      <c r="D833" t="inlineStr">
        <is>
          <t>Gene technology / M.T. Dawson, R. Powell, F. Gannon.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Dawson, M. T.</t>
        </is>
      </c>
      <c r="L833" t="inlineStr">
        <is>
          <t>Oxford, UK : Bios Scientific Publishers ; Herndon, VA : Books International [distributor], 1996.</t>
        </is>
      </c>
      <c r="M833" t="inlineStr">
        <is>
          <t>1996</t>
        </is>
      </c>
      <c r="O833" t="inlineStr">
        <is>
          <t>eng</t>
        </is>
      </c>
      <c r="P833" t="inlineStr">
        <is>
          <t>enk</t>
        </is>
      </c>
      <c r="Q833" t="inlineStr">
        <is>
          <t>Introduction to biotechniques series</t>
        </is>
      </c>
      <c r="R833" t="inlineStr">
        <is>
          <t xml:space="preserve">QH </t>
        </is>
      </c>
      <c r="S833" t="n">
        <v>16</v>
      </c>
      <c r="T833" t="n">
        <v>16</v>
      </c>
      <c r="U833" t="inlineStr">
        <is>
          <t>2002-08-27</t>
        </is>
      </c>
      <c r="V833" t="inlineStr">
        <is>
          <t>2002-08-27</t>
        </is>
      </c>
      <c r="W833" t="inlineStr">
        <is>
          <t>1996-07-22</t>
        </is>
      </c>
      <c r="X833" t="inlineStr">
        <is>
          <t>1996-07-22</t>
        </is>
      </c>
      <c r="Y833" t="n">
        <v>198</v>
      </c>
      <c r="Z833" t="n">
        <v>92</v>
      </c>
      <c r="AA833" t="n">
        <v>94</v>
      </c>
      <c r="AB833" t="n">
        <v>3</v>
      </c>
      <c r="AC833" t="n">
        <v>3</v>
      </c>
      <c r="AD833" t="n">
        <v>3</v>
      </c>
      <c r="AE833" t="n">
        <v>3</v>
      </c>
      <c r="AF833" t="n">
        <v>1</v>
      </c>
      <c r="AG833" t="n">
        <v>1</v>
      </c>
      <c r="AH833" t="n">
        <v>0</v>
      </c>
      <c r="AI833" t="n">
        <v>0</v>
      </c>
      <c r="AJ833" t="n">
        <v>1</v>
      </c>
      <c r="AK833" t="n">
        <v>1</v>
      </c>
      <c r="AL833" t="n">
        <v>2</v>
      </c>
      <c r="AM833" t="n">
        <v>2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HYPERLINK("https://creighton-primo.hosted.exlibrisgroup.com/primo-explore/search?tab=default_tab&amp;search_scope=EVERYTHING&amp;vid=01CRU&amp;lang=en_US&amp;offset=0&amp;query=any,contains,991002608959702656","Catalog Record")</f>
        <v/>
      </c>
      <c r="AT833">
        <f>HYPERLINK("http://www.worldcat.org/oclc/34189199","WorldCat Record")</f>
        <v/>
      </c>
      <c r="AU833" t="inlineStr">
        <is>
          <t>3114116:eng</t>
        </is>
      </c>
      <c r="AV833" t="inlineStr">
        <is>
          <t>34189199</t>
        </is>
      </c>
      <c r="AW833" t="inlineStr">
        <is>
          <t>991002608959702656</t>
        </is>
      </c>
      <c r="AX833" t="inlineStr">
        <is>
          <t>991002608959702656</t>
        </is>
      </c>
      <c r="AY833" t="inlineStr">
        <is>
          <t>2266886000002656</t>
        </is>
      </c>
      <c r="AZ833" t="inlineStr">
        <is>
          <t>BOOK</t>
        </is>
      </c>
      <c r="BB833" t="inlineStr">
        <is>
          <t>9781872748764</t>
        </is>
      </c>
      <c r="BC833" t="inlineStr">
        <is>
          <t>32285002207651</t>
        </is>
      </c>
      <c r="BD833" t="inlineStr">
        <is>
          <t>893421590</t>
        </is>
      </c>
    </row>
    <row r="834">
      <c r="A834" t="inlineStr">
        <is>
          <t>No</t>
        </is>
      </c>
      <c r="B834" t="inlineStr">
        <is>
          <t>QH442 .E96 1983</t>
        </is>
      </c>
      <c r="C834" t="inlineStr">
        <is>
          <t>0                      QH 0442000E  96          1983</t>
        </is>
      </c>
      <c r="D834" t="inlineStr">
        <is>
          <t>Experimental manipulation of gene expression / edited by Masayori Inouye.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L834" t="inlineStr">
        <is>
          <t>New York : Academic Press, 1983.</t>
        </is>
      </c>
      <c r="M834" t="inlineStr">
        <is>
          <t>1983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QH </t>
        </is>
      </c>
      <c r="S834" t="n">
        <v>17</v>
      </c>
      <c r="T834" t="n">
        <v>17</v>
      </c>
      <c r="U834" t="inlineStr">
        <is>
          <t>1998-11-04</t>
        </is>
      </c>
      <c r="V834" t="inlineStr">
        <is>
          <t>1998-11-04</t>
        </is>
      </c>
      <c r="W834" t="inlineStr">
        <is>
          <t>1993-04-07</t>
        </is>
      </c>
      <c r="X834" t="inlineStr">
        <is>
          <t>1993-04-07</t>
        </is>
      </c>
      <c r="Y834" t="n">
        <v>389</v>
      </c>
      <c r="Z834" t="n">
        <v>303</v>
      </c>
      <c r="AA834" t="n">
        <v>352</v>
      </c>
      <c r="AB834" t="n">
        <v>1</v>
      </c>
      <c r="AC834" t="n">
        <v>1</v>
      </c>
      <c r="AD834" t="n">
        <v>9</v>
      </c>
      <c r="AE834" t="n">
        <v>13</v>
      </c>
      <c r="AF834" t="n">
        <v>3</v>
      </c>
      <c r="AG834" t="n">
        <v>6</v>
      </c>
      <c r="AH834" t="n">
        <v>5</v>
      </c>
      <c r="AI834" t="n">
        <v>7</v>
      </c>
      <c r="AJ834" t="n">
        <v>7</v>
      </c>
      <c r="AK834" t="n">
        <v>7</v>
      </c>
      <c r="AL834" t="n">
        <v>0</v>
      </c>
      <c r="AM834" t="n">
        <v>0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HYPERLINK("http://catalog.hathitrust.org/Record/000282589","HathiTrust Record")</f>
        <v/>
      </c>
      <c r="AS834">
        <f>HYPERLINK("https://creighton-primo.hosted.exlibrisgroup.com/primo-explore/search?tab=default_tab&amp;search_scope=EVERYTHING&amp;vid=01CRU&amp;lang=en_US&amp;offset=0&amp;query=any,contains,991000153699702656","Catalog Record")</f>
        <v/>
      </c>
      <c r="AT834">
        <f>HYPERLINK("http://www.worldcat.org/oclc/9219185","WorldCat Record")</f>
        <v/>
      </c>
      <c r="AU834" t="inlineStr">
        <is>
          <t>43005479:eng</t>
        </is>
      </c>
      <c r="AV834" t="inlineStr">
        <is>
          <t>9219185</t>
        </is>
      </c>
      <c r="AW834" t="inlineStr">
        <is>
          <t>991000153699702656</t>
        </is>
      </c>
      <c r="AX834" t="inlineStr">
        <is>
          <t>991000153699702656</t>
        </is>
      </c>
      <c r="AY834" t="inlineStr">
        <is>
          <t>2268340360002656</t>
        </is>
      </c>
      <c r="AZ834" t="inlineStr">
        <is>
          <t>BOOK</t>
        </is>
      </c>
      <c r="BB834" t="inlineStr">
        <is>
          <t>9780123723802</t>
        </is>
      </c>
      <c r="BC834" t="inlineStr">
        <is>
          <t>32285001554848</t>
        </is>
      </c>
      <c r="BD834" t="inlineStr">
        <is>
          <t>893255229</t>
        </is>
      </c>
    </row>
    <row r="835">
      <c r="A835" t="inlineStr">
        <is>
          <t>No</t>
        </is>
      </c>
      <c r="B835" t="inlineStr">
        <is>
          <t>QH442 .F56 1991</t>
        </is>
      </c>
      <c r="C835" t="inlineStr">
        <is>
          <t>0                      QH 0442000F  56          1991</t>
        </is>
      </c>
      <c r="D835" t="inlineStr">
        <is>
          <t>Genetically engineered organisms : benefits and risks / J.R.S. Fincham, J.R. Ravetz ; in collaboration with a working party of the Council for Science and Society.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Fincham, J. R. S.</t>
        </is>
      </c>
      <c r="L835" t="inlineStr">
        <is>
          <t>Toronto : University of Toronto Press, 1991.</t>
        </is>
      </c>
      <c r="M835" t="inlineStr">
        <is>
          <t>1991</t>
        </is>
      </c>
      <c r="O835" t="inlineStr">
        <is>
          <t>eng</t>
        </is>
      </c>
      <c r="P835" t="inlineStr">
        <is>
          <t>onc</t>
        </is>
      </c>
      <c r="R835" t="inlineStr">
        <is>
          <t xml:space="preserve">QH </t>
        </is>
      </c>
      <c r="S835" t="n">
        <v>38</v>
      </c>
      <c r="T835" t="n">
        <v>38</v>
      </c>
      <c r="U835" t="inlineStr">
        <is>
          <t>2009-04-03</t>
        </is>
      </c>
      <c r="V835" t="inlineStr">
        <is>
          <t>2009-04-03</t>
        </is>
      </c>
      <c r="W835" t="inlineStr">
        <is>
          <t>1992-12-10</t>
        </is>
      </c>
      <c r="X835" t="inlineStr">
        <is>
          <t>1992-12-10</t>
        </is>
      </c>
      <c r="Y835" t="n">
        <v>408</v>
      </c>
      <c r="Z835" t="n">
        <v>353</v>
      </c>
      <c r="AA835" t="n">
        <v>390</v>
      </c>
      <c r="AB835" t="n">
        <v>2</v>
      </c>
      <c r="AC835" t="n">
        <v>2</v>
      </c>
      <c r="AD835" t="n">
        <v>16</v>
      </c>
      <c r="AE835" t="n">
        <v>18</v>
      </c>
      <c r="AF835" t="n">
        <v>8</v>
      </c>
      <c r="AG835" t="n">
        <v>8</v>
      </c>
      <c r="AH835" t="n">
        <v>2</v>
      </c>
      <c r="AI835" t="n">
        <v>4</v>
      </c>
      <c r="AJ835" t="n">
        <v>9</v>
      </c>
      <c r="AK835" t="n">
        <v>11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HYPERLINK("http://catalog.hathitrust.org/Record/002458352","HathiTrust Record")</f>
        <v/>
      </c>
      <c r="AS835">
        <f>HYPERLINK("https://creighton-primo.hosted.exlibrisgroup.com/primo-explore/search?tab=default_tab&amp;search_scope=EVERYTHING&amp;vid=01CRU&amp;lang=en_US&amp;offset=0&amp;query=any,contains,991001807189702656","Catalog Record")</f>
        <v/>
      </c>
      <c r="AT835">
        <f>HYPERLINK("http://www.worldcat.org/oclc/22709980","WorldCat Record")</f>
        <v/>
      </c>
      <c r="AU835" t="inlineStr">
        <is>
          <t>180524115:eng</t>
        </is>
      </c>
      <c r="AV835" t="inlineStr">
        <is>
          <t>22709980</t>
        </is>
      </c>
      <c r="AW835" t="inlineStr">
        <is>
          <t>991001807189702656</t>
        </is>
      </c>
      <c r="AX835" t="inlineStr">
        <is>
          <t>991001807189702656</t>
        </is>
      </c>
      <c r="AY835" t="inlineStr">
        <is>
          <t>2270618620002656</t>
        </is>
      </c>
      <c r="AZ835" t="inlineStr">
        <is>
          <t>BOOK</t>
        </is>
      </c>
      <c r="BB835" t="inlineStr">
        <is>
          <t>9780802068637</t>
        </is>
      </c>
      <c r="BC835" t="inlineStr">
        <is>
          <t>32285001402501</t>
        </is>
      </c>
      <c r="BD835" t="inlineStr">
        <is>
          <t>893238352</t>
        </is>
      </c>
    </row>
    <row r="836">
      <c r="A836" t="inlineStr">
        <is>
          <t>No</t>
        </is>
      </c>
      <c r="B836" t="inlineStr">
        <is>
          <t>QH442 .F75 1982</t>
        </is>
      </c>
      <c r="C836" t="inlineStr">
        <is>
          <t>0                      QH 0442000F  75          1982</t>
        </is>
      </c>
      <c r="D836" t="inlineStr">
        <is>
          <t>From gene to protein : translation into biotechnology / edited by Fazal Ahmad ... [et al.].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L836" t="inlineStr">
        <is>
          <t>New York : Academic Press, 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Q836" t="inlineStr">
        <is>
          <t>Miami winter symposia ; v. 19</t>
        </is>
      </c>
      <c r="R836" t="inlineStr">
        <is>
          <t xml:space="preserve">QH </t>
        </is>
      </c>
      <c r="S836" t="n">
        <v>3</v>
      </c>
      <c r="T836" t="n">
        <v>3</v>
      </c>
      <c r="U836" t="inlineStr">
        <is>
          <t>1994-09-27</t>
        </is>
      </c>
      <c r="V836" t="inlineStr">
        <is>
          <t>1994-09-27</t>
        </is>
      </c>
      <c r="W836" t="inlineStr">
        <is>
          <t>1993-04-07</t>
        </is>
      </c>
      <c r="X836" t="inlineStr">
        <is>
          <t>1993-04-07</t>
        </is>
      </c>
      <c r="Y836" t="n">
        <v>296</v>
      </c>
      <c r="Z836" t="n">
        <v>214</v>
      </c>
      <c r="AA836" t="n">
        <v>256</v>
      </c>
      <c r="AB836" t="n">
        <v>2</v>
      </c>
      <c r="AC836" t="n">
        <v>2</v>
      </c>
      <c r="AD836" t="n">
        <v>8</v>
      </c>
      <c r="AE836" t="n">
        <v>11</v>
      </c>
      <c r="AF836" t="n">
        <v>3</v>
      </c>
      <c r="AG836" t="n">
        <v>5</v>
      </c>
      <c r="AH836" t="n">
        <v>3</v>
      </c>
      <c r="AI836" t="n">
        <v>5</v>
      </c>
      <c r="AJ836" t="n">
        <v>5</v>
      </c>
      <c r="AK836" t="n">
        <v>5</v>
      </c>
      <c r="AL836" t="n">
        <v>1</v>
      </c>
      <c r="AM836" t="n">
        <v>1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HYPERLINK("http://catalog.hathitrust.org/Record/000125812","HathiTrust Record")</f>
        <v/>
      </c>
      <c r="AS836">
        <f>HYPERLINK("https://creighton-primo.hosted.exlibrisgroup.com/primo-explore/search?tab=default_tab&amp;search_scope=EVERYTHING&amp;vid=01CRU&amp;lang=en_US&amp;offset=0&amp;query=any,contains,991005257439702656","Catalog Record")</f>
        <v/>
      </c>
      <c r="AT836">
        <f>HYPERLINK("http://www.worldcat.org/oclc/8805539","WorldCat Record")</f>
        <v/>
      </c>
      <c r="AU836" t="inlineStr">
        <is>
          <t>889325430:eng</t>
        </is>
      </c>
      <c r="AV836" t="inlineStr">
        <is>
          <t>8805539</t>
        </is>
      </c>
      <c r="AW836" t="inlineStr">
        <is>
          <t>991005257439702656</t>
        </is>
      </c>
      <c r="AX836" t="inlineStr">
        <is>
          <t>991005257439702656</t>
        </is>
      </c>
      <c r="AY836" t="inlineStr">
        <is>
          <t>2270392180002656</t>
        </is>
      </c>
      <c r="AZ836" t="inlineStr">
        <is>
          <t>BOOK</t>
        </is>
      </c>
      <c r="BB836" t="inlineStr">
        <is>
          <t>9780120455607</t>
        </is>
      </c>
      <c r="BC836" t="inlineStr">
        <is>
          <t>32285001554855</t>
        </is>
      </c>
      <c r="BD836" t="inlineStr">
        <is>
          <t>893507866</t>
        </is>
      </c>
    </row>
    <row r="837">
      <c r="A837" t="inlineStr">
        <is>
          <t>No</t>
        </is>
      </c>
      <c r="B837" t="inlineStr">
        <is>
          <t>QH442 .G438 1986</t>
        </is>
      </c>
      <c r="C837" t="inlineStr">
        <is>
          <t>0                      QH 0442000G  438         1986</t>
        </is>
      </c>
      <c r="D837" t="inlineStr">
        <is>
          <t>The Gene-splicing wars : reflections on the recombinant DNA controversy / edited by Raymond A. Zilinskas and Burke K. Zimmerman.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L837" t="inlineStr">
        <is>
          <t>New York : Macmillan ; London : Collier Macmillan, c1986.</t>
        </is>
      </c>
      <c r="M837" t="inlineStr">
        <is>
          <t>1986</t>
        </is>
      </c>
      <c r="O837" t="inlineStr">
        <is>
          <t>eng</t>
        </is>
      </c>
      <c r="P837" t="inlineStr">
        <is>
          <t>nyu</t>
        </is>
      </c>
      <c r="Q837" t="inlineStr">
        <is>
          <t>Issues in science and technology series</t>
        </is>
      </c>
      <c r="R837" t="inlineStr">
        <is>
          <t xml:space="preserve">QH </t>
        </is>
      </c>
      <c r="S837" t="n">
        <v>24</v>
      </c>
      <c r="T837" t="n">
        <v>24</v>
      </c>
      <c r="U837" t="inlineStr">
        <is>
          <t>1998-11-08</t>
        </is>
      </c>
      <c r="V837" t="inlineStr">
        <is>
          <t>1998-11-08</t>
        </is>
      </c>
      <c r="W837" t="inlineStr">
        <is>
          <t>1992-04-03</t>
        </is>
      </c>
      <c r="X837" t="inlineStr">
        <is>
          <t>1992-04-03</t>
        </is>
      </c>
      <c r="Y837" t="n">
        <v>434</v>
      </c>
      <c r="Z837" t="n">
        <v>373</v>
      </c>
      <c r="AA837" t="n">
        <v>380</v>
      </c>
      <c r="AB837" t="n">
        <v>3</v>
      </c>
      <c r="AC837" t="n">
        <v>3</v>
      </c>
      <c r="AD837" t="n">
        <v>16</v>
      </c>
      <c r="AE837" t="n">
        <v>16</v>
      </c>
      <c r="AF837" t="n">
        <v>8</v>
      </c>
      <c r="AG837" t="n">
        <v>8</v>
      </c>
      <c r="AH837" t="n">
        <v>2</v>
      </c>
      <c r="AI837" t="n">
        <v>2</v>
      </c>
      <c r="AJ837" t="n">
        <v>7</v>
      </c>
      <c r="AK837" t="n">
        <v>7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HYPERLINK("http://catalog.hathitrust.org/Record/000594642","HathiTrust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HYPERLINK("https://creighton-primo.hosted.exlibrisgroup.com/primo-explore/search?tab=default_tab&amp;search_scope=EVERYTHING&amp;vid=01CRU&amp;lang=en_US&amp;offset=0&amp;query=any,contains,991000564919702656","Catalog Record")</f>
        <v/>
      </c>
      <c r="AT837">
        <f>HYPERLINK("http://www.worldcat.org/oclc/11621539","WorldCat Record")</f>
        <v/>
      </c>
      <c r="AU837" t="inlineStr">
        <is>
          <t>836698815:eng</t>
        </is>
      </c>
      <c r="AV837" t="inlineStr">
        <is>
          <t>11621539</t>
        </is>
      </c>
      <c r="AW837" t="inlineStr">
        <is>
          <t>991000564919702656</t>
        </is>
      </c>
      <c r="AX837" t="inlineStr">
        <is>
          <t>991000564919702656</t>
        </is>
      </c>
      <c r="AY837" t="inlineStr">
        <is>
          <t>2263499650002656</t>
        </is>
      </c>
      <c r="AZ837" t="inlineStr">
        <is>
          <t>BOOK</t>
        </is>
      </c>
      <c r="BB837" t="inlineStr">
        <is>
          <t>9780029485606</t>
        </is>
      </c>
      <c r="BC837" t="inlineStr">
        <is>
          <t>32285001033256</t>
        </is>
      </c>
      <c r="BD837" t="inlineStr">
        <is>
          <t>893407316</t>
        </is>
      </c>
    </row>
    <row r="838">
      <c r="A838" t="inlineStr">
        <is>
          <t>No</t>
        </is>
      </c>
      <c r="B838" t="inlineStr">
        <is>
          <t>QH442 .G443 1981, v...</t>
        </is>
      </c>
      <c r="C838" t="inlineStr">
        <is>
          <t>0                      QH 0442000G  443         1981                                        v...</t>
        </is>
      </c>
      <c r="D838" t="inlineStr">
        <is>
          <t>Genetic engineering / edited by Robert Williamson.</t>
        </is>
      </c>
      <c r="E838" t="inlineStr">
        <is>
          <t>V.3</t>
        </is>
      </c>
      <c r="F838" t="inlineStr">
        <is>
          <t>Yes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L838" t="inlineStr">
        <is>
          <t>London ; New York : Academic Press, 1981-</t>
        </is>
      </c>
      <c r="M838" t="inlineStr">
        <is>
          <t>1981</t>
        </is>
      </c>
      <c r="O838" t="inlineStr">
        <is>
          <t>eng</t>
        </is>
      </c>
      <c r="P838" t="inlineStr">
        <is>
          <t>enk</t>
        </is>
      </c>
      <c r="R838" t="inlineStr">
        <is>
          <t xml:space="preserve">QH </t>
        </is>
      </c>
      <c r="S838" t="n">
        <v>0</v>
      </c>
      <c r="T838" t="n">
        <v>1</v>
      </c>
      <c r="V838" t="inlineStr">
        <is>
          <t>1993-11-04</t>
        </is>
      </c>
      <c r="W838" t="inlineStr">
        <is>
          <t>1993-04-07</t>
        </is>
      </c>
      <c r="X838" t="inlineStr">
        <is>
          <t>1993-04-07</t>
        </is>
      </c>
      <c r="Y838" t="n">
        <v>398</v>
      </c>
      <c r="Z838" t="n">
        <v>289</v>
      </c>
      <c r="AA838" t="n">
        <v>289</v>
      </c>
      <c r="AB838" t="n">
        <v>2</v>
      </c>
      <c r="AC838" t="n">
        <v>2</v>
      </c>
      <c r="AD838" t="n">
        <v>11</v>
      </c>
      <c r="AE838" t="n">
        <v>11</v>
      </c>
      <c r="AF838" t="n">
        <v>6</v>
      </c>
      <c r="AG838" t="n">
        <v>6</v>
      </c>
      <c r="AH838" t="n">
        <v>2</v>
      </c>
      <c r="AI838" t="n">
        <v>2</v>
      </c>
      <c r="AJ838" t="n">
        <v>8</v>
      </c>
      <c r="AK838" t="n">
        <v>8</v>
      </c>
      <c r="AL838" t="n">
        <v>0</v>
      </c>
      <c r="AM838" t="n">
        <v>0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8">
        <f>HYPERLINK("http://www.worldcat.org/oclc/7835557","WorldCat Record")</f>
        <v/>
      </c>
      <c r="AU838" t="inlineStr">
        <is>
          <t>10792421723:eng</t>
        </is>
      </c>
      <c r="AV838" t="inlineStr">
        <is>
          <t>7835557</t>
        </is>
      </c>
      <c r="AW838" t="inlineStr">
        <is>
          <t>991005165989702656</t>
        </is>
      </c>
      <c r="AX838" t="inlineStr">
        <is>
          <t>991005165989702656</t>
        </is>
      </c>
      <c r="AY838" t="inlineStr">
        <is>
          <t>2255007940002656</t>
        </is>
      </c>
      <c r="AZ838" t="inlineStr">
        <is>
          <t>BOOK</t>
        </is>
      </c>
      <c r="BB838" t="inlineStr">
        <is>
          <t>9780122703010</t>
        </is>
      </c>
      <c r="BC838" t="inlineStr">
        <is>
          <t>32285001554863</t>
        </is>
      </c>
      <c r="BD838" t="inlineStr">
        <is>
          <t>893810892</t>
        </is>
      </c>
    </row>
    <row r="839">
      <c r="A839" t="inlineStr">
        <is>
          <t>No</t>
        </is>
      </c>
      <c r="B839" t="inlineStr">
        <is>
          <t>QH442 .G443 1981, v...</t>
        </is>
      </c>
      <c r="C839" t="inlineStr">
        <is>
          <t>0                      QH 0442000G  443         1981                                        v...</t>
        </is>
      </c>
      <c r="D839" t="inlineStr">
        <is>
          <t>Genetic engineering / edited by Robert Williamson.</t>
        </is>
      </c>
      <c r="E839" t="inlineStr">
        <is>
          <t>V.1</t>
        </is>
      </c>
      <c r="F839" t="inlineStr">
        <is>
          <t>Yes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L839" t="inlineStr">
        <is>
          <t>London ; New York : Academic Press, 1981-</t>
        </is>
      </c>
      <c r="M839" t="inlineStr">
        <is>
          <t>1981</t>
        </is>
      </c>
      <c r="O839" t="inlineStr">
        <is>
          <t>eng</t>
        </is>
      </c>
      <c r="P839" t="inlineStr">
        <is>
          <t>enk</t>
        </is>
      </c>
      <c r="R839" t="inlineStr">
        <is>
          <t xml:space="preserve">QH </t>
        </is>
      </c>
      <c r="S839" t="n">
        <v>1</v>
      </c>
      <c r="T839" t="n">
        <v>1</v>
      </c>
      <c r="U839" t="inlineStr">
        <is>
          <t>1993-11-04</t>
        </is>
      </c>
      <c r="V839" t="inlineStr">
        <is>
          <t>1993-11-04</t>
        </is>
      </c>
      <c r="W839" t="inlineStr">
        <is>
          <t>1992-02-12</t>
        </is>
      </c>
      <c r="X839" t="inlineStr">
        <is>
          <t>1993-04-07</t>
        </is>
      </c>
      <c r="Y839" t="n">
        <v>398</v>
      </c>
      <c r="Z839" t="n">
        <v>289</v>
      </c>
      <c r="AA839" t="n">
        <v>289</v>
      </c>
      <c r="AB839" t="n">
        <v>2</v>
      </c>
      <c r="AC839" t="n">
        <v>2</v>
      </c>
      <c r="AD839" t="n">
        <v>11</v>
      </c>
      <c r="AE839" t="n">
        <v>11</v>
      </c>
      <c r="AF839" t="n">
        <v>6</v>
      </c>
      <c r="AG839" t="n">
        <v>6</v>
      </c>
      <c r="AH839" t="n">
        <v>2</v>
      </c>
      <c r="AI839" t="n">
        <v>2</v>
      </c>
      <c r="AJ839" t="n">
        <v>8</v>
      </c>
      <c r="AK839" t="n">
        <v>8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9">
        <f>HYPERLINK("http://www.worldcat.org/oclc/7835557","WorldCat Record")</f>
        <v/>
      </c>
      <c r="AU839" t="inlineStr">
        <is>
          <t>10792421723:eng</t>
        </is>
      </c>
      <c r="AV839" t="inlineStr">
        <is>
          <t>7835557</t>
        </is>
      </c>
      <c r="AW839" t="inlineStr">
        <is>
          <t>991005165989702656</t>
        </is>
      </c>
      <c r="AX839" t="inlineStr">
        <is>
          <t>991005165989702656</t>
        </is>
      </c>
      <c r="AY839" t="inlineStr">
        <is>
          <t>2255007940002656</t>
        </is>
      </c>
      <c r="AZ839" t="inlineStr">
        <is>
          <t>BOOK</t>
        </is>
      </c>
      <c r="BB839" t="inlineStr">
        <is>
          <t>9780122703010</t>
        </is>
      </c>
      <c r="BC839" t="inlineStr">
        <is>
          <t>32285000957620</t>
        </is>
      </c>
      <c r="BD839" t="inlineStr">
        <is>
          <t>893789542</t>
        </is>
      </c>
    </row>
    <row r="840">
      <c r="A840" t="inlineStr">
        <is>
          <t>No</t>
        </is>
      </c>
      <c r="B840" t="inlineStr">
        <is>
          <t>QH442 .G457 1982</t>
        </is>
      </c>
      <c r="C840" t="inlineStr">
        <is>
          <t>0                      QH 0442000G  457         1982</t>
        </is>
      </c>
      <c r="D840" t="inlineStr">
        <is>
          <t>Genetic engineering techniques : recent developments / edited by P.C. Huang, T.T. Kuo, Ray Wu.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Symposium on Recent Advances in Genetic Engineering (1982 : Taipei, Taiwan)</t>
        </is>
      </c>
      <c r="L840" t="inlineStr">
        <is>
          <t>New York : Academic Press, 1982.</t>
        </is>
      </c>
      <c r="M840" t="inlineStr">
        <is>
          <t>1982</t>
        </is>
      </c>
      <c r="O840" t="inlineStr">
        <is>
          <t>eng</t>
        </is>
      </c>
      <c r="P840" t="inlineStr">
        <is>
          <t>nyu</t>
        </is>
      </c>
      <c r="R840" t="inlineStr">
        <is>
          <t xml:space="preserve">QH </t>
        </is>
      </c>
      <c r="S840" t="n">
        <v>14</v>
      </c>
      <c r="T840" t="n">
        <v>14</v>
      </c>
      <c r="U840" t="inlineStr">
        <is>
          <t>1996-10-07</t>
        </is>
      </c>
      <c r="V840" t="inlineStr">
        <is>
          <t>1996-10-07</t>
        </is>
      </c>
      <c r="W840" t="inlineStr">
        <is>
          <t>1992-07-08</t>
        </is>
      </c>
      <c r="X840" t="inlineStr">
        <is>
          <t>1992-07-08</t>
        </is>
      </c>
      <c r="Y840" t="n">
        <v>292</v>
      </c>
      <c r="Z840" t="n">
        <v>211</v>
      </c>
      <c r="AA840" t="n">
        <v>251</v>
      </c>
      <c r="AB840" t="n">
        <v>2</v>
      </c>
      <c r="AC840" t="n">
        <v>3</v>
      </c>
      <c r="AD840" t="n">
        <v>4</v>
      </c>
      <c r="AE840" t="n">
        <v>8</v>
      </c>
      <c r="AF840" t="n">
        <v>1</v>
      </c>
      <c r="AG840" t="n">
        <v>3</v>
      </c>
      <c r="AH840" t="n">
        <v>2</v>
      </c>
      <c r="AI840" t="n">
        <v>4</v>
      </c>
      <c r="AJ840" t="n">
        <v>2</v>
      </c>
      <c r="AK840" t="n">
        <v>2</v>
      </c>
      <c r="AL840" t="n">
        <v>1</v>
      </c>
      <c r="AM840" t="n">
        <v>2</v>
      </c>
      <c r="AN840" t="n">
        <v>0</v>
      </c>
      <c r="AO840" t="n">
        <v>0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HYPERLINK("http://catalog.hathitrust.org/Record/006631158","HathiTrust Record")</f>
        <v/>
      </c>
      <c r="AS840">
        <f>HYPERLINK("https://creighton-primo.hosted.exlibrisgroup.com/primo-explore/search?tab=default_tab&amp;search_scope=EVERYTHING&amp;vid=01CRU&amp;lang=en_US&amp;offset=0&amp;query=any,contains,991000097359702656","Catalog Record")</f>
        <v/>
      </c>
      <c r="AT840">
        <f>HYPERLINK("http://www.worldcat.org/oclc/8930346","WorldCat Record")</f>
        <v/>
      </c>
      <c r="AU840" t="inlineStr">
        <is>
          <t>42834415:eng</t>
        </is>
      </c>
      <c r="AV840" t="inlineStr">
        <is>
          <t>8930346</t>
        </is>
      </c>
      <c r="AW840" t="inlineStr">
        <is>
          <t>991000097359702656</t>
        </is>
      </c>
      <c r="AX840" t="inlineStr">
        <is>
          <t>991000097359702656</t>
        </is>
      </c>
      <c r="AY840" t="inlineStr">
        <is>
          <t>2258651780002656</t>
        </is>
      </c>
      <c r="AZ840" t="inlineStr">
        <is>
          <t>BOOK</t>
        </is>
      </c>
      <c r="BB840" t="inlineStr">
        <is>
          <t>9780123582508</t>
        </is>
      </c>
      <c r="BC840" t="inlineStr">
        <is>
          <t>32285001187359</t>
        </is>
      </c>
      <c r="BD840" t="inlineStr">
        <is>
          <t>893249082</t>
        </is>
      </c>
    </row>
    <row r="841">
      <c r="A841" t="inlineStr">
        <is>
          <t>No</t>
        </is>
      </c>
      <c r="B841" t="inlineStr">
        <is>
          <t>QH442 .G46</t>
        </is>
      </c>
      <c r="C841" t="inlineStr">
        <is>
          <t>0                      QH 0442000G  46</t>
        </is>
      </c>
      <c r="D841" t="inlineStr">
        <is>
          <t>Genetic responsibility : on choosing our children's genes / edited by Mack Lipkin, Jr. and Peter T. Rowley.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L841" t="inlineStr">
        <is>
          <t>New York : Plenum Press, [1974]</t>
        </is>
      </c>
      <c r="M841" t="inlineStr">
        <is>
          <t>1974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QH </t>
        </is>
      </c>
      <c r="S841" t="n">
        <v>21</v>
      </c>
      <c r="T841" t="n">
        <v>21</v>
      </c>
      <c r="U841" t="inlineStr">
        <is>
          <t>2003-04-09</t>
        </is>
      </c>
      <c r="V841" t="inlineStr">
        <is>
          <t>2003-04-09</t>
        </is>
      </c>
      <c r="W841" t="inlineStr">
        <is>
          <t>1993-11-16</t>
        </is>
      </c>
      <c r="X841" t="inlineStr">
        <is>
          <t>1993-11-16</t>
        </is>
      </c>
      <c r="Y841" t="n">
        <v>586</v>
      </c>
      <c r="Z841" t="n">
        <v>509</v>
      </c>
      <c r="AA841" t="n">
        <v>539</v>
      </c>
      <c r="AB841" t="n">
        <v>2</v>
      </c>
      <c r="AC841" t="n">
        <v>2</v>
      </c>
      <c r="AD841" t="n">
        <v>26</v>
      </c>
      <c r="AE841" t="n">
        <v>26</v>
      </c>
      <c r="AF841" t="n">
        <v>11</v>
      </c>
      <c r="AG841" t="n">
        <v>11</v>
      </c>
      <c r="AH841" t="n">
        <v>5</v>
      </c>
      <c r="AI841" t="n">
        <v>5</v>
      </c>
      <c r="AJ841" t="n">
        <v>15</v>
      </c>
      <c r="AK841" t="n">
        <v>15</v>
      </c>
      <c r="AL841" t="n">
        <v>1</v>
      </c>
      <c r="AM841" t="n">
        <v>1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HYPERLINK("http://catalog.hathitrust.org/Record/000031820","HathiTrust Record")</f>
        <v/>
      </c>
      <c r="AS841">
        <f>HYPERLINK("https://creighton-primo.hosted.exlibrisgroup.com/primo-explore/search?tab=default_tab&amp;search_scope=EVERYTHING&amp;vid=01CRU&amp;lang=en_US&amp;offset=0&amp;query=any,contains,991003535579702656","Catalog Record")</f>
        <v/>
      </c>
      <c r="AT841">
        <f>HYPERLINK("http://www.worldcat.org/oclc/1100157","WorldCat Record")</f>
        <v/>
      </c>
      <c r="AU841" t="inlineStr">
        <is>
          <t>436276:eng</t>
        </is>
      </c>
      <c r="AV841" t="inlineStr">
        <is>
          <t>1100157</t>
        </is>
      </c>
      <c r="AW841" t="inlineStr">
        <is>
          <t>991003535579702656</t>
        </is>
      </c>
      <c r="AX841" t="inlineStr">
        <is>
          <t>991003535579702656</t>
        </is>
      </c>
      <c r="AY841" t="inlineStr">
        <is>
          <t>2269306050002656</t>
        </is>
      </c>
      <c r="AZ841" t="inlineStr">
        <is>
          <t>BOOK</t>
        </is>
      </c>
      <c r="BB841" t="inlineStr">
        <is>
          <t>9780306308130</t>
        </is>
      </c>
      <c r="BC841" t="inlineStr">
        <is>
          <t>32285001798692</t>
        </is>
      </c>
      <c r="BD841" t="inlineStr">
        <is>
          <t>893441395</t>
        </is>
      </c>
    </row>
    <row r="842">
      <c r="A842" t="inlineStr">
        <is>
          <t>No</t>
        </is>
      </c>
      <c r="B842" t="inlineStr">
        <is>
          <t>QH442 .G66</t>
        </is>
      </c>
      <c r="C842" t="inlineStr">
        <is>
          <t>0                      QH 0442000G  66</t>
        </is>
      </c>
      <c r="D842" t="inlineStr">
        <is>
          <t>Playing God : genetic engineering and the manipulation of life / June Goodfield.</t>
        </is>
      </c>
      <c r="F842" t="inlineStr">
        <is>
          <t>No</t>
        </is>
      </c>
      <c r="G842" t="inlineStr">
        <is>
          <t>1</t>
        </is>
      </c>
      <c r="H842" t="inlineStr">
        <is>
          <t>Yes</t>
        </is>
      </c>
      <c r="I842" t="inlineStr">
        <is>
          <t>No</t>
        </is>
      </c>
      <c r="J842" t="inlineStr">
        <is>
          <t>0</t>
        </is>
      </c>
      <c r="K842" t="inlineStr">
        <is>
          <t>Goodfield, June, 1927-</t>
        </is>
      </c>
      <c r="L842" t="inlineStr">
        <is>
          <t>New York : Random House, c1977.</t>
        </is>
      </c>
      <c r="M842" t="inlineStr">
        <is>
          <t>1977</t>
        </is>
      </c>
      <c r="N842" t="inlineStr">
        <is>
          <t>1st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QH </t>
        </is>
      </c>
      <c r="S842" t="n">
        <v>23</v>
      </c>
      <c r="T842" t="n">
        <v>34</v>
      </c>
      <c r="U842" t="inlineStr">
        <is>
          <t>2001-04-05</t>
        </is>
      </c>
      <c r="V842" t="inlineStr">
        <is>
          <t>2001-04-05</t>
        </is>
      </c>
      <c r="W842" t="inlineStr">
        <is>
          <t>1993-11-15</t>
        </is>
      </c>
      <c r="X842" t="inlineStr">
        <is>
          <t>1993-11-15</t>
        </is>
      </c>
      <c r="Y842" t="n">
        <v>1037</v>
      </c>
      <c r="Z842" t="n">
        <v>954</v>
      </c>
      <c r="AA842" t="n">
        <v>1058</v>
      </c>
      <c r="AB842" t="n">
        <v>5</v>
      </c>
      <c r="AC842" t="n">
        <v>6</v>
      </c>
      <c r="AD842" t="n">
        <v>30</v>
      </c>
      <c r="AE842" t="n">
        <v>35</v>
      </c>
      <c r="AF842" t="n">
        <v>9</v>
      </c>
      <c r="AG842" t="n">
        <v>9</v>
      </c>
      <c r="AH842" t="n">
        <v>5</v>
      </c>
      <c r="AI842" t="n">
        <v>7</v>
      </c>
      <c r="AJ842" t="n">
        <v>13</v>
      </c>
      <c r="AK842" t="n">
        <v>17</v>
      </c>
      <c r="AL842" t="n">
        <v>3</v>
      </c>
      <c r="AM842" t="n">
        <v>4</v>
      </c>
      <c r="AN842" t="n">
        <v>7</v>
      </c>
      <c r="AO842" t="n">
        <v>7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HYPERLINK("https://creighton-primo.hosted.exlibrisgroup.com/primo-explore/search?tab=default_tab&amp;search_scope=EVERYTHING&amp;vid=01CRU&amp;lang=en_US&amp;offset=0&amp;query=any,contains,991001789329702656","Catalog Record")</f>
        <v/>
      </c>
      <c r="AT842">
        <f>HYPERLINK("http://www.worldcat.org/oclc/2966106","WorldCat Record")</f>
        <v/>
      </c>
      <c r="AU842" t="inlineStr">
        <is>
          <t>6608189:eng</t>
        </is>
      </c>
      <c r="AV842" t="inlineStr">
        <is>
          <t>2966106</t>
        </is>
      </c>
      <c r="AW842" t="inlineStr">
        <is>
          <t>991001789329702656</t>
        </is>
      </c>
      <c r="AX842" t="inlineStr">
        <is>
          <t>991001789329702656</t>
        </is>
      </c>
      <c r="AY842" t="inlineStr">
        <is>
          <t>2267585120002656</t>
        </is>
      </c>
      <c r="AZ842" t="inlineStr">
        <is>
          <t>BOOK</t>
        </is>
      </c>
      <c r="BB842" t="inlineStr">
        <is>
          <t>9780394406923</t>
        </is>
      </c>
      <c r="BC842" t="inlineStr">
        <is>
          <t>32285001798486</t>
        </is>
      </c>
      <c r="BD842" t="inlineStr">
        <is>
          <t>893420627</t>
        </is>
      </c>
    </row>
    <row r="843">
      <c r="A843" t="inlineStr">
        <is>
          <t>No</t>
        </is>
      </c>
      <c r="B843" t="inlineStr">
        <is>
          <t>QH442 .G7913 1992</t>
        </is>
      </c>
      <c r="C843" t="inlineStr">
        <is>
          <t>0                      QH 0442000G  7913        1992</t>
        </is>
      </c>
      <c r="D843" t="inlineStr">
        <is>
          <t>The gene civilization / Franc̜ois Gros.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Gros, François, 1925-</t>
        </is>
      </c>
      <c r="L843" t="inlineStr">
        <is>
          <t>New York : McGraw Hill, 1992.</t>
        </is>
      </c>
      <c r="M843" t="inlineStr">
        <is>
          <t>1992</t>
        </is>
      </c>
      <c r="O843" t="inlineStr">
        <is>
          <t>eng</t>
        </is>
      </c>
      <c r="P843" t="inlineStr">
        <is>
          <t>nyu</t>
        </is>
      </c>
      <c r="Q843" t="inlineStr">
        <is>
          <t>McGraw-Hill horizons of science series</t>
        </is>
      </c>
      <c r="R843" t="inlineStr">
        <is>
          <t xml:space="preserve">QH </t>
        </is>
      </c>
      <c r="S843" t="n">
        <v>18</v>
      </c>
      <c r="T843" t="n">
        <v>18</v>
      </c>
      <c r="U843" t="inlineStr">
        <is>
          <t>1998-10-27</t>
        </is>
      </c>
      <c r="V843" t="inlineStr">
        <is>
          <t>1998-10-27</t>
        </is>
      </c>
      <c r="W843" t="inlineStr">
        <is>
          <t>1992-11-09</t>
        </is>
      </c>
      <c r="X843" t="inlineStr">
        <is>
          <t>1992-11-09</t>
        </is>
      </c>
      <c r="Y843" t="n">
        <v>211</v>
      </c>
      <c r="Z843" t="n">
        <v>172</v>
      </c>
      <c r="AA843" t="n">
        <v>179</v>
      </c>
      <c r="AB843" t="n">
        <v>2</v>
      </c>
      <c r="AC843" t="n">
        <v>2</v>
      </c>
      <c r="AD843" t="n">
        <v>8</v>
      </c>
      <c r="AE843" t="n">
        <v>8</v>
      </c>
      <c r="AF843" t="n">
        <v>2</v>
      </c>
      <c r="AG843" t="n">
        <v>2</v>
      </c>
      <c r="AH843" t="n">
        <v>3</v>
      </c>
      <c r="AI843" t="n">
        <v>3</v>
      </c>
      <c r="AJ843" t="n">
        <v>5</v>
      </c>
      <c r="AK843" t="n">
        <v>5</v>
      </c>
      <c r="AL843" t="n">
        <v>1</v>
      </c>
      <c r="AM843" t="n">
        <v>1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HYPERLINK("http://catalog.hathitrust.org/Record/002549789","HathiTrust Record")</f>
        <v/>
      </c>
      <c r="AS843">
        <f>HYPERLINK("https://creighton-primo.hosted.exlibrisgroup.com/primo-explore/search?tab=default_tab&amp;search_scope=EVERYTHING&amp;vid=01CRU&amp;lang=en_US&amp;offset=0&amp;query=any,contains,991001926919702656","Catalog Record")</f>
        <v/>
      </c>
      <c r="AT843">
        <f>HYPERLINK("http://www.worldcat.org/oclc/24320641","WorldCat Record")</f>
        <v/>
      </c>
      <c r="AU843" t="inlineStr">
        <is>
          <t>26488191:eng</t>
        </is>
      </c>
      <c r="AV843" t="inlineStr">
        <is>
          <t>24320641</t>
        </is>
      </c>
      <c r="AW843" t="inlineStr">
        <is>
          <t>991001926919702656</t>
        </is>
      </c>
      <c r="AX843" t="inlineStr">
        <is>
          <t>991001926919702656</t>
        </is>
      </c>
      <c r="AY843" t="inlineStr">
        <is>
          <t>2272509000002656</t>
        </is>
      </c>
      <c r="AZ843" t="inlineStr">
        <is>
          <t>BOOK</t>
        </is>
      </c>
      <c r="BB843" t="inlineStr">
        <is>
          <t>9780070249639</t>
        </is>
      </c>
      <c r="BC843" t="inlineStr">
        <is>
          <t>32285001361590</t>
        </is>
      </c>
      <c r="BD843" t="inlineStr">
        <is>
          <t>893709655</t>
        </is>
      </c>
    </row>
    <row r="844">
      <c r="A844" t="inlineStr">
        <is>
          <t>No</t>
        </is>
      </c>
      <c r="B844" t="inlineStr">
        <is>
          <t>QH442 .K37</t>
        </is>
      </c>
      <c r="C844" t="inlineStr">
        <is>
          <t>0                      QH 0442000K  37</t>
        </is>
      </c>
      <c r="D844" t="inlineStr">
        <is>
          <t>Genetic engineering, threat or promise? / Laurence E. Karp ; medical ill. by Jan Norbisrath.</t>
        </is>
      </c>
      <c r="F844" t="inlineStr">
        <is>
          <t>No</t>
        </is>
      </c>
      <c r="G844" t="inlineStr">
        <is>
          <t>1</t>
        </is>
      </c>
      <c r="H844" t="inlineStr">
        <is>
          <t>Yes</t>
        </is>
      </c>
      <c r="I844" t="inlineStr">
        <is>
          <t>No</t>
        </is>
      </c>
      <c r="J844" t="inlineStr">
        <is>
          <t>0</t>
        </is>
      </c>
      <c r="K844" t="inlineStr">
        <is>
          <t>Karp, Larry (Laurence Edward), 1939-</t>
        </is>
      </c>
      <c r="L844" t="inlineStr">
        <is>
          <t>Chicago : Nelson-Hall, c1976.</t>
        </is>
      </c>
      <c r="M844" t="inlineStr">
        <is>
          <t>1976</t>
        </is>
      </c>
      <c r="O844" t="inlineStr">
        <is>
          <t>eng</t>
        </is>
      </c>
      <c r="P844" t="inlineStr">
        <is>
          <t>ilu</t>
        </is>
      </c>
      <c r="R844" t="inlineStr">
        <is>
          <t xml:space="preserve">QH </t>
        </is>
      </c>
      <c r="S844" t="n">
        <v>16</v>
      </c>
      <c r="T844" t="n">
        <v>31</v>
      </c>
      <c r="U844" t="inlineStr">
        <is>
          <t>1996-03-18</t>
        </is>
      </c>
      <c r="V844" t="inlineStr">
        <is>
          <t>1996-09-24</t>
        </is>
      </c>
      <c r="W844" t="inlineStr">
        <is>
          <t>1992-06-24</t>
        </is>
      </c>
      <c r="X844" t="inlineStr">
        <is>
          <t>1992-06-24</t>
        </is>
      </c>
      <c r="Y844" t="n">
        <v>768</v>
      </c>
      <c r="Z844" t="n">
        <v>712</v>
      </c>
      <c r="AA844" t="n">
        <v>727</v>
      </c>
      <c r="AB844" t="n">
        <v>8</v>
      </c>
      <c r="AC844" t="n">
        <v>9</v>
      </c>
      <c r="AD844" t="n">
        <v>28</v>
      </c>
      <c r="AE844" t="n">
        <v>29</v>
      </c>
      <c r="AF844" t="n">
        <v>10</v>
      </c>
      <c r="AG844" t="n">
        <v>10</v>
      </c>
      <c r="AH844" t="n">
        <v>6</v>
      </c>
      <c r="AI844" t="n">
        <v>6</v>
      </c>
      <c r="AJ844" t="n">
        <v>10</v>
      </c>
      <c r="AK844" t="n">
        <v>10</v>
      </c>
      <c r="AL844" t="n">
        <v>6</v>
      </c>
      <c r="AM844" t="n">
        <v>7</v>
      </c>
      <c r="AN844" t="n">
        <v>1</v>
      </c>
      <c r="AO844" t="n">
        <v>1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HYPERLINK("https://creighton-primo.hosted.exlibrisgroup.com/primo-explore/search?tab=default_tab&amp;search_scope=EVERYTHING&amp;vid=01CRU&amp;lang=en_US&amp;offset=0&amp;query=any,contains,991001770569702656","Catalog Record")</f>
        <v/>
      </c>
      <c r="AT844">
        <f>HYPERLINK("http://www.worldcat.org/oclc/2035134","WorldCat Record")</f>
        <v/>
      </c>
      <c r="AU844" t="inlineStr">
        <is>
          <t>541275:eng</t>
        </is>
      </c>
      <c r="AV844" t="inlineStr">
        <is>
          <t>2035134</t>
        </is>
      </c>
      <c r="AW844" t="inlineStr">
        <is>
          <t>991001770569702656</t>
        </is>
      </c>
      <c r="AX844" t="inlineStr">
        <is>
          <t>991001770569702656</t>
        </is>
      </c>
      <c r="AY844" t="inlineStr">
        <is>
          <t>2268764950002656</t>
        </is>
      </c>
      <c r="AZ844" t="inlineStr">
        <is>
          <t>BOOK</t>
        </is>
      </c>
      <c r="BB844" t="inlineStr">
        <is>
          <t>9780882292618</t>
        </is>
      </c>
      <c r="BC844" t="inlineStr">
        <is>
          <t>32285001133841</t>
        </is>
      </c>
      <c r="BD844" t="inlineStr">
        <is>
          <t>893509899</t>
        </is>
      </c>
    </row>
    <row r="845">
      <c r="A845" t="inlineStr">
        <is>
          <t>No</t>
        </is>
      </c>
      <c r="B845" t="inlineStr">
        <is>
          <t>QH442 .K79 1996</t>
        </is>
      </c>
      <c r="C845" t="inlineStr">
        <is>
          <t>0                      QH 0442000K  79          1996</t>
        </is>
      </c>
      <c r="D845" t="inlineStr">
        <is>
          <t>Recombinant DNA and biotechnology : a guide for teachers / Helen Kreuzer and Adrianne Massey.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Kreuzer, Helen.</t>
        </is>
      </c>
      <c r="L845" t="inlineStr">
        <is>
          <t>Washington, DC : ASM Press ; 1996.</t>
        </is>
      </c>
      <c r="M845" t="inlineStr">
        <is>
          <t>1996</t>
        </is>
      </c>
      <c r="O845" t="inlineStr">
        <is>
          <t>eng</t>
        </is>
      </c>
      <c r="P845" t="inlineStr">
        <is>
          <t>dcu</t>
        </is>
      </c>
      <c r="R845" t="inlineStr">
        <is>
          <t xml:space="preserve">QH </t>
        </is>
      </c>
      <c r="S845" t="n">
        <v>5</v>
      </c>
      <c r="T845" t="n">
        <v>5</v>
      </c>
      <c r="U845" t="inlineStr">
        <is>
          <t>2001-06-21</t>
        </is>
      </c>
      <c r="V845" t="inlineStr">
        <is>
          <t>2001-06-21</t>
        </is>
      </c>
      <c r="W845" t="inlineStr">
        <is>
          <t>1997-01-09</t>
        </is>
      </c>
      <c r="X845" t="inlineStr">
        <is>
          <t>1997-01-09</t>
        </is>
      </c>
      <c r="Y845" t="n">
        <v>182</v>
      </c>
      <c r="Z845" t="n">
        <v>124</v>
      </c>
      <c r="AA845" t="n">
        <v>262</v>
      </c>
      <c r="AB845" t="n">
        <v>1</v>
      </c>
      <c r="AC845" t="n">
        <v>1</v>
      </c>
      <c r="AD845" t="n">
        <v>3</v>
      </c>
      <c r="AE845" t="n">
        <v>6</v>
      </c>
      <c r="AF845" t="n">
        <v>0</v>
      </c>
      <c r="AG845" t="n">
        <v>1</v>
      </c>
      <c r="AH845" t="n">
        <v>3</v>
      </c>
      <c r="AI845" t="n">
        <v>3</v>
      </c>
      <c r="AJ845" t="n">
        <v>3</v>
      </c>
      <c r="AK845" t="n">
        <v>4</v>
      </c>
      <c r="AL845" t="n">
        <v>0</v>
      </c>
      <c r="AM845" t="n">
        <v>0</v>
      </c>
      <c r="AN845" t="n">
        <v>0</v>
      </c>
      <c r="AO845" t="n">
        <v>1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HYPERLINK("https://creighton-primo.hosted.exlibrisgroup.com/primo-explore/search?tab=default_tab&amp;search_scope=EVERYTHING&amp;vid=01CRU&amp;lang=en_US&amp;offset=0&amp;query=any,contains,991002684259702656","Catalog Record")</f>
        <v/>
      </c>
      <c r="AT845">
        <f>HYPERLINK("http://www.worldcat.org/oclc/35082461","WorldCat Record")</f>
        <v/>
      </c>
      <c r="AU845" t="inlineStr">
        <is>
          <t>3856696715:eng</t>
        </is>
      </c>
      <c r="AV845" t="inlineStr">
        <is>
          <t>35082461</t>
        </is>
      </c>
      <c r="AW845" t="inlineStr">
        <is>
          <t>991002684259702656</t>
        </is>
      </c>
      <c r="AX845" t="inlineStr">
        <is>
          <t>991002684259702656</t>
        </is>
      </c>
      <c r="AY845" t="inlineStr">
        <is>
          <t>2270936810002656</t>
        </is>
      </c>
      <c r="AZ845" t="inlineStr">
        <is>
          <t>BOOK</t>
        </is>
      </c>
      <c r="BC845" t="inlineStr">
        <is>
          <t>32285002405925</t>
        </is>
      </c>
      <c r="BD845" t="inlineStr">
        <is>
          <t>893610153</t>
        </is>
      </c>
    </row>
    <row r="846">
      <c r="A846" t="inlineStr">
        <is>
          <t>No</t>
        </is>
      </c>
      <c r="B846" t="inlineStr">
        <is>
          <t>QH442 .M479 v.1-2</t>
        </is>
      </c>
      <c r="C846" t="inlineStr">
        <is>
          <t>0                      QH 0442000M  479                                                     v.1-2</t>
        </is>
      </c>
      <c r="D846" t="inlineStr">
        <is>
          <t>Gene and chromosome analysis / edited by Kenneth W. Adolph.</t>
        </is>
      </c>
      <c r="E846" t="inlineStr">
        <is>
          <t>V. 2</t>
        </is>
      </c>
      <c r="F846" t="inlineStr">
        <is>
          <t>Yes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L846" t="inlineStr">
        <is>
          <t>San Diego, Calif. : Academic Press, c1993.</t>
        </is>
      </c>
      <c r="M846" t="inlineStr">
        <is>
          <t>1993</t>
        </is>
      </c>
      <c r="O846" t="inlineStr">
        <is>
          <t>eng</t>
        </is>
      </c>
      <c r="P846" t="inlineStr">
        <is>
          <t>cau</t>
        </is>
      </c>
      <c r="Q846" t="inlineStr">
        <is>
          <t>Methods in molecular genetics ; v. 1, 2</t>
        </is>
      </c>
      <c r="R846" t="inlineStr">
        <is>
          <t xml:space="preserve">QH </t>
        </is>
      </c>
      <c r="S846" t="n">
        <v>4</v>
      </c>
      <c r="T846" t="n">
        <v>4</v>
      </c>
      <c r="U846" t="inlineStr">
        <is>
          <t>1999-07-14</t>
        </is>
      </c>
      <c r="V846" t="inlineStr">
        <is>
          <t>1999-07-14</t>
        </is>
      </c>
      <c r="W846" t="inlineStr">
        <is>
          <t>1994-06-20</t>
        </is>
      </c>
      <c r="X846" t="inlineStr">
        <is>
          <t>1994-06-20</t>
        </is>
      </c>
      <c r="Y846" t="n">
        <v>190</v>
      </c>
      <c r="Z846" t="n">
        <v>146</v>
      </c>
      <c r="AA846" t="n">
        <v>176</v>
      </c>
      <c r="AB846" t="n">
        <v>2</v>
      </c>
      <c r="AC846" t="n">
        <v>2</v>
      </c>
      <c r="AD846" t="n">
        <v>7</v>
      </c>
      <c r="AE846" t="n">
        <v>8</v>
      </c>
      <c r="AF846" t="n">
        <v>2</v>
      </c>
      <c r="AG846" t="n">
        <v>3</v>
      </c>
      <c r="AH846" t="n">
        <v>1</v>
      </c>
      <c r="AI846" t="n">
        <v>1</v>
      </c>
      <c r="AJ846" t="n">
        <v>5</v>
      </c>
      <c r="AK846" t="n">
        <v>5</v>
      </c>
      <c r="AL846" t="n">
        <v>1</v>
      </c>
      <c r="AM846" t="n">
        <v>1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HYPERLINK("http://catalog.hathitrust.org/Record/007972815","HathiTrust Record")</f>
        <v/>
      </c>
      <c r="AS846">
        <f>HYPERLINK("https://creighton-primo.hosted.exlibrisgroup.com/primo-explore/search?tab=default_tab&amp;search_scope=EVERYTHING&amp;vid=01CRU&amp;lang=en_US&amp;offset=0&amp;query=any,contains,991002212319702656","Catalog Record")</f>
        <v/>
      </c>
      <c r="AT846">
        <f>HYPERLINK("http://www.worldcat.org/oclc/28461237","WorldCat Record")</f>
        <v/>
      </c>
      <c r="AU846" t="inlineStr">
        <is>
          <t>55724188:eng</t>
        </is>
      </c>
      <c r="AV846" t="inlineStr">
        <is>
          <t>28461237</t>
        </is>
      </c>
      <c r="AW846" t="inlineStr">
        <is>
          <t>991002212319702656</t>
        </is>
      </c>
      <c r="AX846" t="inlineStr">
        <is>
          <t>991002212319702656</t>
        </is>
      </c>
      <c r="AY846" t="inlineStr">
        <is>
          <t>2262807730002656</t>
        </is>
      </c>
      <c r="AZ846" t="inlineStr">
        <is>
          <t>BOOK</t>
        </is>
      </c>
      <c r="BB846" t="inlineStr">
        <is>
          <t>9780120443017</t>
        </is>
      </c>
      <c r="BC846" t="inlineStr">
        <is>
          <t>32285001923704</t>
        </is>
      </c>
      <c r="BD846" t="inlineStr">
        <is>
          <t>893609581</t>
        </is>
      </c>
    </row>
    <row r="847">
      <c r="A847" t="inlineStr">
        <is>
          <t>No</t>
        </is>
      </c>
      <c r="B847" t="inlineStr">
        <is>
          <t>QH442 .M479 v.3, 5</t>
        </is>
      </c>
      <c r="C847" t="inlineStr">
        <is>
          <t>0                      QH 0442000M  479                                                     v.3, 5</t>
        </is>
      </c>
      <c r="D847" t="inlineStr">
        <is>
          <t>Molecular microbiology techniques / edited by Kenneth W. Adolph.</t>
        </is>
      </c>
      <c r="E847" t="inlineStr">
        <is>
          <t>V. 3</t>
        </is>
      </c>
      <c r="F847" t="inlineStr">
        <is>
          <t>Yes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L847" t="inlineStr">
        <is>
          <t>San Diego : Academic Press, 1994-</t>
        </is>
      </c>
      <c r="M847" t="inlineStr">
        <is>
          <t>1994</t>
        </is>
      </c>
      <c r="O847" t="inlineStr">
        <is>
          <t>eng</t>
        </is>
      </c>
      <c r="P847" t="inlineStr">
        <is>
          <t>dcu</t>
        </is>
      </c>
      <c r="Q847" t="inlineStr">
        <is>
          <t>Methods in molecular genetics ; v. 3, 5</t>
        </is>
      </c>
      <c r="R847" t="inlineStr">
        <is>
          <t xml:space="preserve">QH </t>
        </is>
      </c>
      <c r="S847" t="n">
        <v>6</v>
      </c>
      <c r="T847" t="n">
        <v>6</v>
      </c>
      <c r="U847" t="inlineStr">
        <is>
          <t>1999-07-14</t>
        </is>
      </c>
      <c r="V847" t="inlineStr">
        <is>
          <t>1999-07-14</t>
        </is>
      </c>
      <c r="W847" t="inlineStr">
        <is>
          <t>1994-06-20</t>
        </is>
      </c>
      <c r="X847" t="inlineStr">
        <is>
          <t>1994-06-20</t>
        </is>
      </c>
      <c r="Y847" t="n">
        <v>128</v>
      </c>
      <c r="Z847" t="n">
        <v>104</v>
      </c>
      <c r="AA847" t="n">
        <v>111</v>
      </c>
      <c r="AB847" t="n">
        <v>1</v>
      </c>
      <c r="AC847" t="n">
        <v>1</v>
      </c>
      <c r="AD847" t="n">
        <v>2</v>
      </c>
      <c r="AE847" t="n">
        <v>2</v>
      </c>
      <c r="AF847" t="n">
        <v>0</v>
      </c>
      <c r="AG847" t="n">
        <v>0</v>
      </c>
      <c r="AH847" t="n">
        <v>0</v>
      </c>
      <c r="AI847" t="n">
        <v>0</v>
      </c>
      <c r="AJ847" t="n">
        <v>2</v>
      </c>
      <c r="AK847" t="n">
        <v>2</v>
      </c>
      <c r="AL847" t="n">
        <v>0</v>
      </c>
      <c r="AM847" t="n">
        <v>0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HYPERLINK("http://catalog.hathitrust.org/Record/002932480","HathiTrust Record")</f>
        <v/>
      </c>
      <c r="AS847">
        <f>HYPERLINK("https://creighton-primo.hosted.exlibrisgroup.com/primo-explore/search?tab=default_tab&amp;search_scope=EVERYTHING&amp;vid=01CRU&amp;lang=en_US&amp;offset=0&amp;query=any,contains,991002323739702656","Catalog Record")</f>
        <v/>
      </c>
      <c r="AT847">
        <f>HYPERLINK("http://www.worldcat.org/oclc/30148043","WorldCat Record")</f>
        <v/>
      </c>
      <c r="AU847" t="inlineStr">
        <is>
          <t>3945680556:eng</t>
        </is>
      </c>
      <c r="AV847" t="inlineStr">
        <is>
          <t>30148043</t>
        </is>
      </c>
      <c r="AW847" t="inlineStr">
        <is>
          <t>991002323739702656</t>
        </is>
      </c>
      <c r="AX847" t="inlineStr">
        <is>
          <t>991002323739702656</t>
        </is>
      </c>
      <c r="AY847" t="inlineStr">
        <is>
          <t>2267790630002656</t>
        </is>
      </c>
      <c r="AZ847" t="inlineStr">
        <is>
          <t>BOOK</t>
        </is>
      </c>
      <c r="BB847" t="inlineStr">
        <is>
          <t>9780120443055</t>
        </is>
      </c>
      <c r="BC847" t="inlineStr">
        <is>
          <t>32285001923696</t>
        </is>
      </c>
      <c r="BD847" t="inlineStr">
        <is>
          <t>893328936</t>
        </is>
      </c>
    </row>
    <row r="848">
      <c r="A848" t="inlineStr">
        <is>
          <t>No</t>
        </is>
      </c>
      <c r="B848" t="inlineStr">
        <is>
          <t>QH442 .M53 1983</t>
        </is>
      </c>
      <c r="C848" t="inlineStr">
        <is>
          <t>0                      QH 0442000M  53          1983</t>
        </is>
      </c>
      <c r="D848" t="inlineStr">
        <is>
          <t>Advances in gene technology : molecular genetics of plants and animals : proceedings of the Miami Winter Symposium, January 1983 / sponsored by the Department of Biochemistry, University of Miami School of Medicine, Miami, Florida ; edited by Kathleen Downey ... [et al.] ; technical editor, Sandra Black.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Miami Winter Symposium (15th : 1983)</t>
        </is>
      </c>
      <c r="L848" t="inlineStr">
        <is>
          <t>New York : Academic Press, 1983.</t>
        </is>
      </c>
      <c r="M848" t="inlineStr">
        <is>
          <t>1983</t>
        </is>
      </c>
      <c r="O848" t="inlineStr">
        <is>
          <t>eng</t>
        </is>
      </c>
      <c r="P848" t="inlineStr">
        <is>
          <t>nyu</t>
        </is>
      </c>
      <c r="Q848" t="inlineStr">
        <is>
          <t>Miami winter symposia ; v. 20</t>
        </is>
      </c>
      <c r="R848" t="inlineStr">
        <is>
          <t xml:space="preserve">QH </t>
        </is>
      </c>
      <c r="S848" t="n">
        <v>6</v>
      </c>
      <c r="T848" t="n">
        <v>6</v>
      </c>
      <c r="U848" t="inlineStr">
        <is>
          <t>1996-10-07</t>
        </is>
      </c>
      <c r="V848" t="inlineStr">
        <is>
          <t>1996-10-07</t>
        </is>
      </c>
      <c r="W848" t="inlineStr">
        <is>
          <t>1992-03-23</t>
        </is>
      </c>
      <c r="X848" t="inlineStr">
        <is>
          <t>1992-03-23</t>
        </is>
      </c>
      <c r="Y848" t="n">
        <v>240</v>
      </c>
      <c r="Z848" t="n">
        <v>185</v>
      </c>
      <c r="AA848" t="n">
        <v>232</v>
      </c>
      <c r="AB848" t="n">
        <v>2</v>
      </c>
      <c r="AC848" t="n">
        <v>3</v>
      </c>
      <c r="AD848" t="n">
        <v>3</v>
      </c>
      <c r="AE848" t="n">
        <v>7</v>
      </c>
      <c r="AF848" t="n">
        <v>0</v>
      </c>
      <c r="AG848" t="n">
        <v>2</v>
      </c>
      <c r="AH848" t="n">
        <v>2</v>
      </c>
      <c r="AI848" t="n">
        <v>4</v>
      </c>
      <c r="AJ848" t="n">
        <v>1</v>
      </c>
      <c r="AK848" t="n">
        <v>1</v>
      </c>
      <c r="AL848" t="n">
        <v>1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HYPERLINK("http://catalog.hathitrust.org/Record/000335989","HathiTrust Record")</f>
        <v/>
      </c>
      <c r="AS848">
        <f>HYPERLINK("https://creighton-primo.hosted.exlibrisgroup.com/primo-explore/search?tab=default_tab&amp;search_scope=EVERYTHING&amp;vid=01CRU&amp;lang=en_US&amp;offset=0&amp;query=any,contains,991000304699702656","Catalog Record")</f>
        <v/>
      </c>
      <c r="AT848">
        <f>HYPERLINK("http://www.worldcat.org/oclc/10046235","WorldCat Record")</f>
        <v/>
      </c>
      <c r="AU848" t="inlineStr">
        <is>
          <t>806412983:eng</t>
        </is>
      </c>
      <c r="AV848" t="inlineStr">
        <is>
          <t>10046235</t>
        </is>
      </c>
      <c r="AW848" t="inlineStr">
        <is>
          <t>991000304699702656</t>
        </is>
      </c>
      <c r="AX848" t="inlineStr">
        <is>
          <t>991000304699702656</t>
        </is>
      </c>
      <c r="AY848" t="inlineStr">
        <is>
          <t>2258545950002656</t>
        </is>
      </c>
      <c r="AZ848" t="inlineStr">
        <is>
          <t>BOOK</t>
        </is>
      </c>
      <c r="BB848" t="inlineStr">
        <is>
          <t>9780122214806</t>
        </is>
      </c>
      <c r="BC848" t="inlineStr">
        <is>
          <t>32285001025914</t>
        </is>
      </c>
      <c r="BD848" t="inlineStr">
        <is>
          <t>893249234</t>
        </is>
      </c>
    </row>
    <row r="849">
      <c r="A849" t="inlineStr">
        <is>
          <t>No</t>
        </is>
      </c>
      <c r="B849" t="inlineStr">
        <is>
          <t>QH442 .M54 1990</t>
        </is>
      </c>
      <c r="C849" t="inlineStr">
        <is>
          <t>0                      QH 0442000M  54          1990</t>
        </is>
      </c>
      <c r="D849" t="inlineStr">
        <is>
          <t>DNA science : a first course in recombinant DNA technology / David A. Micklos, Greg A. Freyer ; illustrated by Susan Zehl Lauter.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Micklos, David A.</t>
        </is>
      </c>
      <c r="L849" t="inlineStr">
        <is>
          <t>Burlington, N.C. : Carolina Biological Supply Co. ; Cold Spring Harbor : Cold Spring Harbor Laboratory Press, c1990.</t>
        </is>
      </c>
      <c r="M849" t="inlineStr">
        <is>
          <t>1990</t>
        </is>
      </c>
      <c r="O849" t="inlineStr">
        <is>
          <t>eng</t>
        </is>
      </c>
      <c r="P849" t="inlineStr">
        <is>
          <t>ncu</t>
        </is>
      </c>
      <c r="R849" t="inlineStr">
        <is>
          <t xml:space="preserve">QH </t>
        </is>
      </c>
      <c r="S849" t="n">
        <v>18</v>
      </c>
      <c r="T849" t="n">
        <v>18</v>
      </c>
      <c r="U849" t="inlineStr">
        <is>
          <t>2008-10-23</t>
        </is>
      </c>
      <c r="V849" t="inlineStr">
        <is>
          <t>2008-10-23</t>
        </is>
      </c>
      <c r="W849" t="inlineStr">
        <is>
          <t>1996-02-21</t>
        </is>
      </c>
      <c r="X849" t="inlineStr">
        <is>
          <t>1996-02-21</t>
        </is>
      </c>
      <c r="Y849" t="n">
        <v>421</v>
      </c>
      <c r="Z849" t="n">
        <v>291</v>
      </c>
      <c r="AA849" t="n">
        <v>301</v>
      </c>
      <c r="AB849" t="n">
        <v>2</v>
      </c>
      <c r="AC849" t="n">
        <v>2</v>
      </c>
      <c r="AD849" t="n">
        <v>14</v>
      </c>
      <c r="AE849" t="n">
        <v>14</v>
      </c>
      <c r="AF849" t="n">
        <v>5</v>
      </c>
      <c r="AG849" t="n">
        <v>5</v>
      </c>
      <c r="AH849" t="n">
        <v>3</v>
      </c>
      <c r="AI849" t="n">
        <v>3</v>
      </c>
      <c r="AJ849" t="n">
        <v>8</v>
      </c>
      <c r="AK849" t="n">
        <v>8</v>
      </c>
      <c r="AL849" t="n">
        <v>1</v>
      </c>
      <c r="AM849" t="n">
        <v>1</v>
      </c>
      <c r="AN849" t="n">
        <v>1</v>
      </c>
      <c r="AO849" t="n">
        <v>1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HYPERLINK("http://catalog.hathitrust.org/Record/002498918","HathiTrust Record")</f>
        <v/>
      </c>
      <c r="AS849">
        <f>HYPERLINK("https://creighton-primo.hosted.exlibrisgroup.com/primo-explore/search?tab=default_tab&amp;search_scope=EVERYTHING&amp;vid=01CRU&amp;lang=en_US&amp;offset=0&amp;query=any,contains,991001742279702656","Catalog Record")</f>
        <v/>
      </c>
      <c r="AT849">
        <f>HYPERLINK("http://www.worldcat.org/oclc/22006101","WorldCat Record")</f>
        <v/>
      </c>
      <c r="AU849" t="inlineStr">
        <is>
          <t>6603549:eng</t>
        </is>
      </c>
      <c r="AV849" t="inlineStr">
        <is>
          <t>22006101</t>
        </is>
      </c>
      <c r="AW849" t="inlineStr">
        <is>
          <t>991001742279702656</t>
        </is>
      </c>
      <c r="AX849" t="inlineStr">
        <is>
          <t>991001742279702656</t>
        </is>
      </c>
      <c r="AY849" t="inlineStr">
        <is>
          <t>2265114370002656</t>
        </is>
      </c>
      <c r="AZ849" t="inlineStr">
        <is>
          <t>BOOK</t>
        </is>
      </c>
      <c r="BB849" t="inlineStr">
        <is>
          <t>9780892784110</t>
        </is>
      </c>
      <c r="BC849" t="inlineStr">
        <is>
          <t>32285002137064</t>
        </is>
      </c>
      <c r="BD849" t="inlineStr">
        <is>
          <t>893433080</t>
        </is>
      </c>
    </row>
    <row r="850">
      <c r="A850" t="inlineStr">
        <is>
          <t>No</t>
        </is>
      </c>
      <c r="B850" t="inlineStr">
        <is>
          <t>QH442 .M64</t>
        </is>
      </c>
      <c r="C850" t="inlineStr">
        <is>
          <t>0                      QH 0442000M  64</t>
        </is>
      </c>
      <c r="D850" t="inlineStr">
        <is>
          <t>Molecular cloning of recombinant DNA : proceedings of the Miami winter symposia, January 1977 / edited by W. A. Scott, R. Werner ; sponsored by the Department of Biochemistry, University of Miami, School of Medicine, Miami, Florida.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L850" t="inlineStr">
        <is>
          <t>New York : Academic Press, 1977.</t>
        </is>
      </c>
      <c r="M850" t="inlineStr">
        <is>
          <t>1977</t>
        </is>
      </c>
      <c r="O850" t="inlineStr">
        <is>
          <t>eng</t>
        </is>
      </c>
      <c r="P850" t="inlineStr">
        <is>
          <t>nyu</t>
        </is>
      </c>
      <c r="Q850" t="inlineStr">
        <is>
          <t>Miami winter symposia ; v. 13</t>
        </is>
      </c>
      <c r="R850" t="inlineStr">
        <is>
          <t xml:space="preserve">QH </t>
        </is>
      </c>
      <c r="S850" t="n">
        <v>11</v>
      </c>
      <c r="T850" t="n">
        <v>11</v>
      </c>
      <c r="U850" t="inlineStr">
        <is>
          <t>1998-09-28</t>
        </is>
      </c>
      <c r="V850" t="inlineStr">
        <is>
          <t>1998-09-28</t>
        </is>
      </c>
      <c r="W850" t="inlineStr">
        <is>
          <t>1992-07-15</t>
        </is>
      </c>
      <c r="X850" t="inlineStr">
        <is>
          <t>1992-07-15</t>
        </is>
      </c>
      <c r="Y850" t="n">
        <v>338</v>
      </c>
      <c r="Z850" t="n">
        <v>267</v>
      </c>
      <c r="AA850" t="n">
        <v>312</v>
      </c>
      <c r="AB850" t="n">
        <v>2</v>
      </c>
      <c r="AC850" t="n">
        <v>3</v>
      </c>
      <c r="AD850" t="n">
        <v>9</v>
      </c>
      <c r="AE850" t="n">
        <v>13</v>
      </c>
      <c r="AF850" t="n">
        <v>3</v>
      </c>
      <c r="AG850" t="n">
        <v>5</v>
      </c>
      <c r="AH850" t="n">
        <v>4</v>
      </c>
      <c r="AI850" t="n">
        <v>6</v>
      </c>
      <c r="AJ850" t="n">
        <v>5</v>
      </c>
      <c r="AK850" t="n">
        <v>5</v>
      </c>
      <c r="AL850" t="n">
        <v>1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HYPERLINK("http://catalog.hathitrust.org/Record/000254172","HathiTrust Record")</f>
        <v/>
      </c>
      <c r="AS850">
        <f>HYPERLINK("https://creighton-primo.hosted.exlibrisgroup.com/primo-explore/search?tab=default_tab&amp;search_scope=EVERYTHING&amp;vid=01CRU&amp;lang=en_US&amp;offset=0&amp;query=any,contains,991004341119702656","Catalog Record")</f>
        <v/>
      </c>
      <c r="AT850">
        <f>HYPERLINK("http://www.worldcat.org/oclc/3089431","WorldCat Record")</f>
        <v/>
      </c>
      <c r="AU850" t="inlineStr">
        <is>
          <t>496537517:eng</t>
        </is>
      </c>
      <c r="AV850" t="inlineStr">
        <is>
          <t>3089431</t>
        </is>
      </c>
      <c r="AW850" t="inlineStr">
        <is>
          <t>991004341119702656</t>
        </is>
      </c>
      <c r="AX850" t="inlineStr">
        <is>
          <t>991004341119702656</t>
        </is>
      </c>
      <c r="AY850" t="inlineStr">
        <is>
          <t>2262855860002656</t>
        </is>
      </c>
      <c r="AZ850" t="inlineStr">
        <is>
          <t>BOOK</t>
        </is>
      </c>
      <c r="BB850" t="inlineStr">
        <is>
          <t>9780126342505</t>
        </is>
      </c>
      <c r="BC850" t="inlineStr">
        <is>
          <t>32285001152221</t>
        </is>
      </c>
      <c r="BD850" t="inlineStr">
        <is>
          <t>893904813</t>
        </is>
      </c>
    </row>
    <row r="851">
      <c r="A851" t="inlineStr">
        <is>
          <t>No</t>
        </is>
      </c>
      <c r="B851" t="inlineStr">
        <is>
          <t>QH442 .O42</t>
        </is>
      </c>
      <c r="C851" t="inlineStr">
        <is>
          <t>0                      QH 0442000O  42</t>
        </is>
      </c>
      <c r="D851" t="inlineStr">
        <is>
          <t>Principles of gene manipulation : an introduction to genetic engineering / R. W. Old, S. B. Primrose.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Yes</t>
        </is>
      </c>
      <c r="J851" t="inlineStr">
        <is>
          <t>0</t>
        </is>
      </c>
      <c r="K851" t="inlineStr">
        <is>
          <t>Old, R. W.</t>
        </is>
      </c>
      <c r="L851" t="inlineStr">
        <is>
          <t>Berkeley : University of California Press, 1980.</t>
        </is>
      </c>
      <c r="M851" t="inlineStr">
        <is>
          <t>1980</t>
        </is>
      </c>
      <c r="O851" t="inlineStr">
        <is>
          <t>eng</t>
        </is>
      </c>
      <c r="P851" t="inlineStr">
        <is>
          <t>cau</t>
        </is>
      </c>
      <c r="Q851" t="inlineStr">
        <is>
          <t>Studies in microbiology ; v. 2</t>
        </is>
      </c>
      <c r="R851" t="inlineStr">
        <is>
          <t xml:space="preserve">QH </t>
        </is>
      </c>
      <c r="S851" t="n">
        <v>5</v>
      </c>
      <c r="T851" t="n">
        <v>5</v>
      </c>
      <c r="U851" t="inlineStr">
        <is>
          <t>1996-10-07</t>
        </is>
      </c>
      <c r="V851" t="inlineStr">
        <is>
          <t>1996-10-07</t>
        </is>
      </c>
      <c r="W851" t="inlineStr">
        <is>
          <t>1993-04-07</t>
        </is>
      </c>
      <c r="X851" t="inlineStr">
        <is>
          <t>1993-04-07</t>
        </is>
      </c>
      <c r="Y851" t="n">
        <v>347</v>
      </c>
      <c r="Z851" t="n">
        <v>315</v>
      </c>
      <c r="AA851" t="n">
        <v>964</v>
      </c>
      <c r="AB851" t="n">
        <v>2</v>
      </c>
      <c r="AC851" t="n">
        <v>9</v>
      </c>
      <c r="AD851" t="n">
        <v>9</v>
      </c>
      <c r="AE851" t="n">
        <v>44</v>
      </c>
      <c r="AF851" t="n">
        <v>3</v>
      </c>
      <c r="AG851" t="n">
        <v>19</v>
      </c>
      <c r="AH851" t="n">
        <v>1</v>
      </c>
      <c r="AI851" t="n">
        <v>6</v>
      </c>
      <c r="AJ851" t="n">
        <v>5</v>
      </c>
      <c r="AK851" t="n">
        <v>21</v>
      </c>
      <c r="AL851" t="n">
        <v>1</v>
      </c>
      <c r="AM851" t="n">
        <v>6</v>
      </c>
      <c r="AN851" t="n">
        <v>0</v>
      </c>
      <c r="AO851" t="n">
        <v>1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HYPERLINK("http://catalog.hathitrust.org/Record/000696185","HathiTrust Record")</f>
        <v/>
      </c>
      <c r="AS851">
        <f>HYPERLINK("https://creighton-primo.hosted.exlibrisgroup.com/primo-explore/search?tab=default_tab&amp;search_scope=EVERYTHING&amp;vid=01CRU&amp;lang=en_US&amp;offset=0&amp;query=any,contains,991004878099702656","Catalog Record")</f>
        <v/>
      </c>
      <c r="AT851">
        <f>HYPERLINK("http://www.worldcat.org/oclc/5799928","WorldCat Record")</f>
        <v/>
      </c>
      <c r="AU851" t="inlineStr">
        <is>
          <t>7357654:eng</t>
        </is>
      </c>
      <c r="AV851" t="inlineStr">
        <is>
          <t>5799928</t>
        </is>
      </c>
      <c r="AW851" t="inlineStr">
        <is>
          <t>991004878099702656</t>
        </is>
      </c>
      <c r="AX851" t="inlineStr">
        <is>
          <t>991004878099702656</t>
        </is>
      </c>
      <c r="AY851" t="inlineStr">
        <is>
          <t>2269441180002656</t>
        </is>
      </c>
      <c r="AZ851" t="inlineStr">
        <is>
          <t>BOOK</t>
        </is>
      </c>
      <c r="BB851" t="inlineStr">
        <is>
          <t>9780520041431</t>
        </is>
      </c>
      <c r="BC851" t="inlineStr">
        <is>
          <t>32285001554905</t>
        </is>
      </c>
      <c r="BD851" t="inlineStr">
        <is>
          <t>893319746</t>
        </is>
      </c>
    </row>
    <row r="852">
      <c r="A852" t="inlineStr">
        <is>
          <t>No</t>
        </is>
      </c>
      <c r="B852" t="inlineStr">
        <is>
          <t>QH442 .O42 1994</t>
        </is>
      </c>
      <c r="C852" t="inlineStr">
        <is>
          <t>0                      QH 0442000O  42          1994</t>
        </is>
      </c>
      <c r="D852" t="inlineStr">
        <is>
          <t>Principles of gene manipulation : an introduction to genetic engineering / R.W. Old, S.B. Primrose.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Yes</t>
        </is>
      </c>
      <c r="J852" t="inlineStr">
        <is>
          <t>0</t>
        </is>
      </c>
      <c r="K852" t="inlineStr">
        <is>
          <t>Old, R. W.</t>
        </is>
      </c>
      <c r="L852" t="inlineStr">
        <is>
          <t>Oxford : Boston : Blackwell Scientific, 1994.</t>
        </is>
      </c>
      <c r="M852" t="inlineStr">
        <is>
          <t>1994</t>
        </is>
      </c>
      <c r="N852" t="inlineStr">
        <is>
          <t>5th ed.</t>
        </is>
      </c>
      <c r="O852" t="inlineStr">
        <is>
          <t>eng</t>
        </is>
      </c>
      <c r="P852" t="inlineStr">
        <is>
          <t>enk</t>
        </is>
      </c>
      <c r="Q852" t="inlineStr">
        <is>
          <t>Studies in microbiology</t>
        </is>
      </c>
      <c r="R852" t="inlineStr">
        <is>
          <t xml:space="preserve">QH </t>
        </is>
      </c>
      <c r="S852" t="n">
        <v>16</v>
      </c>
      <c r="T852" t="n">
        <v>16</v>
      </c>
      <c r="U852" t="inlineStr">
        <is>
          <t>1998-11-08</t>
        </is>
      </c>
      <c r="V852" t="inlineStr">
        <is>
          <t>1998-11-08</t>
        </is>
      </c>
      <c r="W852" t="inlineStr">
        <is>
          <t>1995-01-06</t>
        </is>
      </c>
      <c r="X852" t="inlineStr">
        <is>
          <t>1995-01-06</t>
        </is>
      </c>
      <c r="Y852" t="n">
        <v>412</v>
      </c>
      <c r="Z852" t="n">
        <v>260</v>
      </c>
      <c r="AA852" t="n">
        <v>964</v>
      </c>
      <c r="AB852" t="n">
        <v>2</v>
      </c>
      <c r="AC852" t="n">
        <v>9</v>
      </c>
      <c r="AD852" t="n">
        <v>18</v>
      </c>
      <c r="AE852" t="n">
        <v>44</v>
      </c>
      <c r="AF852" t="n">
        <v>4</v>
      </c>
      <c r="AG852" t="n">
        <v>19</v>
      </c>
      <c r="AH852" t="n">
        <v>4</v>
      </c>
      <c r="AI852" t="n">
        <v>6</v>
      </c>
      <c r="AJ852" t="n">
        <v>12</v>
      </c>
      <c r="AK852" t="n">
        <v>21</v>
      </c>
      <c r="AL852" t="n">
        <v>1</v>
      </c>
      <c r="AM852" t="n">
        <v>6</v>
      </c>
      <c r="AN852" t="n">
        <v>0</v>
      </c>
      <c r="AO852" t="n">
        <v>1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HYPERLINK("https://creighton-primo.hosted.exlibrisgroup.com/primo-explore/search?tab=default_tab&amp;search_scope=EVERYTHING&amp;vid=01CRU&amp;lang=en_US&amp;offset=0&amp;query=any,contains,991002298699702656","Catalog Record")</f>
        <v/>
      </c>
      <c r="AT852">
        <f>HYPERLINK("http://www.worldcat.org/oclc/29843632","WorldCat Record")</f>
        <v/>
      </c>
      <c r="AU852" t="inlineStr">
        <is>
          <t>7357654:eng</t>
        </is>
      </c>
      <c r="AV852" t="inlineStr">
        <is>
          <t>29843632</t>
        </is>
      </c>
      <c r="AW852" t="inlineStr">
        <is>
          <t>991002298699702656</t>
        </is>
      </c>
      <c r="AX852" t="inlineStr">
        <is>
          <t>991002298699702656</t>
        </is>
      </c>
      <c r="AY852" t="inlineStr">
        <is>
          <t>2264618210002656</t>
        </is>
      </c>
      <c r="AZ852" t="inlineStr">
        <is>
          <t>BOOK</t>
        </is>
      </c>
      <c r="BB852" t="inlineStr">
        <is>
          <t>9780632037124</t>
        </is>
      </c>
      <c r="BC852" t="inlineStr">
        <is>
          <t>32285001991008</t>
        </is>
      </c>
      <c r="BD852" t="inlineStr">
        <is>
          <t>893445078</t>
        </is>
      </c>
    </row>
    <row r="853">
      <c r="A853" t="inlineStr">
        <is>
          <t>No</t>
        </is>
      </c>
      <c r="B853" t="inlineStr">
        <is>
          <t>QH442 .P36 1974</t>
        </is>
      </c>
      <c r="C853" t="inlineStr">
        <is>
          <t>0                      QH 0442000P  36          1974</t>
        </is>
      </c>
      <c r="D853" t="inlineStr">
        <is>
          <t>Selected readings : genetic engineering and bioethics / edited by Robert A. Paoletti.</t>
        </is>
      </c>
      <c r="F853" t="inlineStr">
        <is>
          <t>No</t>
        </is>
      </c>
      <c r="G853" t="inlineStr">
        <is>
          <t>1</t>
        </is>
      </c>
      <c r="H853" t="inlineStr">
        <is>
          <t>Yes</t>
        </is>
      </c>
      <c r="I853" t="inlineStr">
        <is>
          <t>Yes</t>
        </is>
      </c>
      <c r="J853" t="inlineStr">
        <is>
          <t>0</t>
        </is>
      </c>
      <c r="K853" t="inlineStr">
        <is>
          <t>Paoletti, Robert A., compiler.</t>
        </is>
      </c>
      <c r="L853" t="inlineStr">
        <is>
          <t>New York : MSS Information Corp., [1974]</t>
        </is>
      </c>
      <c r="M853" t="inlineStr">
        <is>
          <t>1974</t>
        </is>
      </c>
      <c r="N853" t="inlineStr">
        <is>
          <t>2d ed.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QH </t>
        </is>
      </c>
      <c r="S853" t="n">
        <v>9</v>
      </c>
      <c r="T853" t="n">
        <v>23</v>
      </c>
      <c r="U853" t="inlineStr">
        <is>
          <t>2001-04-22</t>
        </is>
      </c>
      <c r="V853" t="inlineStr">
        <is>
          <t>2001-04-22</t>
        </is>
      </c>
      <c r="W853" t="inlineStr">
        <is>
          <t>1994-10-28</t>
        </is>
      </c>
      <c r="X853" t="inlineStr">
        <is>
          <t>1994-10-28</t>
        </is>
      </c>
      <c r="Y853" t="n">
        <v>116</v>
      </c>
      <c r="Z853" t="n">
        <v>104</v>
      </c>
      <c r="AA853" t="n">
        <v>199</v>
      </c>
      <c r="AB853" t="n">
        <v>3</v>
      </c>
      <c r="AC853" t="n">
        <v>4</v>
      </c>
      <c r="AD853" t="n">
        <v>8</v>
      </c>
      <c r="AE853" t="n">
        <v>10</v>
      </c>
      <c r="AF853" t="n">
        <v>3</v>
      </c>
      <c r="AG853" t="n">
        <v>3</v>
      </c>
      <c r="AH853" t="n">
        <v>2</v>
      </c>
      <c r="AI853" t="n">
        <v>2</v>
      </c>
      <c r="AJ853" t="n">
        <v>6</v>
      </c>
      <c r="AK853" t="n">
        <v>7</v>
      </c>
      <c r="AL853" t="n">
        <v>0</v>
      </c>
      <c r="AM853" t="n">
        <v>1</v>
      </c>
      <c r="AN853" t="n">
        <v>0</v>
      </c>
      <c r="AO853" t="n">
        <v>0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HYPERLINK("http://catalog.hathitrust.org/Record/012282827","HathiTrust Record")</f>
        <v/>
      </c>
      <c r="AS853">
        <f>HYPERLINK("https://creighton-primo.hosted.exlibrisgroup.com/primo-explore/search?tab=default_tab&amp;search_scope=EVERYTHING&amp;vid=01CRU&amp;lang=en_US&amp;offset=0&amp;query=any,contains,991001770699702656","Catalog Record")</f>
        <v/>
      </c>
      <c r="AT853">
        <f>HYPERLINK("http://www.worldcat.org/oclc/886440","WorldCat Record")</f>
        <v/>
      </c>
      <c r="AU853" t="inlineStr">
        <is>
          <t>1483839:eng</t>
        </is>
      </c>
      <c r="AV853" t="inlineStr">
        <is>
          <t>886440</t>
        </is>
      </c>
      <c r="AW853" t="inlineStr">
        <is>
          <t>991001770699702656</t>
        </is>
      </c>
      <c r="AX853" t="inlineStr">
        <is>
          <t>991001770699702656</t>
        </is>
      </c>
      <c r="AY853" t="inlineStr">
        <is>
          <t>2257884480002656</t>
        </is>
      </c>
      <c r="AZ853" t="inlineStr">
        <is>
          <t>BOOK</t>
        </is>
      </c>
      <c r="BB853" t="inlineStr">
        <is>
          <t>9780842251723</t>
        </is>
      </c>
      <c r="BC853" t="inlineStr">
        <is>
          <t>32285001963478</t>
        </is>
      </c>
      <c r="BD853" t="inlineStr">
        <is>
          <t>893334590</t>
        </is>
      </c>
    </row>
    <row r="854">
      <c r="A854" t="inlineStr">
        <is>
          <t>No</t>
        </is>
      </c>
      <c r="B854" t="inlineStr">
        <is>
          <t>QH442 .R374 1984</t>
        </is>
      </c>
      <c r="C854" t="inlineStr">
        <is>
          <t>0                      QH 0442000R  374         1984</t>
        </is>
      </c>
      <c r="D854" t="inlineStr">
        <is>
          <t>Recombinant DNA and cell proliferation / edited by Gary S. Stein and Janet L. Stein.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L854" t="inlineStr">
        <is>
          <t>New York : Academic Press, 1984.</t>
        </is>
      </c>
      <c r="M854" t="inlineStr">
        <is>
          <t>1984</t>
        </is>
      </c>
      <c r="O854" t="inlineStr">
        <is>
          <t>eng</t>
        </is>
      </c>
      <c r="P854" t="inlineStr">
        <is>
          <t>nyu</t>
        </is>
      </c>
      <c r="Q854" t="inlineStr">
        <is>
          <t>Cell biology</t>
        </is>
      </c>
      <c r="R854" t="inlineStr">
        <is>
          <t xml:space="preserve">QH </t>
        </is>
      </c>
      <c r="S854" t="n">
        <v>5</v>
      </c>
      <c r="T854" t="n">
        <v>5</v>
      </c>
      <c r="U854" t="inlineStr">
        <is>
          <t>1996-11-04</t>
        </is>
      </c>
      <c r="V854" t="inlineStr">
        <is>
          <t>1996-11-04</t>
        </is>
      </c>
      <c r="W854" t="inlineStr">
        <is>
          <t>1993-04-07</t>
        </is>
      </c>
      <c r="X854" t="inlineStr">
        <is>
          <t>1993-04-07</t>
        </is>
      </c>
      <c r="Y854" t="n">
        <v>345</v>
      </c>
      <c r="Z854" t="n">
        <v>273</v>
      </c>
      <c r="AA854" t="n">
        <v>316</v>
      </c>
      <c r="AB854" t="n">
        <v>1</v>
      </c>
      <c r="AC854" t="n">
        <v>2</v>
      </c>
      <c r="AD854" t="n">
        <v>8</v>
      </c>
      <c r="AE854" t="n">
        <v>11</v>
      </c>
      <c r="AF854" t="n">
        <v>2</v>
      </c>
      <c r="AG854" t="n">
        <v>4</v>
      </c>
      <c r="AH854" t="n">
        <v>4</v>
      </c>
      <c r="AI854" t="n">
        <v>5</v>
      </c>
      <c r="AJ854" t="n">
        <v>5</v>
      </c>
      <c r="AK854" t="n">
        <v>5</v>
      </c>
      <c r="AL854" t="n">
        <v>0</v>
      </c>
      <c r="AM854" t="n">
        <v>1</v>
      </c>
      <c r="AN854" t="n">
        <v>0</v>
      </c>
      <c r="AO854" t="n">
        <v>0</v>
      </c>
      <c r="AP854" t="inlineStr">
        <is>
          <t>No</t>
        </is>
      </c>
      <c r="AQ854" t="inlineStr">
        <is>
          <t>Yes</t>
        </is>
      </c>
      <c r="AR854">
        <f>HYPERLINK("http://catalog.hathitrust.org/Record/000338777","HathiTrust Record")</f>
        <v/>
      </c>
      <c r="AS854">
        <f>HYPERLINK("https://creighton-primo.hosted.exlibrisgroup.com/primo-explore/search?tab=default_tab&amp;search_scope=EVERYTHING&amp;vid=01CRU&amp;lang=en_US&amp;offset=0&amp;query=any,contains,991000297199702656","Catalog Record")</f>
        <v/>
      </c>
      <c r="AT854">
        <f>HYPERLINK("http://www.worldcat.org/oclc/10018102","WorldCat Record")</f>
        <v/>
      </c>
      <c r="AU854" t="inlineStr">
        <is>
          <t>309176659:eng</t>
        </is>
      </c>
      <c r="AV854" t="inlineStr">
        <is>
          <t>10018102</t>
        </is>
      </c>
      <c r="AW854" t="inlineStr">
        <is>
          <t>991000297199702656</t>
        </is>
      </c>
      <c r="AX854" t="inlineStr">
        <is>
          <t>991000297199702656</t>
        </is>
      </c>
      <c r="AY854" t="inlineStr">
        <is>
          <t>2269331660002656</t>
        </is>
      </c>
      <c r="AZ854" t="inlineStr">
        <is>
          <t>BOOK</t>
        </is>
      </c>
      <c r="BB854" t="inlineStr">
        <is>
          <t>9780126650808</t>
        </is>
      </c>
      <c r="BC854" t="inlineStr">
        <is>
          <t>32285001554913</t>
        </is>
      </c>
      <c r="BD854" t="inlineStr">
        <is>
          <t>893333364</t>
        </is>
      </c>
    </row>
    <row r="855">
      <c r="A855" t="inlineStr">
        <is>
          <t>No</t>
        </is>
      </c>
      <c r="B855" t="inlineStr">
        <is>
          <t>QH442 .R38</t>
        </is>
      </c>
      <c r="C855" t="inlineStr">
        <is>
          <t>0                      QH 0442000R  38</t>
        </is>
      </c>
      <c r="D855" t="inlineStr">
        <is>
          <t>The Recombinant DNA debate / David A. Jackson, editor, Stephen P. Stich, editor.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L855" t="inlineStr">
        <is>
          <t>Englewood Cliffs, N.J. : Prentice-Hall, c1979.</t>
        </is>
      </c>
      <c r="M855" t="inlineStr">
        <is>
          <t>1979</t>
        </is>
      </c>
      <c r="O855" t="inlineStr">
        <is>
          <t>eng</t>
        </is>
      </c>
      <c r="P855" t="inlineStr">
        <is>
          <t>nju</t>
        </is>
      </c>
      <c r="R855" t="inlineStr">
        <is>
          <t xml:space="preserve">QH </t>
        </is>
      </c>
      <c r="S855" t="n">
        <v>11</v>
      </c>
      <c r="T855" t="n">
        <v>11</v>
      </c>
      <c r="U855" t="inlineStr">
        <is>
          <t>1998-04-04</t>
        </is>
      </c>
      <c r="V855" t="inlineStr">
        <is>
          <t>1998-04-04</t>
        </is>
      </c>
      <c r="W855" t="inlineStr">
        <is>
          <t>1993-04-07</t>
        </is>
      </c>
      <c r="X855" t="inlineStr">
        <is>
          <t>1993-04-07</t>
        </is>
      </c>
      <c r="Y855" t="n">
        <v>756</v>
      </c>
      <c r="Z855" t="n">
        <v>633</v>
      </c>
      <c r="AA855" t="n">
        <v>635</v>
      </c>
      <c r="AB855" t="n">
        <v>3</v>
      </c>
      <c r="AC855" t="n">
        <v>3</v>
      </c>
      <c r="AD855" t="n">
        <v>19</v>
      </c>
      <c r="AE855" t="n">
        <v>19</v>
      </c>
      <c r="AF855" t="n">
        <v>9</v>
      </c>
      <c r="AG855" t="n">
        <v>9</v>
      </c>
      <c r="AH855" t="n">
        <v>5</v>
      </c>
      <c r="AI855" t="n">
        <v>5</v>
      </c>
      <c r="AJ855" t="n">
        <v>10</v>
      </c>
      <c r="AK855" t="n">
        <v>10</v>
      </c>
      <c r="AL855" t="n">
        <v>2</v>
      </c>
      <c r="AM855" t="n">
        <v>2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HYPERLINK("http://catalog.hathitrust.org/Record/000019149","HathiTrust Record")</f>
        <v/>
      </c>
      <c r="AS855">
        <f>HYPERLINK("https://creighton-primo.hosted.exlibrisgroup.com/primo-explore/search?tab=default_tab&amp;search_scope=EVERYTHING&amp;vid=01CRU&amp;lang=en_US&amp;offset=0&amp;query=any,contains,991004649889702656","Catalog Record")</f>
        <v/>
      </c>
      <c r="AT855">
        <f>HYPERLINK("http://www.worldcat.org/oclc/4493533","WorldCat Record")</f>
        <v/>
      </c>
      <c r="AU855" t="inlineStr">
        <is>
          <t>54263895:eng</t>
        </is>
      </c>
      <c r="AV855" t="inlineStr">
        <is>
          <t>4493533</t>
        </is>
      </c>
      <c r="AW855" t="inlineStr">
        <is>
          <t>991004649889702656</t>
        </is>
      </c>
      <c r="AX855" t="inlineStr">
        <is>
          <t>991004649889702656</t>
        </is>
      </c>
      <c r="AY855" t="inlineStr">
        <is>
          <t>2263050370002656</t>
        </is>
      </c>
      <c r="AZ855" t="inlineStr">
        <is>
          <t>BOOK</t>
        </is>
      </c>
      <c r="BB855" t="inlineStr">
        <is>
          <t>9780137674428</t>
        </is>
      </c>
      <c r="BC855" t="inlineStr">
        <is>
          <t>32285001554921</t>
        </is>
      </c>
      <c r="BD855" t="inlineStr">
        <is>
          <t>893519898</t>
        </is>
      </c>
    </row>
    <row r="856">
      <c r="A856" t="inlineStr">
        <is>
          <t>No</t>
        </is>
      </c>
      <c r="B856" t="inlineStr">
        <is>
          <t>QH442 .R383 1984</t>
        </is>
      </c>
      <c r="C856" t="inlineStr">
        <is>
          <t>0                      QH 0442000R  383         1984</t>
        </is>
      </c>
      <c r="D856" t="inlineStr">
        <is>
          <t>Recombinant DNA products : insulin, interferon, and growth hormone / editor, Arthur P. Bollon.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L856" t="inlineStr">
        <is>
          <t>Boca Raton, Fla. : CRC Press, c1984.</t>
        </is>
      </c>
      <c r="M856" t="inlineStr">
        <is>
          <t>1984</t>
        </is>
      </c>
      <c r="O856" t="inlineStr">
        <is>
          <t>eng</t>
        </is>
      </c>
      <c r="P856" t="inlineStr">
        <is>
          <t>flu</t>
        </is>
      </c>
      <c r="R856" t="inlineStr">
        <is>
          <t xml:space="preserve">QH </t>
        </is>
      </c>
      <c r="S856" t="n">
        <v>6</v>
      </c>
      <c r="T856" t="n">
        <v>6</v>
      </c>
      <c r="U856" t="inlineStr">
        <is>
          <t>2000-04-02</t>
        </is>
      </c>
      <c r="V856" t="inlineStr">
        <is>
          <t>2000-04-02</t>
        </is>
      </c>
      <c r="W856" t="inlineStr">
        <is>
          <t>1993-04-07</t>
        </is>
      </c>
      <c r="X856" t="inlineStr">
        <is>
          <t>1993-04-07</t>
        </is>
      </c>
      <c r="Y856" t="n">
        <v>316</v>
      </c>
      <c r="Z856" t="n">
        <v>240</v>
      </c>
      <c r="AA856" t="n">
        <v>279</v>
      </c>
      <c r="AB856" t="n">
        <v>3</v>
      </c>
      <c r="AC856" t="n">
        <v>3</v>
      </c>
      <c r="AD856" t="n">
        <v>6</v>
      </c>
      <c r="AE856" t="n">
        <v>6</v>
      </c>
      <c r="AF856" t="n">
        <v>3</v>
      </c>
      <c r="AG856" t="n">
        <v>3</v>
      </c>
      <c r="AH856" t="n">
        <v>1</v>
      </c>
      <c r="AI856" t="n">
        <v>1</v>
      </c>
      <c r="AJ856" t="n">
        <v>2</v>
      </c>
      <c r="AK856" t="n">
        <v>2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HYPERLINK("http://catalog.hathitrust.org/Record/000332299","HathiTrust Record")</f>
        <v/>
      </c>
      <c r="AS856">
        <f>HYPERLINK("https://creighton-primo.hosted.exlibrisgroup.com/primo-explore/search?tab=default_tab&amp;search_scope=EVERYTHING&amp;vid=01CRU&amp;lang=en_US&amp;offset=0&amp;query=any,contains,991000414549702656","Catalog Record")</f>
        <v/>
      </c>
      <c r="AT856">
        <f>HYPERLINK("http://www.worldcat.org/oclc/10723786","WorldCat Record")</f>
        <v/>
      </c>
      <c r="AU856" t="inlineStr">
        <is>
          <t>3352992:eng</t>
        </is>
      </c>
      <c r="AV856" t="inlineStr">
        <is>
          <t>10723786</t>
        </is>
      </c>
      <c r="AW856" t="inlineStr">
        <is>
          <t>991000414549702656</t>
        </is>
      </c>
      <c r="AX856" t="inlineStr">
        <is>
          <t>991000414549702656</t>
        </is>
      </c>
      <c r="AY856" t="inlineStr">
        <is>
          <t>2255645950002656</t>
        </is>
      </c>
      <c r="AZ856" t="inlineStr">
        <is>
          <t>BOOK</t>
        </is>
      </c>
      <c r="BB856" t="inlineStr">
        <is>
          <t>9780849355424</t>
        </is>
      </c>
      <c r="BC856" t="inlineStr">
        <is>
          <t>32285001554939</t>
        </is>
      </c>
      <c r="BD856" t="inlineStr">
        <is>
          <t>893496204</t>
        </is>
      </c>
    </row>
    <row r="857">
      <c r="A857" t="inlineStr">
        <is>
          <t>No</t>
        </is>
      </c>
      <c r="B857" t="inlineStr">
        <is>
          <t>QH442 .R4</t>
        </is>
      </c>
      <c r="C857" t="inlineStr">
        <is>
          <t>0                      QH 0442000R  4</t>
        </is>
      </c>
      <c r="D857" t="inlineStr">
        <is>
          <t>Recombinant DNA : readings from Scientific American / with introductions by David Freifelder.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San Francisco : W. H. Freeman, c1978.</t>
        </is>
      </c>
      <c r="M857" t="inlineStr">
        <is>
          <t>1978</t>
        </is>
      </c>
      <c r="O857" t="inlineStr">
        <is>
          <t>eng</t>
        </is>
      </c>
      <c r="P857" t="inlineStr">
        <is>
          <t>cau</t>
        </is>
      </c>
      <c r="R857" t="inlineStr">
        <is>
          <t xml:space="preserve">QH </t>
        </is>
      </c>
      <c r="S857" t="n">
        <v>4</v>
      </c>
      <c r="T857" t="n">
        <v>4</v>
      </c>
      <c r="U857" t="inlineStr">
        <is>
          <t>1994-09-10</t>
        </is>
      </c>
      <c r="V857" t="inlineStr">
        <is>
          <t>1994-09-10</t>
        </is>
      </c>
      <c r="W857" t="inlineStr">
        <is>
          <t>1994-04-28</t>
        </is>
      </c>
      <c r="X857" t="inlineStr">
        <is>
          <t>1994-04-28</t>
        </is>
      </c>
      <c r="Y857" t="n">
        <v>599</v>
      </c>
      <c r="Z857" t="n">
        <v>471</v>
      </c>
      <c r="AA857" t="n">
        <v>477</v>
      </c>
      <c r="AB857" t="n">
        <v>2</v>
      </c>
      <c r="AC857" t="n">
        <v>2</v>
      </c>
      <c r="AD857" t="n">
        <v>13</v>
      </c>
      <c r="AE857" t="n">
        <v>13</v>
      </c>
      <c r="AF857" t="n">
        <v>7</v>
      </c>
      <c r="AG857" t="n">
        <v>7</v>
      </c>
      <c r="AH857" t="n">
        <v>2</v>
      </c>
      <c r="AI857" t="n">
        <v>2</v>
      </c>
      <c r="AJ857" t="n">
        <v>9</v>
      </c>
      <c r="AK857" t="n">
        <v>9</v>
      </c>
      <c r="AL857" t="n">
        <v>1</v>
      </c>
      <c r="AM857" t="n">
        <v>1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HYPERLINK("https://creighton-primo.hosted.exlibrisgroup.com/primo-explore/search?tab=default_tab&amp;search_scope=EVERYTHING&amp;vid=01CRU&amp;lang=en_US&amp;offset=0&amp;query=any,contains,991004473919702656","Catalog Record")</f>
        <v/>
      </c>
      <c r="AT857">
        <f>HYPERLINK("http://www.worldcat.org/oclc/3608469","WorldCat Record")</f>
        <v/>
      </c>
      <c r="AU857" t="inlineStr">
        <is>
          <t>282735460:eng</t>
        </is>
      </c>
      <c r="AV857" t="inlineStr">
        <is>
          <t>3608469</t>
        </is>
      </c>
      <c r="AW857" t="inlineStr">
        <is>
          <t>991004473919702656</t>
        </is>
      </c>
      <c r="AX857" t="inlineStr">
        <is>
          <t>991004473919702656</t>
        </is>
      </c>
      <c r="AY857" t="inlineStr">
        <is>
          <t>2271628210002656</t>
        </is>
      </c>
      <c r="AZ857" t="inlineStr">
        <is>
          <t>BOOK</t>
        </is>
      </c>
      <c r="BB857" t="inlineStr">
        <is>
          <t>9780716700937</t>
        </is>
      </c>
      <c r="BC857" t="inlineStr">
        <is>
          <t>32285001894574</t>
        </is>
      </c>
      <c r="BD857" t="inlineStr">
        <is>
          <t>893618707</t>
        </is>
      </c>
    </row>
    <row r="858">
      <c r="A858" t="inlineStr">
        <is>
          <t>No</t>
        </is>
      </c>
      <c r="B858" t="inlineStr">
        <is>
          <t>QH442 .R414 1983</t>
        </is>
      </c>
      <c r="C858" t="inlineStr">
        <is>
          <t>0                      QH 0442000R  414         1983</t>
        </is>
      </c>
      <c r="D858" t="inlineStr">
        <is>
          <t>Recombinant DNA research and the human prospect : a sesquicentennial symposium of Wesleyan University, Middletown, Connecticut, March 4-6, 1982 / by Earl D. Hanson, editor.</t>
        </is>
      </c>
      <c r="F858" t="inlineStr">
        <is>
          <t>No</t>
        </is>
      </c>
      <c r="G858" t="inlineStr">
        <is>
          <t>1</t>
        </is>
      </c>
      <c r="H858" t="inlineStr">
        <is>
          <t>Yes</t>
        </is>
      </c>
      <c r="I858" t="inlineStr">
        <is>
          <t>Yes</t>
        </is>
      </c>
      <c r="J858" t="inlineStr">
        <is>
          <t>0</t>
        </is>
      </c>
      <c r="L858" t="inlineStr">
        <is>
          <t>Washington, D.C. : American Chemical Society, 1983.</t>
        </is>
      </c>
      <c r="M858" t="inlineStr">
        <is>
          <t>1983</t>
        </is>
      </c>
      <c r="O858" t="inlineStr">
        <is>
          <t>eng</t>
        </is>
      </c>
      <c r="P858" t="inlineStr">
        <is>
          <t>dcu</t>
        </is>
      </c>
      <c r="R858" t="inlineStr">
        <is>
          <t xml:space="preserve">QH </t>
        </is>
      </c>
      <c r="S858" t="n">
        <v>4</v>
      </c>
      <c r="T858" t="n">
        <v>8</v>
      </c>
      <c r="U858" t="inlineStr">
        <is>
          <t>2001-03-01</t>
        </is>
      </c>
      <c r="V858" t="inlineStr">
        <is>
          <t>2001-03-01</t>
        </is>
      </c>
      <c r="W858" t="inlineStr">
        <is>
          <t>1992-12-22</t>
        </is>
      </c>
      <c r="X858" t="inlineStr">
        <is>
          <t>1992-12-22</t>
        </is>
      </c>
      <c r="Y858" t="n">
        <v>508</v>
      </c>
      <c r="Z858" t="n">
        <v>455</v>
      </c>
      <c r="AA858" t="n">
        <v>538</v>
      </c>
      <c r="AB858" t="n">
        <v>2</v>
      </c>
      <c r="AC858" t="n">
        <v>5</v>
      </c>
      <c r="AD858" t="n">
        <v>19</v>
      </c>
      <c r="AE858" t="n">
        <v>25</v>
      </c>
      <c r="AF858" t="n">
        <v>7</v>
      </c>
      <c r="AG858" t="n">
        <v>10</v>
      </c>
      <c r="AH858" t="n">
        <v>3</v>
      </c>
      <c r="AI858" t="n">
        <v>3</v>
      </c>
      <c r="AJ858" t="n">
        <v>13</v>
      </c>
      <c r="AK858" t="n">
        <v>16</v>
      </c>
      <c r="AL858" t="n">
        <v>1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HYPERLINK("http://catalog.hathitrust.org/Record/000315130","HathiTrust Record")</f>
        <v/>
      </c>
      <c r="AS858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8">
        <f>HYPERLINK("http://www.worldcat.org/oclc/8929921","WorldCat Record")</f>
        <v/>
      </c>
      <c r="AU858" t="inlineStr">
        <is>
          <t>428007826:eng</t>
        </is>
      </c>
      <c r="AV858" t="inlineStr">
        <is>
          <t>8929921</t>
        </is>
      </c>
      <c r="AW858" t="inlineStr">
        <is>
          <t>991000097129702656</t>
        </is>
      </c>
      <c r="AX858" t="inlineStr">
        <is>
          <t>991000097129702656</t>
        </is>
      </c>
      <c r="AY858" t="inlineStr">
        <is>
          <t>2265948550002656</t>
        </is>
      </c>
      <c r="AZ858" t="inlineStr">
        <is>
          <t>BOOK</t>
        </is>
      </c>
      <c r="BB858" t="inlineStr">
        <is>
          <t>9780841207547</t>
        </is>
      </c>
      <c r="BC858" t="inlineStr">
        <is>
          <t>32285001471258</t>
        </is>
      </c>
      <c r="BD858" t="inlineStr">
        <is>
          <t>893783961</t>
        </is>
      </c>
    </row>
    <row r="859">
      <c r="A859" t="inlineStr">
        <is>
          <t>No</t>
        </is>
      </c>
      <c r="B859" t="inlineStr">
        <is>
          <t>QH442 .R414 1983</t>
        </is>
      </c>
      <c r="C859" t="inlineStr">
        <is>
          <t>0                      QH 0442000R  414         1983</t>
        </is>
      </c>
      <c r="D859" t="inlineStr">
        <is>
          <t>Recombinant DNA research and the human prospect : a sesquicentennial symposium of Wesleyan University, Middletown, Connecticut, March 4-6, 1982 / by Earl D. Hanson, editor.</t>
        </is>
      </c>
      <c r="F859" t="inlineStr">
        <is>
          <t>No</t>
        </is>
      </c>
      <c r="G859" t="inlineStr">
        <is>
          <t>1</t>
        </is>
      </c>
      <c r="H859" t="inlineStr">
        <is>
          <t>Yes</t>
        </is>
      </c>
      <c r="I859" t="inlineStr">
        <is>
          <t>Yes</t>
        </is>
      </c>
      <c r="J859" t="inlineStr">
        <is>
          <t>0</t>
        </is>
      </c>
      <c r="L859" t="inlineStr">
        <is>
          <t>Washington, D.C. : American Chemical Society, 1983.</t>
        </is>
      </c>
      <c r="M859" t="inlineStr">
        <is>
          <t>1983</t>
        </is>
      </c>
      <c r="O859" t="inlineStr">
        <is>
          <t>eng</t>
        </is>
      </c>
      <c r="P859" t="inlineStr">
        <is>
          <t>dcu</t>
        </is>
      </c>
      <c r="R859" t="inlineStr">
        <is>
          <t xml:space="preserve">QH </t>
        </is>
      </c>
      <c r="S859" t="n">
        <v>4</v>
      </c>
      <c r="T859" t="n">
        <v>8</v>
      </c>
      <c r="U859" t="inlineStr">
        <is>
          <t>1994-09-10</t>
        </is>
      </c>
      <c r="V859" t="inlineStr">
        <is>
          <t>2001-03-01</t>
        </is>
      </c>
      <c r="W859" t="inlineStr">
        <is>
          <t>1992-05-06</t>
        </is>
      </c>
      <c r="X859" t="inlineStr">
        <is>
          <t>1992-12-22</t>
        </is>
      </c>
      <c r="Y859" t="n">
        <v>508</v>
      </c>
      <c r="Z859" t="n">
        <v>455</v>
      </c>
      <c r="AA859" t="n">
        <v>538</v>
      </c>
      <c r="AB859" t="n">
        <v>2</v>
      </c>
      <c r="AC859" t="n">
        <v>5</v>
      </c>
      <c r="AD859" t="n">
        <v>19</v>
      </c>
      <c r="AE859" t="n">
        <v>25</v>
      </c>
      <c r="AF859" t="n">
        <v>7</v>
      </c>
      <c r="AG859" t="n">
        <v>10</v>
      </c>
      <c r="AH859" t="n">
        <v>3</v>
      </c>
      <c r="AI859" t="n">
        <v>3</v>
      </c>
      <c r="AJ859" t="n">
        <v>13</v>
      </c>
      <c r="AK859" t="n">
        <v>16</v>
      </c>
      <c r="AL859" t="n">
        <v>1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HYPERLINK("http://catalog.hathitrust.org/Record/000315130","HathiTrust Record")</f>
        <v/>
      </c>
      <c r="AS859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9">
        <f>HYPERLINK("http://www.worldcat.org/oclc/8929921","WorldCat Record")</f>
        <v/>
      </c>
      <c r="AU859" t="inlineStr">
        <is>
          <t>428007826:eng</t>
        </is>
      </c>
      <c r="AV859" t="inlineStr">
        <is>
          <t>8929921</t>
        </is>
      </c>
      <c r="AW859" t="inlineStr">
        <is>
          <t>991000097129702656</t>
        </is>
      </c>
      <c r="AX859" t="inlineStr">
        <is>
          <t>991000097129702656</t>
        </is>
      </c>
      <c r="AY859" t="inlineStr">
        <is>
          <t>2265948550002656</t>
        </is>
      </c>
      <c r="AZ859" t="inlineStr">
        <is>
          <t>BOOK</t>
        </is>
      </c>
      <c r="BB859" t="inlineStr">
        <is>
          <t>9780841207547</t>
        </is>
      </c>
      <c r="BC859" t="inlineStr">
        <is>
          <t>32285001121093</t>
        </is>
      </c>
      <c r="BD859" t="inlineStr">
        <is>
          <t>893771378</t>
        </is>
      </c>
    </row>
    <row r="860">
      <c r="A860" t="inlineStr">
        <is>
          <t>No</t>
        </is>
      </c>
      <c r="B860" t="inlineStr">
        <is>
          <t>QH442 .R42</t>
        </is>
      </c>
      <c r="C860" t="inlineStr">
        <is>
          <t>0                      QH 0442000R  42</t>
        </is>
      </c>
      <c r="D860" t="inlineStr">
        <is>
          <t>Recombinant DNA : science, ethics, and politics / edited by John Richards.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New York : Academic Press, 1978.</t>
        </is>
      </c>
      <c r="M860" t="inlineStr">
        <is>
          <t>1978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QH </t>
        </is>
      </c>
      <c r="S860" t="n">
        <v>5</v>
      </c>
      <c r="T860" t="n">
        <v>5</v>
      </c>
      <c r="U860" t="inlineStr">
        <is>
          <t>1996-09-28</t>
        </is>
      </c>
      <c r="V860" t="inlineStr">
        <is>
          <t>1996-09-28</t>
        </is>
      </c>
      <c r="W860" t="inlineStr">
        <is>
          <t>1992-05-06</t>
        </is>
      </c>
      <c r="X860" t="inlineStr">
        <is>
          <t>1992-05-06</t>
        </is>
      </c>
      <c r="Y860" t="n">
        <v>503</v>
      </c>
      <c r="Z860" t="n">
        <v>383</v>
      </c>
      <c r="AA860" t="n">
        <v>426</v>
      </c>
      <c r="AB860" t="n">
        <v>3</v>
      </c>
      <c r="AC860" t="n">
        <v>3</v>
      </c>
      <c r="AD860" t="n">
        <v>18</v>
      </c>
      <c r="AE860" t="n">
        <v>21</v>
      </c>
      <c r="AF860" t="n">
        <v>6</v>
      </c>
      <c r="AG860" t="n">
        <v>8</v>
      </c>
      <c r="AH860" t="n">
        <v>4</v>
      </c>
      <c r="AI860" t="n">
        <v>6</v>
      </c>
      <c r="AJ860" t="n">
        <v>9</v>
      </c>
      <c r="AK860" t="n">
        <v>9</v>
      </c>
      <c r="AL860" t="n">
        <v>2</v>
      </c>
      <c r="AM860" t="n">
        <v>2</v>
      </c>
      <c r="AN860" t="n">
        <v>1</v>
      </c>
      <c r="AO860" t="n">
        <v>1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HYPERLINK("http://catalog.hathitrust.org/Record/000027177","HathiTrust Record")</f>
        <v/>
      </c>
      <c r="AS860">
        <f>HYPERLINK("https://creighton-primo.hosted.exlibrisgroup.com/primo-explore/search?tab=default_tab&amp;search_scope=EVERYTHING&amp;vid=01CRU&amp;lang=en_US&amp;offset=0&amp;query=any,contains,991004663309702656","Catalog Record")</f>
        <v/>
      </c>
      <c r="AT860">
        <f>HYPERLINK("http://www.worldcat.org/oclc/4498585","WorldCat Record")</f>
        <v/>
      </c>
      <c r="AU860" t="inlineStr">
        <is>
          <t>346793454:eng</t>
        </is>
      </c>
      <c r="AV860" t="inlineStr">
        <is>
          <t>4498585</t>
        </is>
      </c>
      <c r="AW860" t="inlineStr">
        <is>
          <t>991004663309702656</t>
        </is>
      </c>
      <c r="AX860" t="inlineStr">
        <is>
          <t>991004663309702656</t>
        </is>
      </c>
      <c r="AY860" t="inlineStr">
        <is>
          <t>2262893920002656</t>
        </is>
      </c>
      <c r="AZ860" t="inlineStr">
        <is>
          <t>BOOK</t>
        </is>
      </c>
      <c r="BB860" t="inlineStr">
        <is>
          <t>9780125874809</t>
        </is>
      </c>
      <c r="BC860" t="inlineStr">
        <is>
          <t>32285001121101</t>
        </is>
      </c>
      <c r="BD860" t="inlineStr">
        <is>
          <t>893712880</t>
        </is>
      </c>
    </row>
    <row r="861">
      <c r="A861" t="inlineStr">
        <is>
          <t>No</t>
        </is>
      </c>
      <c r="B861" t="inlineStr">
        <is>
          <t>QH442 .R53 1983</t>
        </is>
      </c>
      <c r="C861" t="inlineStr">
        <is>
          <t>0                      QH 0442000R  53          1983</t>
        </is>
      </c>
      <c r="D861" t="inlineStr">
        <is>
          <t>Algeny / Jeremy Rifkin ; in collaboration with Nicanor Perlas.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Yes</t>
        </is>
      </c>
      <c r="J861" t="inlineStr">
        <is>
          <t>0</t>
        </is>
      </c>
      <c r="K861" t="inlineStr">
        <is>
          <t>Rifkin, Jeremy.</t>
        </is>
      </c>
      <c r="L861" t="inlineStr">
        <is>
          <t>New York : Viking, 1983.</t>
        </is>
      </c>
      <c r="M861" t="inlineStr">
        <is>
          <t>1983</t>
        </is>
      </c>
      <c r="O861" t="inlineStr">
        <is>
          <t>eng</t>
        </is>
      </c>
      <c r="P861" t="inlineStr">
        <is>
          <t>nyu</t>
        </is>
      </c>
      <c r="R861" t="inlineStr">
        <is>
          <t xml:space="preserve">QH </t>
        </is>
      </c>
      <c r="S861" t="n">
        <v>9</v>
      </c>
      <c r="T861" t="n">
        <v>9</v>
      </c>
      <c r="U861" t="inlineStr">
        <is>
          <t>1998-04-04</t>
        </is>
      </c>
      <c r="V861" t="inlineStr">
        <is>
          <t>1998-04-04</t>
        </is>
      </c>
      <c r="W861" t="inlineStr">
        <is>
          <t>1992-04-03</t>
        </is>
      </c>
      <c r="X861" t="inlineStr">
        <is>
          <t>1992-04-03</t>
        </is>
      </c>
      <c r="Y861" t="n">
        <v>942</v>
      </c>
      <c r="Z861" t="n">
        <v>883</v>
      </c>
      <c r="AA861" t="n">
        <v>1103</v>
      </c>
      <c r="AB861" t="n">
        <v>5</v>
      </c>
      <c r="AC861" t="n">
        <v>7</v>
      </c>
      <c r="AD861" t="n">
        <v>25</v>
      </c>
      <c r="AE861" t="n">
        <v>31</v>
      </c>
      <c r="AF861" t="n">
        <v>10</v>
      </c>
      <c r="AG861" t="n">
        <v>12</v>
      </c>
      <c r="AH861" t="n">
        <v>6</v>
      </c>
      <c r="AI861" t="n">
        <v>7</v>
      </c>
      <c r="AJ861" t="n">
        <v>12</v>
      </c>
      <c r="AK861" t="n">
        <v>15</v>
      </c>
      <c r="AL861" t="n">
        <v>2</v>
      </c>
      <c r="AM861" t="n">
        <v>3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HYPERLINK("http://catalog.hathitrust.org/Record/000234082","HathiTrust Record")</f>
        <v/>
      </c>
      <c r="AS861">
        <f>HYPERLINK("https://creighton-primo.hosted.exlibrisgroup.com/primo-explore/search?tab=default_tab&amp;search_scope=EVERYTHING&amp;vid=01CRU&amp;lang=en_US&amp;offset=0&amp;query=any,contains,991000145369702656","Catalog Record")</f>
        <v/>
      </c>
      <c r="AT861">
        <f>HYPERLINK("http://www.worldcat.org/oclc/9194704","WorldCat Record")</f>
        <v/>
      </c>
      <c r="AU861" t="inlineStr">
        <is>
          <t>10252588236:eng</t>
        </is>
      </c>
      <c r="AV861" t="inlineStr">
        <is>
          <t>9194704</t>
        </is>
      </c>
      <c r="AW861" t="inlineStr">
        <is>
          <t>991000145369702656</t>
        </is>
      </c>
      <c r="AX861" t="inlineStr">
        <is>
          <t>991000145369702656</t>
        </is>
      </c>
      <c r="AY861" t="inlineStr">
        <is>
          <t>2265392100002656</t>
        </is>
      </c>
      <c r="AZ861" t="inlineStr">
        <is>
          <t>BOOK</t>
        </is>
      </c>
      <c r="BB861" t="inlineStr">
        <is>
          <t>9780670108855</t>
        </is>
      </c>
      <c r="BC861" t="inlineStr">
        <is>
          <t>32285001033249</t>
        </is>
      </c>
      <c r="BD861" t="inlineStr">
        <is>
          <t>893527846</t>
        </is>
      </c>
    </row>
    <row r="862">
      <c r="A862" t="inlineStr">
        <is>
          <t>No</t>
        </is>
      </c>
      <c r="B862" t="inlineStr">
        <is>
          <t>QH442 .R63 1977</t>
        </is>
      </c>
      <c r="C862" t="inlineStr">
        <is>
          <t>0                      QH 0442000R  63          1977</t>
        </is>
      </c>
      <c r="D862" t="inlineStr">
        <is>
          <t>Biohazard / by Michael Rogers.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Rogers, Michael, 1950-</t>
        </is>
      </c>
      <c r="L862" t="inlineStr">
        <is>
          <t>New York : Knopf, 1977.</t>
        </is>
      </c>
      <c r="M862" t="inlineStr">
        <is>
          <t>1977</t>
        </is>
      </c>
      <c r="N862" t="inlineStr">
        <is>
          <t>1st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QH </t>
        </is>
      </c>
      <c r="S862" t="n">
        <v>2</v>
      </c>
      <c r="T862" t="n">
        <v>2</v>
      </c>
      <c r="U862" t="inlineStr">
        <is>
          <t>2000-10-30</t>
        </is>
      </c>
      <c r="V862" t="inlineStr">
        <is>
          <t>2000-10-30</t>
        </is>
      </c>
      <c r="W862" t="inlineStr">
        <is>
          <t>1997-07-02</t>
        </is>
      </c>
      <c r="X862" t="inlineStr">
        <is>
          <t>1997-07-02</t>
        </is>
      </c>
      <c r="Y862" t="n">
        <v>865</v>
      </c>
      <c r="Z862" t="n">
        <v>792</v>
      </c>
      <c r="AA862" t="n">
        <v>807</v>
      </c>
      <c r="AB862" t="n">
        <v>5</v>
      </c>
      <c r="AC862" t="n">
        <v>5</v>
      </c>
      <c r="AD862" t="n">
        <v>25</v>
      </c>
      <c r="AE862" t="n">
        <v>25</v>
      </c>
      <c r="AF862" t="n">
        <v>6</v>
      </c>
      <c r="AG862" t="n">
        <v>6</v>
      </c>
      <c r="AH862" t="n">
        <v>5</v>
      </c>
      <c r="AI862" t="n">
        <v>5</v>
      </c>
      <c r="AJ862" t="n">
        <v>15</v>
      </c>
      <c r="AK862" t="n">
        <v>15</v>
      </c>
      <c r="AL862" t="n">
        <v>3</v>
      </c>
      <c r="AM862" t="n">
        <v>3</v>
      </c>
      <c r="AN862" t="n">
        <v>2</v>
      </c>
      <c r="AO862" t="n">
        <v>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HYPERLINK("http://catalog.hathitrust.org/Record/000253406","HathiTrust Record")</f>
        <v/>
      </c>
      <c r="AS862">
        <f>HYPERLINK("https://creighton-primo.hosted.exlibrisgroup.com/primo-explore/search?tab=default_tab&amp;search_scope=EVERYTHING&amp;vid=01CRU&amp;lang=en_US&amp;offset=0&amp;query=any,contains,991005257429702656","Catalog Record")</f>
        <v/>
      </c>
      <c r="AT862">
        <f>HYPERLINK("http://www.worldcat.org/oclc/3071521","WorldCat Record")</f>
        <v/>
      </c>
      <c r="AU862" t="inlineStr">
        <is>
          <t>892386602:eng</t>
        </is>
      </c>
      <c r="AV862" t="inlineStr">
        <is>
          <t>3071521</t>
        </is>
      </c>
      <c r="AW862" t="inlineStr">
        <is>
          <t>991005257429702656</t>
        </is>
      </c>
      <c r="AX862" t="inlineStr">
        <is>
          <t>991005257429702656</t>
        </is>
      </c>
      <c r="AY862" t="inlineStr">
        <is>
          <t>2267835640002656</t>
        </is>
      </c>
      <c r="AZ862" t="inlineStr">
        <is>
          <t>BOOK</t>
        </is>
      </c>
      <c r="BB862" t="inlineStr">
        <is>
          <t>9780394401287</t>
        </is>
      </c>
      <c r="BC862" t="inlineStr">
        <is>
          <t>32285002911682</t>
        </is>
      </c>
      <c r="BD862" t="inlineStr">
        <is>
          <t>893810964</t>
        </is>
      </c>
    </row>
    <row r="863">
      <c r="A863" t="inlineStr">
        <is>
          <t>No</t>
        </is>
      </c>
      <c r="B863" t="inlineStr">
        <is>
          <t>QH442 .S48 1985</t>
        </is>
      </c>
      <c r="C863" t="inlineStr">
        <is>
          <t>0                      QH 0442000S  48          1985</t>
        </is>
      </c>
      <c r="D863" t="inlineStr">
        <is>
          <t>What are they saying about genetic engineering? / Thomas A. Shannon.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Shannon, Thomas A. (Thomas Anthony), 1940-</t>
        </is>
      </c>
      <c r="L863" t="inlineStr">
        <is>
          <t>New York : Paulist Press, c1985.</t>
        </is>
      </c>
      <c r="M863" t="inlineStr">
        <is>
          <t>1985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QH </t>
        </is>
      </c>
      <c r="S863" t="n">
        <v>51</v>
      </c>
      <c r="T863" t="n">
        <v>51</v>
      </c>
      <c r="U863" t="inlineStr">
        <is>
          <t>2001-11-15</t>
        </is>
      </c>
      <c r="V863" t="inlineStr">
        <is>
          <t>2001-11-15</t>
        </is>
      </c>
      <c r="W863" t="inlineStr">
        <is>
          <t>1992-03-23</t>
        </is>
      </c>
      <c r="X863" t="inlineStr">
        <is>
          <t>1992-03-23</t>
        </is>
      </c>
      <c r="Y863" t="n">
        <v>380</v>
      </c>
      <c r="Z863" t="n">
        <v>316</v>
      </c>
      <c r="AA863" t="n">
        <v>317</v>
      </c>
      <c r="AB863" t="n">
        <v>3</v>
      </c>
      <c r="AC863" t="n">
        <v>3</v>
      </c>
      <c r="AD863" t="n">
        <v>23</v>
      </c>
      <c r="AE863" t="n">
        <v>23</v>
      </c>
      <c r="AF863" t="n">
        <v>9</v>
      </c>
      <c r="AG863" t="n">
        <v>9</v>
      </c>
      <c r="AH863" t="n">
        <v>4</v>
      </c>
      <c r="AI863" t="n">
        <v>4</v>
      </c>
      <c r="AJ863" t="n">
        <v>13</v>
      </c>
      <c r="AK863" t="n">
        <v>13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HYPERLINK("http://catalog.hathitrust.org/Record/000402696","HathiTrust Record")</f>
        <v/>
      </c>
      <c r="AS863">
        <f>HYPERLINK("https://creighton-primo.hosted.exlibrisgroup.com/primo-explore/search?tab=default_tab&amp;search_scope=EVERYTHING&amp;vid=01CRU&amp;lang=en_US&amp;offset=0&amp;query=any,contains,991000757969702656","Catalog Record")</f>
        <v/>
      </c>
      <c r="AT863">
        <f>HYPERLINK("http://www.worldcat.org/oclc/12957667","WorldCat Record")</f>
        <v/>
      </c>
      <c r="AU863" t="inlineStr">
        <is>
          <t>5437735:eng</t>
        </is>
      </c>
      <c r="AV863" t="inlineStr">
        <is>
          <t>12957667</t>
        </is>
      </c>
      <c r="AW863" t="inlineStr">
        <is>
          <t>991000757969702656</t>
        </is>
      </c>
      <c r="AX863" t="inlineStr">
        <is>
          <t>991000757969702656</t>
        </is>
      </c>
      <c r="AY863" t="inlineStr">
        <is>
          <t>2259416840002656</t>
        </is>
      </c>
      <c r="AZ863" t="inlineStr">
        <is>
          <t>BOOK</t>
        </is>
      </c>
      <c r="BB863" t="inlineStr">
        <is>
          <t>9780809127436</t>
        </is>
      </c>
      <c r="BC863" t="inlineStr">
        <is>
          <t>32285001025906</t>
        </is>
      </c>
      <c r="BD863" t="inlineStr">
        <is>
          <t>893502781</t>
        </is>
      </c>
    </row>
    <row r="864">
      <c r="A864" t="inlineStr">
        <is>
          <t>No</t>
        </is>
      </c>
      <c r="B864" t="inlineStr">
        <is>
          <t>QH442 .S68 1992</t>
        </is>
      </c>
      <c r="C864" t="inlineStr">
        <is>
          <t>0                      QH 0442000S  68          1992</t>
        </is>
      </c>
      <c r="D864" t="inlineStr">
        <is>
          <t>Generation games : genetic engineering and the future for our lives / Pat Spallone.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Spallone, Patricia.</t>
        </is>
      </c>
      <c r="L864" t="inlineStr">
        <is>
          <t>Philadelphia : Temple University Press, c1992.</t>
        </is>
      </c>
      <c r="M864" t="inlineStr">
        <is>
          <t>1992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QH </t>
        </is>
      </c>
      <c r="S864" t="n">
        <v>25</v>
      </c>
      <c r="T864" t="n">
        <v>25</v>
      </c>
      <c r="U864" t="inlineStr">
        <is>
          <t>2003-04-29</t>
        </is>
      </c>
      <c r="V864" t="inlineStr">
        <is>
          <t>2003-04-29</t>
        </is>
      </c>
      <c r="W864" t="inlineStr">
        <is>
          <t>1992-08-12</t>
        </is>
      </c>
      <c r="X864" t="inlineStr">
        <is>
          <t>1992-08-12</t>
        </is>
      </c>
      <c r="Y864" t="n">
        <v>382</v>
      </c>
      <c r="Z864" t="n">
        <v>337</v>
      </c>
      <c r="AA864" t="n">
        <v>354</v>
      </c>
      <c r="AB864" t="n">
        <v>3</v>
      </c>
      <c r="AC864" t="n">
        <v>4</v>
      </c>
      <c r="AD864" t="n">
        <v>14</v>
      </c>
      <c r="AE864" t="n">
        <v>15</v>
      </c>
      <c r="AF864" t="n">
        <v>4</v>
      </c>
      <c r="AG864" t="n">
        <v>4</v>
      </c>
      <c r="AH864" t="n">
        <v>2</v>
      </c>
      <c r="AI864" t="n">
        <v>2</v>
      </c>
      <c r="AJ864" t="n">
        <v>9</v>
      </c>
      <c r="AK864" t="n">
        <v>9</v>
      </c>
      <c r="AL864" t="n">
        <v>2</v>
      </c>
      <c r="AM864" t="n">
        <v>3</v>
      </c>
      <c r="AN864" t="n">
        <v>1</v>
      </c>
      <c r="AO864" t="n">
        <v>1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HYPERLINK("https://creighton-primo.hosted.exlibrisgroup.com/primo-explore/search?tab=default_tab&amp;search_scope=EVERYTHING&amp;vid=01CRU&amp;lang=en_US&amp;offset=0&amp;query=any,contains,991001982189702656","Catalog Record")</f>
        <v/>
      </c>
      <c r="AT864">
        <f>HYPERLINK("http://www.worldcat.org/oclc/25164008","WorldCat Record")</f>
        <v/>
      </c>
      <c r="AU864" t="inlineStr">
        <is>
          <t>836739024:eng</t>
        </is>
      </c>
      <c r="AV864" t="inlineStr">
        <is>
          <t>25164008</t>
        </is>
      </c>
      <c r="AW864" t="inlineStr">
        <is>
          <t>991001982189702656</t>
        </is>
      </c>
      <c r="AX864" t="inlineStr">
        <is>
          <t>991001982189702656</t>
        </is>
      </c>
      <c r="AY864" t="inlineStr">
        <is>
          <t>2263872680002656</t>
        </is>
      </c>
      <c r="AZ864" t="inlineStr">
        <is>
          <t>BOOK</t>
        </is>
      </c>
      <c r="BB864" t="inlineStr">
        <is>
          <t>9780877229667</t>
        </is>
      </c>
      <c r="BC864" t="inlineStr">
        <is>
          <t>32285001197002</t>
        </is>
      </c>
      <c r="BD864" t="inlineStr">
        <is>
          <t>893798026</t>
        </is>
      </c>
    </row>
    <row r="865">
      <c r="A865" t="inlineStr">
        <is>
          <t>No</t>
        </is>
      </c>
      <c r="B865" t="inlineStr">
        <is>
          <t>QH442 .S94 1981</t>
        </is>
      </c>
      <c r="C865" t="inlineStr">
        <is>
          <t>0                      QH 0442000S  94          1981</t>
        </is>
      </c>
      <c r="D865" t="inlineStr">
        <is>
          <t>Genetic engineering of microorganisms for chemicals / edited by Alexander Hollaender and Ralph D. DeMoss ... [et al.].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Symposium on Genetic Engineering of Microorganisms for Chemicals (1981 : University of Illinois at Urbana-Champaign)</t>
        </is>
      </c>
      <c r="L865" t="inlineStr">
        <is>
          <t>New York : Plenum Press, c1982.</t>
        </is>
      </c>
      <c r="M865" t="inlineStr">
        <is>
          <t>1982</t>
        </is>
      </c>
      <c r="O865" t="inlineStr">
        <is>
          <t>eng</t>
        </is>
      </c>
      <c r="P865" t="inlineStr">
        <is>
          <t>nyu</t>
        </is>
      </c>
      <c r="Q865" t="inlineStr">
        <is>
          <t>Basic life sciences ; v. 19</t>
        </is>
      </c>
      <c r="R865" t="inlineStr">
        <is>
          <t xml:space="preserve">QH </t>
        </is>
      </c>
      <c r="S865" t="n">
        <v>2</v>
      </c>
      <c r="T865" t="n">
        <v>2</v>
      </c>
      <c r="U865" t="inlineStr">
        <is>
          <t>1996-10-07</t>
        </is>
      </c>
      <c r="V865" t="inlineStr">
        <is>
          <t>1996-10-07</t>
        </is>
      </c>
      <c r="W865" t="inlineStr">
        <is>
          <t>1993-04-07</t>
        </is>
      </c>
      <c r="X865" t="inlineStr">
        <is>
          <t>1993-04-07</t>
        </is>
      </c>
      <c r="Y865" t="n">
        <v>316</v>
      </c>
      <c r="Z865" t="n">
        <v>221</v>
      </c>
      <c r="AA865" t="n">
        <v>240</v>
      </c>
      <c r="AB865" t="n">
        <v>2</v>
      </c>
      <c r="AC865" t="n">
        <v>2</v>
      </c>
      <c r="AD865" t="n">
        <v>5</v>
      </c>
      <c r="AE865" t="n">
        <v>5</v>
      </c>
      <c r="AF865" t="n">
        <v>1</v>
      </c>
      <c r="AG865" t="n">
        <v>1</v>
      </c>
      <c r="AH865" t="n">
        <v>2</v>
      </c>
      <c r="AI865" t="n">
        <v>2</v>
      </c>
      <c r="AJ865" t="n">
        <v>4</v>
      </c>
      <c r="AK865" t="n">
        <v>4</v>
      </c>
      <c r="AL865" t="n">
        <v>1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HYPERLINK("http://catalog.hathitrust.org/Record/000303717","HathiTrust Record")</f>
        <v/>
      </c>
      <c r="AS865">
        <f>HYPERLINK("https://creighton-primo.hosted.exlibrisgroup.com/primo-explore/search?tab=default_tab&amp;search_scope=EVERYTHING&amp;vid=01CRU&amp;lang=en_US&amp;offset=0&amp;query=any,contains,991005194819702656","Catalog Record")</f>
        <v/>
      </c>
      <c r="AT865">
        <f>HYPERLINK("http://www.worldcat.org/oclc/8034478","WorldCat Record")</f>
        <v/>
      </c>
      <c r="AU865" t="inlineStr">
        <is>
          <t>480364999:eng</t>
        </is>
      </c>
      <c r="AV865" t="inlineStr">
        <is>
          <t>8034478</t>
        </is>
      </c>
      <c r="AW865" t="inlineStr">
        <is>
          <t>991005194819702656</t>
        </is>
      </c>
      <c r="AX865" t="inlineStr">
        <is>
          <t>991005194819702656</t>
        </is>
      </c>
      <c r="AY865" t="inlineStr">
        <is>
          <t>2267089420002656</t>
        </is>
      </c>
      <c r="AZ865" t="inlineStr">
        <is>
          <t>BOOK</t>
        </is>
      </c>
      <c r="BB865" t="inlineStr">
        <is>
          <t>9780306409127</t>
        </is>
      </c>
      <c r="BC865" t="inlineStr">
        <is>
          <t>32285001554947</t>
        </is>
      </c>
      <c r="BD865" t="inlineStr">
        <is>
          <t>893902275</t>
        </is>
      </c>
    </row>
    <row r="866">
      <c r="A866" t="inlineStr">
        <is>
          <t>No</t>
        </is>
      </c>
      <c r="B866" t="inlineStr">
        <is>
          <t>QH442 .S95 1979</t>
        </is>
      </c>
      <c r="C866" t="inlineStr">
        <is>
          <t>0                      QH 0442000S  95          1979</t>
        </is>
      </c>
      <c r="D866" t="inlineStr">
        <is>
          <t>Genetic engineering of osmoregulation : impact on plant productivity for food, chemicals, and energy / edited by D. W. Rains, R. C. Valentine, and Alexander Hollaender.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Symposium on Genetic Engineering of Osmoregulation: Impact on Plant Productivity for Food, Chemicals, and Energy (1979 : Brookhaven National Laboratory)</t>
        </is>
      </c>
      <c r="L866" t="inlineStr">
        <is>
          <t>New York : Plenum Press, c1980.</t>
        </is>
      </c>
      <c r="M866" t="inlineStr">
        <is>
          <t>1980</t>
        </is>
      </c>
      <c r="O866" t="inlineStr">
        <is>
          <t>eng</t>
        </is>
      </c>
      <c r="P866" t="inlineStr">
        <is>
          <t>nyu</t>
        </is>
      </c>
      <c r="Q866" t="inlineStr">
        <is>
          <t>Basic life sciences ; v. 14</t>
        </is>
      </c>
      <c r="R866" t="inlineStr">
        <is>
          <t xml:space="preserve">QH </t>
        </is>
      </c>
      <c r="S866" t="n">
        <v>3</v>
      </c>
      <c r="T866" t="n">
        <v>3</v>
      </c>
      <c r="U866" t="inlineStr">
        <is>
          <t>1999-10-04</t>
        </is>
      </c>
      <c r="V866" t="inlineStr">
        <is>
          <t>1999-10-04</t>
        </is>
      </c>
      <c r="W866" t="inlineStr">
        <is>
          <t>1993-04-07</t>
        </is>
      </c>
      <c r="X866" t="inlineStr">
        <is>
          <t>1993-04-07</t>
        </is>
      </c>
      <c r="Y866" t="n">
        <v>324</v>
      </c>
      <c r="Z866" t="n">
        <v>228</v>
      </c>
      <c r="AA866" t="n">
        <v>248</v>
      </c>
      <c r="AB866" t="n">
        <v>2</v>
      </c>
      <c r="AC866" t="n">
        <v>2</v>
      </c>
      <c r="AD866" t="n">
        <v>9</v>
      </c>
      <c r="AE866" t="n">
        <v>9</v>
      </c>
      <c r="AF866" t="n">
        <v>3</v>
      </c>
      <c r="AG866" t="n">
        <v>3</v>
      </c>
      <c r="AH866" t="n">
        <v>2</v>
      </c>
      <c r="AI866" t="n">
        <v>2</v>
      </c>
      <c r="AJ866" t="n">
        <v>6</v>
      </c>
      <c r="AK866" t="n">
        <v>6</v>
      </c>
      <c r="AL866" t="n">
        <v>1</v>
      </c>
      <c r="AM866" t="n">
        <v>1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HYPERLINK("http://catalog.hathitrust.org/Record/000720772","HathiTrust Record")</f>
        <v/>
      </c>
      <c r="AS866">
        <f>HYPERLINK("https://creighton-primo.hosted.exlibrisgroup.com/primo-explore/search?tab=default_tab&amp;search_scope=EVERYTHING&amp;vid=01CRU&amp;lang=en_US&amp;offset=0&amp;query=any,contains,991004955309702656","Catalog Record")</f>
        <v/>
      </c>
      <c r="AT866">
        <f>HYPERLINK("http://www.worldcat.org/oclc/6277827","WorldCat Record")</f>
        <v/>
      </c>
      <c r="AU866" t="inlineStr">
        <is>
          <t>437466:eng</t>
        </is>
      </c>
      <c r="AV866" t="inlineStr">
        <is>
          <t>6277827</t>
        </is>
      </c>
      <c r="AW866" t="inlineStr">
        <is>
          <t>991004955309702656</t>
        </is>
      </c>
      <c r="AX866" t="inlineStr">
        <is>
          <t>991004955309702656</t>
        </is>
      </c>
      <c r="AY866" t="inlineStr">
        <is>
          <t>2268717970002656</t>
        </is>
      </c>
      <c r="AZ866" t="inlineStr">
        <is>
          <t>BOOK</t>
        </is>
      </c>
      <c r="BB866" t="inlineStr">
        <is>
          <t>9780306404542</t>
        </is>
      </c>
      <c r="BC866" t="inlineStr">
        <is>
          <t>32285001554954</t>
        </is>
      </c>
      <c r="BD866" t="inlineStr">
        <is>
          <t>893236100</t>
        </is>
      </c>
    </row>
    <row r="867">
      <c r="A867" t="inlineStr">
        <is>
          <t>No</t>
        </is>
      </c>
      <c r="B867" t="inlineStr">
        <is>
          <t>QH442 .U48 1989</t>
        </is>
      </c>
      <c r="C867" t="inlineStr">
        <is>
          <t>0                      QH 0442000U  48          1989</t>
        </is>
      </c>
      <c r="D867" t="inlineStr">
        <is>
          <t>Understanding genetic engineering / editors, J.C. Murrell, and L.M. Roberts.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Chichester : E. Horwood ; New York : Halsted Press, 1989.</t>
        </is>
      </c>
      <c r="M867" t="inlineStr">
        <is>
          <t>1989</t>
        </is>
      </c>
      <c r="O867" t="inlineStr">
        <is>
          <t>eng</t>
        </is>
      </c>
      <c r="P867" t="inlineStr">
        <is>
          <t>enk</t>
        </is>
      </c>
      <c r="Q867" t="inlineStr">
        <is>
          <t>Ellis Horwood books in gene technology</t>
        </is>
      </c>
      <c r="R867" t="inlineStr">
        <is>
          <t xml:space="preserve">QH </t>
        </is>
      </c>
      <c r="S867" t="n">
        <v>23</v>
      </c>
      <c r="T867" t="n">
        <v>23</v>
      </c>
      <c r="U867" t="inlineStr">
        <is>
          <t>1995-09-29</t>
        </is>
      </c>
      <c r="V867" t="inlineStr">
        <is>
          <t>1995-09-29</t>
        </is>
      </c>
      <c r="W867" t="inlineStr">
        <is>
          <t>1990-02-16</t>
        </is>
      </c>
      <c r="X867" t="inlineStr">
        <is>
          <t>1990-02-16</t>
        </is>
      </c>
      <c r="Y867" t="n">
        <v>401</v>
      </c>
      <c r="Z867" t="n">
        <v>306</v>
      </c>
      <c r="AA867" t="n">
        <v>308</v>
      </c>
      <c r="AB867" t="n">
        <v>4</v>
      </c>
      <c r="AC867" t="n">
        <v>4</v>
      </c>
      <c r="AD867" t="n">
        <v>17</v>
      </c>
      <c r="AE867" t="n">
        <v>17</v>
      </c>
      <c r="AF867" t="n">
        <v>7</v>
      </c>
      <c r="AG867" t="n">
        <v>7</v>
      </c>
      <c r="AH867" t="n">
        <v>3</v>
      </c>
      <c r="AI867" t="n">
        <v>3</v>
      </c>
      <c r="AJ867" t="n">
        <v>8</v>
      </c>
      <c r="AK867" t="n">
        <v>8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HYPERLINK("http://catalog.hathitrust.org/Record/001828552","HathiTrust Record")</f>
        <v/>
      </c>
      <c r="AS867">
        <f>HYPERLINK("https://creighton-primo.hosted.exlibrisgroup.com/primo-explore/search?tab=default_tab&amp;search_scope=EVERYTHING&amp;vid=01CRU&amp;lang=en_US&amp;offset=0&amp;query=any,contains,991001431899702656","Catalog Record")</f>
        <v/>
      </c>
      <c r="AT867">
        <f>HYPERLINK("http://www.worldcat.org/oclc/19122679","WorldCat Record")</f>
        <v/>
      </c>
      <c r="AU867" t="inlineStr">
        <is>
          <t>355152933:eng</t>
        </is>
      </c>
      <c r="AV867" t="inlineStr">
        <is>
          <t>19122679</t>
        </is>
      </c>
      <c r="AW867" t="inlineStr">
        <is>
          <t>991001431899702656</t>
        </is>
      </c>
      <c r="AX867" t="inlineStr">
        <is>
          <t>991001431899702656</t>
        </is>
      </c>
      <c r="AY867" t="inlineStr">
        <is>
          <t>2272786610002656</t>
        </is>
      </c>
      <c r="AZ867" t="inlineStr">
        <is>
          <t>BOOK</t>
        </is>
      </c>
      <c r="BB867" t="inlineStr">
        <is>
          <t>9780745804538</t>
        </is>
      </c>
      <c r="BC867" t="inlineStr">
        <is>
          <t>32285000039007</t>
        </is>
      </c>
      <c r="BD867" t="inlineStr">
        <is>
          <t>893522573</t>
        </is>
      </c>
    </row>
    <row r="868">
      <c r="A868" t="inlineStr">
        <is>
          <t>No</t>
        </is>
      </c>
      <c r="B868" t="inlineStr">
        <is>
          <t>QH442 .W3 1977</t>
        </is>
      </c>
      <c r="C868" t="inlineStr">
        <is>
          <t>0                      QH 0442000W  3           1977</t>
        </is>
      </c>
      <c r="D868" t="inlineStr">
        <is>
          <t>The ultimate experiment : man-made evolution / by Nicholas Wade.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Wade, Nicholas.</t>
        </is>
      </c>
      <c r="L868" t="inlineStr">
        <is>
          <t>New York : Walker, 1977.</t>
        </is>
      </c>
      <c r="M868" t="inlineStr">
        <is>
          <t>1977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QH </t>
        </is>
      </c>
      <c r="S868" t="n">
        <v>9</v>
      </c>
      <c r="T868" t="n">
        <v>14</v>
      </c>
      <c r="U868" t="inlineStr">
        <is>
          <t>1996-09-17</t>
        </is>
      </c>
      <c r="V868" t="inlineStr">
        <is>
          <t>1996-09-17</t>
        </is>
      </c>
      <c r="W868" t="inlineStr">
        <is>
          <t>1994-04-29</t>
        </is>
      </c>
      <c r="X868" t="inlineStr">
        <is>
          <t>1994-04-29</t>
        </is>
      </c>
      <c r="Y868" t="n">
        <v>855</v>
      </c>
      <c r="Z868" t="n">
        <v>774</v>
      </c>
      <c r="AA868" t="n">
        <v>836</v>
      </c>
      <c r="AB868" t="n">
        <v>7</v>
      </c>
      <c r="AC868" t="n">
        <v>7</v>
      </c>
      <c r="AD868" t="n">
        <v>23</v>
      </c>
      <c r="AE868" t="n">
        <v>25</v>
      </c>
      <c r="AF868" t="n">
        <v>6</v>
      </c>
      <c r="AG868" t="n">
        <v>6</v>
      </c>
      <c r="AH868" t="n">
        <v>4</v>
      </c>
      <c r="AI868" t="n">
        <v>5</v>
      </c>
      <c r="AJ868" t="n">
        <v>12</v>
      </c>
      <c r="AK868" t="n">
        <v>14</v>
      </c>
      <c r="AL868" t="n">
        <v>3</v>
      </c>
      <c r="AM868" t="n">
        <v>3</v>
      </c>
      <c r="AN868" t="n">
        <v>2</v>
      </c>
      <c r="AO868" t="n">
        <v>2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HYPERLINK("https://creighton-primo.hosted.exlibrisgroup.com/primo-explore/search?tab=default_tab&amp;search_scope=EVERYTHING&amp;vid=01CRU&amp;lang=en_US&amp;offset=0&amp;query=any,contains,991001770619702656","Catalog Record")</f>
        <v/>
      </c>
      <c r="AT868">
        <f>HYPERLINK("http://www.worldcat.org/oclc/3227014","WorldCat Record")</f>
        <v/>
      </c>
      <c r="AU868" t="inlineStr">
        <is>
          <t>9151815:eng</t>
        </is>
      </c>
      <c r="AV868" t="inlineStr">
        <is>
          <t>3227014</t>
        </is>
      </c>
      <c r="AW868" t="inlineStr">
        <is>
          <t>991001770619702656</t>
        </is>
      </c>
      <c r="AX868" t="inlineStr">
        <is>
          <t>991001770619702656</t>
        </is>
      </c>
      <c r="AY868" t="inlineStr">
        <is>
          <t>2257007630002656</t>
        </is>
      </c>
      <c r="AZ868" t="inlineStr">
        <is>
          <t>BOOK</t>
        </is>
      </c>
      <c r="BB868" t="inlineStr">
        <is>
          <t>9780802705723</t>
        </is>
      </c>
      <c r="BC868" t="inlineStr">
        <is>
          <t>32285001894640</t>
        </is>
      </c>
      <c r="BD868" t="inlineStr">
        <is>
          <t>893697021</t>
        </is>
      </c>
    </row>
    <row r="869">
      <c r="A869" t="inlineStr">
        <is>
          <t>No</t>
        </is>
      </c>
      <c r="B869" t="inlineStr">
        <is>
          <t>QH442 .W37</t>
        </is>
      </c>
      <c r="C869" t="inlineStr">
        <is>
          <t>0                      QH 0442000W  37</t>
        </is>
      </c>
      <c r="D869" t="inlineStr">
        <is>
          <t>The DNA story : a documentary history of gene cloning / James D. Watson, John Tooze.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Watson, James D., 1928-</t>
        </is>
      </c>
      <c r="L869" t="inlineStr">
        <is>
          <t>San Francisco : W.H. Freeman and Co., c1981.</t>
        </is>
      </c>
      <c r="M869" t="inlineStr">
        <is>
          <t>1981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QH </t>
        </is>
      </c>
      <c r="S869" t="n">
        <v>18</v>
      </c>
      <c r="T869" t="n">
        <v>18</v>
      </c>
      <c r="U869" t="inlineStr">
        <is>
          <t>1998-09-28</t>
        </is>
      </c>
      <c r="V869" t="inlineStr">
        <is>
          <t>1998-09-28</t>
        </is>
      </c>
      <c r="W869" t="inlineStr">
        <is>
          <t>1993-04-07</t>
        </is>
      </c>
      <c r="X869" t="inlineStr">
        <is>
          <t>1993-04-07</t>
        </is>
      </c>
      <c r="Y869" t="n">
        <v>1378</v>
      </c>
      <c r="Z869" t="n">
        <v>1176</v>
      </c>
      <c r="AA869" t="n">
        <v>1183</v>
      </c>
      <c r="AB869" t="n">
        <v>6</v>
      </c>
      <c r="AC869" t="n">
        <v>6</v>
      </c>
      <c r="AD869" t="n">
        <v>22</v>
      </c>
      <c r="AE869" t="n">
        <v>23</v>
      </c>
      <c r="AF869" t="n">
        <v>11</v>
      </c>
      <c r="AG869" t="n">
        <v>11</v>
      </c>
      <c r="AH869" t="n">
        <v>4</v>
      </c>
      <c r="AI869" t="n">
        <v>5</v>
      </c>
      <c r="AJ869" t="n">
        <v>12</v>
      </c>
      <c r="AK869" t="n">
        <v>13</v>
      </c>
      <c r="AL869" t="n">
        <v>3</v>
      </c>
      <c r="AM869" t="n">
        <v>3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HYPERLINK("https://creighton-primo.hosted.exlibrisgroup.com/primo-explore/search?tab=default_tab&amp;search_scope=EVERYTHING&amp;vid=01CRU&amp;lang=en_US&amp;offset=0&amp;query=any,contains,991005112609702656","Catalog Record")</f>
        <v/>
      </c>
      <c r="AT869">
        <f>HYPERLINK("http://www.worldcat.org/oclc/7459520","WorldCat Record")</f>
        <v/>
      </c>
      <c r="AU869" t="inlineStr">
        <is>
          <t>447247:eng</t>
        </is>
      </c>
      <c r="AV869" t="inlineStr">
        <is>
          <t>7459520</t>
        </is>
      </c>
      <c r="AW869" t="inlineStr">
        <is>
          <t>991005112609702656</t>
        </is>
      </c>
      <c r="AX869" t="inlineStr">
        <is>
          <t>991005112609702656</t>
        </is>
      </c>
      <c r="AY869" t="inlineStr">
        <is>
          <t>2255331630002656</t>
        </is>
      </c>
      <c r="AZ869" t="inlineStr">
        <is>
          <t>BOOK</t>
        </is>
      </c>
      <c r="BB869" t="inlineStr">
        <is>
          <t>9780716712923</t>
        </is>
      </c>
      <c r="BC869" t="inlineStr">
        <is>
          <t>32285001554962</t>
        </is>
      </c>
      <c r="BD869" t="inlineStr">
        <is>
          <t>893870535</t>
        </is>
      </c>
    </row>
    <row r="870">
      <c r="A870" t="inlineStr">
        <is>
          <t>No</t>
        </is>
      </c>
      <c r="B870" t="inlineStr">
        <is>
          <t>QH442 .W55 1988</t>
        </is>
      </c>
      <c r="C870" t="inlineStr">
        <is>
          <t>0                      QH 0442000W  55          1988</t>
        </is>
      </c>
      <c r="D870" t="inlineStr">
        <is>
          <t>Genetic engineering / J.G. Williams, R.K. Patient.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Yes</t>
        </is>
      </c>
      <c r="J870" t="inlineStr">
        <is>
          <t>0</t>
        </is>
      </c>
      <c r="K870" t="inlineStr">
        <is>
          <t>Williams, Jeff.</t>
        </is>
      </c>
      <c r="L870" t="inlineStr">
        <is>
          <t>Oxford ; Washington, DC : IRL Press, c1988.</t>
        </is>
      </c>
      <c r="M870" t="inlineStr">
        <is>
          <t>1988</t>
        </is>
      </c>
      <c r="O870" t="inlineStr">
        <is>
          <t>eng</t>
        </is>
      </c>
      <c r="P870" t="inlineStr">
        <is>
          <t>enk</t>
        </is>
      </c>
      <c r="Q870" t="inlineStr">
        <is>
          <t>In focus</t>
        </is>
      </c>
      <c r="R870" t="inlineStr">
        <is>
          <t xml:space="preserve">QH </t>
        </is>
      </c>
      <c r="S870" t="n">
        <v>15</v>
      </c>
      <c r="T870" t="n">
        <v>15</v>
      </c>
      <c r="U870" t="inlineStr">
        <is>
          <t>2006-12-08</t>
        </is>
      </c>
      <c r="V870" t="inlineStr">
        <is>
          <t>2006-12-08</t>
        </is>
      </c>
      <c r="W870" t="inlineStr">
        <is>
          <t>1992-02-21</t>
        </is>
      </c>
      <c r="X870" t="inlineStr">
        <is>
          <t>1992-02-21</t>
        </is>
      </c>
      <c r="Y870" t="n">
        <v>278</v>
      </c>
      <c r="Z870" t="n">
        <v>161</v>
      </c>
      <c r="AA870" t="n">
        <v>411</v>
      </c>
      <c r="AB870" t="n">
        <v>1</v>
      </c>
      <c r="AC870" t="n">
        <v>4</v>
      </c>
      <c r="AD870" t="n">
        <v>4</v>
      </c>
      <c r="AE870" t="n">
        <v>16</v>
      </c>
      <c r="AF870" t="n">
        <v>1</v>
      </c>
      <c r="AG870" t="n">
        <v>5</v>
      </c>
      <c r="AH870" t="n">
        <v>0</v>
      </c>
      <c r="AI870" t="n">
        <v>3</v>
      </c>
      <c r="AJ870" t="n">
        <v>3</v>
      </c>
      <c r="AK870" t="n">
        <v>10</v>
      </c>
      <c r="AL870" t="n">
        <v>0</v>
      </c>
      <c r="AM870" t="n">
        <v>2</v>
      </c>
      <c r="AN870" t="n">
        <v>0</v>
      </c>
      <c r="AO870" t="n">
        <v>0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HYPERLINK("http://catalog.hathitrust.org/Record/001292287","HathiTrust Record")</f>
        <v/>
      </c>
      <c r="AS870">
        <f>HYPERLINK("https://creighton-primo.hosted.exlibrisgroup.com/primo-explore/search?tab=default_tab&amp;search_scope=EVERYTHING&amp;vid=01CRU&amp;lang=en_US&amp;offset=0&amp;query=any,contains,991001349989702656","Catalog Record")</f>
        <v/>
      </c>
      <c r="AT870">
        <f>HYPERLINK("http://www.worldcat.org/oclc/18441263","WorldCat Record")</f>
        <v/>
      </c>
      <c r="AU870" t="inlineStr">
        <is>
          <t>17966833:eng</t>
        </is>
      </c>
      <c r="AV870" t="inlineStr">
        <is>
          <t>18441263</t>
        </is>
      </c>
      <c r="AW870" t="inlineStr">
        <is>
          <t>991001349989702656</t>
        </is>
      </c>
      <c r="AX870" t="inlineStr">
        <is>
          <t>991001349989702656</t>
        </is>
      </c>
      <c r="AY870" t="inlineStr">
        <is>
          <t>2269015510002656</t>
        </is>
      </c>
      <c r="AZ870" t="inlineStr">
        <is>
          <t>BOOK</t>
        </is>
      </c>
      <c r="BB870" t="inlineStr">
        <is>
          <t>9781852210717</t>
        </is>
      </c>
      <c r="BC870" t="inlineStr">
        <is>
          <t>32285000972918</t>
        </is>
      </c>
      <c r="BD870" t="inlineStr">
        <is>
          <t>893231932</t>
        </is>
      </c>
    </row>
    <row r="871">
      <c r="A871" t="inlineStr">
        <is>
          <t>No</t>
        </is>
      </c>
      <c r="B871" t="inlineStr">
        <is>
          <t>QH442 .Z56 1984</t>
        </is>
      </c>
      <c r="C871" t="inlineStr">
        <is>
          <t>0                      QH 0442000Z  56          1984</t>
        </is>
      </c>
      <c r="D871" t="inlineStr">
        <is>
          <t>Biofuture, confronting the genetic era / Burke K. Zimmerman.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Zimmerman, Burke K.</t>
        </is>
      </c>
      <c r="L871" t="inlineStr">
        <is>
          <t>New York : Plenum Press,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QH </t>
        </is>
      </c>
      <c r="S871" t="n">
        <v>26</v>
      </c>
      <c r="T871" t="n">
        <v>26</v>
      </c>
      <c r="U871" t="inlineStr">
        <is>
          <t>2008-09-04</t>
        </is>
      </c>
      <c r="V871" t="inlineStr">
        <is>
          <t>2008-09-04</t>
        </is>
      </c>
      <c r="W871" t="inlineStr">
        <is>
          <t>1992-04-03</t>
        </is>
      </c>
      <c r="X871" t="inlineStr">
        <is>
          <t>1992-04-03</t>
        </is>
      </c>
      <c r="Y871" t="n">
        <v>995</v>
      </c>
      <c r="Z871" t="n">
        <v>883</v>
      </c>
      <c r="AA871" t="n">
        <v>897</v>
      </c>
      <c r="AB871" t="n">
        <v>6</v>
      </c>
      <c r="AC871" t="n">
        <v>6</v>
      </c>
      <c r="AD871" t="n">
        <v>34</v>
      </c>
      <c r="AE871" t="n">
        <v>35</v>
      </c>
      <c r="AF871" t="n">
        <v>16</v>
      </c>
      <c r="AG871" t="n">
        <v>17</v>
      </c>
      <c r="AH871" t="n">
        <v>6</v>
      </c>
      <c r="AI871" t="n">
        <v>6</v>
      </c>
      <c r="AJ871" t="n">
        <v>17</v>
      </c>
      <c r="AK871" t="n">
        <v>17</v>
      </c>
      <c r="AL871" t="n">
        <v>4</v>
      </c>
      <c r="AM871" t="n">
        <v>4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HYPERLINK("http://catalog.hathitrust.org/Record/000322254","HathiTrust Record")</f>
        <v/>
      </c>
      <c r="AS871">
        <f>HYPERLINK("https://creighton-primo.hosted.exlibrisgroup.com/primo-explore/search?tab=default_tab&amp;search_scope=EVERYTHING&amp;vid=01CRU&amp;lang=en_US&amp;offset=0&amp;query=any,contains,991000341259702656","Catalog Record")</f>
        <v/>
      </c>
      <c r="AT871">
        <f>HYPERLINK("http://www.worldcat.org/oclc/10273021","WorldCat Record")</f>
        <v/>
      </c>
      <c r="AU871" t="inlineStr">
        <is>
          <t>3135972:eng</t>
        </is>
      </c>
      <c r="AV871" t="inlineStr">
        <is>
          <t>10273021</t>
        </is>
      </c>
      <c r="AW871" t="inlineStr">
        <is>
          <t>991000341259702656</t>
        </is>
      </c>
      <c r="AX871" t="inlineStr">
        <is>
          <t>991000341259702656</t>
        </is>
      </c>
      <c r="AY871" t="inlineStr">
        <is>
          <t>2267511760002656</t>
        </is>
      </c>
      <c r="AZ871" t="inlineStr">
        <is>
          <t>BOOK</t>
        </is>
      </c>
      <c r="BB871" t="inlineStr">
        <is>
          <t>9780306413155</t>
        </is>
      </c>
      <c r="BC871" t="inlineStr">
        <is>
          <t>32285001033231</t>
        </is>
      </c>
      <c r="BD871" t="inlineStr">
        <is>
          <t>893496138</t>
        </is>
      </c>
    </row>
    <row r="872">
      <c r="A872" t="inlineStr">
        <is>
          <t>No</t>
        </is>
      </c>
      <c r="B872" t="inlineStr">
        <is>
          <t>QH442 .Z97 1992</t>
        </is>
      </c>
      <c r="C872" t="inlineStr">
        <is>
          <t>0                      QH 0442000Z  97          1992</t>
        </is>
      </c>
      <c r="D872" t="inlineStr">
        <is>
          <t>Recombinant DNA laboratory manual / Judith W. Zyskind, Sanford I. Bernstein.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Zyskind, Judith W.</t>
        </is>
      </c>
      <c r="L872" t="inlineStr">
        <is>
          <t>San Diego : Academic Press, c1992.</t>
        </is>
      </c>
      <c r="M872" t="inlineStr">
        <is>
          <t>1992</t>
        </is>
      </c>
      <c r="N872" t="inlineStr">
        <is>
          <t>Rev. ed.</t>
        </is>
      </c>
      <c r="O872" t="inlineStr">
        <is>
          <t>eng</t>
        </is>
      </c>
      <c r="P872" t="inlineStr">
        <is>
          <t>cau</t>
        </is>
      </c>
      <c r="R872" t="inlineStr">
        <is>
          <t xml:space="preserve">QH </t>
        </is>
      </c>
      <c r="S872" t="n">
        <v>11</v>
      </c>
      <c r="T872" t="n">
        <v>11</v>
      </c>
      <c r="U872" t="inlineStr">
        <is>
          <t>2002-02-23</t>
        </is>
      </c>
      <c r="V872" t="inlineStr">
        <is>
          <t>2002-02-23</t>
        </is>
      </c>
      <c r="W872" t="inlineStr">
        <is>
          <t>1994-02-07</t>
        </is>
      </c>
      <c r="X872" t="inlineStr">
        <is>
          <t>1994-02-07</t>
        </is>
      </c>
      <c r="Y872" t="n">
        <v>242</v>
      </c>
      <c r="Z872" t="n">
        <v>153</v>
      </c>
      <c r="AA872" t="n">
        <v>344</v>
      </c>
      <c r="AB872" t="n">
        <v>2</v>
      </c>
      <c r="AC872" t="n">
        <v>5</v>
      </c>
      <c r="AD872" t="n">
        <v>3</v>
      </c>
      <c r="AE872" t="n">
        <v>13</v>
      </c>
      <c r="AF872" t="n">
        <v>0</v>
      </c>
      <c r="AG872" t="n">
        <v>3</v>
      </c>
      <c r="AH872" t="n">
        <v>0</v>
      </c>
      <c r="AI872" t="n">
        <v>4</v>
      </c>
      <c r="AJ872" t="n">
        <v>2</v>
      </c>
      <c r="AK872" t="n">
        <v>6</v>
      </c>
      <c r="AL872" t="n">
        <v>1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HYPERLINK("http://catalog.hathitrust.org/Record/002559404","HathiTrust Record")</f>
        <v/>
      </c>
      <c r="AS872">
        <f>HYPERLINK("https://creighton-primo.hosted.exlibrisgroup.com/primo-explore/search?tab=default_tab&amp;search_scope=EVERYTHING&amp;vid=01CRU&amp;lang=en_US&amp;offset=0&amp;query=any,contains,991001954209702656","Catalog Record")</f>
        <v/>
      </c>
      <c r="AT872">
        <f>HYPERLINK("http://www.worldcat.org/oclc/24699974","WorldCat Record")</f>
        <v/>
      </c>
      <c r="AU872" t="inlineStr">
        <is>
          <t>19200350:eng</t>
        </is>
      </c>
      <c r="AV872" t="inlineStr">
        <is>
          <t>24699974</t>
        </is>
      </c>
      <c r="AW872" t="inlineStr">
        <is>
          <t>991001954209702656</t>
        </is>
      </c>
      <c r="AX872" t="inlineStr">
        <is>
          <t>991001954209702656</t>
        </is>
      </c>
      <c r="AY872" t="inlineStr">
        <is>
          <t>2267685680002656</t>
        </is>
      </c>
      <c r="AZ872" t="inlineStr">
        <is>
          <t>BOOK</t>
        </is>
      </c>
      <c r="BB872" t="inlineStr">
        <is>
          <t>9780127844015</t>
        </is>
      </c>
      <c r="BC872" t="inlineStr">
        <is>
          <t>32285001840387</t>
        </is>
      </c>
      <c r="BD872" t="inlineStr">
        <is>
          <t>893590772</t>
        </is>
      </c>
    </row>
    <row r="873">
      <c r="A873" t="inlineStr">
        <is>
          <t>No</t>
        </is>
      </c>
      <c r="B873" t="inlineStr">
        <is>
          <t>QH442.2 .B67 1990</t>
        </is>
      </c>
      <c r="C873" t="inlineStr">
        <is>
          <t>0                      QH 0442200B  67          1990</t>
        </is>
      </c>
      <c r="D873" t="inlineStr">
        <is>
          <t>Methods for cloning and analysis of eukaryotic genes / Al Bothwell, George D. Yancopoulos, Frederick W. Alt.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Bothwell, Al.</t>
        </is>
      </c>
      <c r="L873" t="inlineStr">
        <is>
          <t>Boston : Jones and Bartlett Publishers, c1990.</t>
        </is>
      </c>
      <c r="M873" t="inlineStr">
        <is>
          <t>1990</t>
        </is>
      </c>
      <c r="O873" t="inlineStr">
        <is>
          <t>eng</t>
        </is>
      </c>
      <c r="P873" t="inlineStr">
        <is>
          <t>mau</t>
        </is>
      </c>
      <c r="R873" t="inlineStr">
        <is>
          <t xml:space="preserve">QH </t>
        </is>
      </c>
      <c r="S873" t="n">
        <v>11</v>
      </c>
      <c r="T873" t="n">
        <v>11</v>
      </c>
      <c r="U873" t="inlineStr">
        <is>
          <t>2005-09-30</t>
        </is>
      </c>
      <c r="V873" t="inlineStr">
        <is>
          <t>2005-09-30</t>
        </is>
      </c>
      <c r="W873" t="inlineStr">
        <is>
          <t>1993-05-03</t>
        </is>
      </c>
      <c r="X873" t="inlineStr">
        <is>
          <t>1993-05-03</t>
        </is>
      </c>
      <c r="Y873" t="n">
        <v>295</v>
      </c>
      <c r="Z873" t="n">
        <v>208</v>
      </c>
      <c r="AA873" t="n">
        <v>212</v>
      </c>
      <c r="AB873" t="n">
        <v>4</v>
      </c>
      <c r="AC873" t="n">
        <v>4</v>
      </c>
      <c r="AD873" t="n">
        <v>12</v>
      </c>
      <c r="AE873" t="n">
        <v>12</v>
      </c>
      <c r="AF873" t="n">
        <v>6</v>
      </c>
      <c r="AG873" t="n">
        <v>6</v>
      </c>
      <c r="AH873" t="n">
        <v>3</v>
      </c>
      <c r="AI873" t="n">
        <v>3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HYPERLINK("http://catalog.hathitrust.org/Record/004458662","HathiTrust Record")</f>
        <v/>
      </c>
      <c r="AS873">
        <f>HYPERLINK("https://creighton-primo.hosted.exlibrisgroup.com/primo-explore/search?tab=default_tab&amp;search_scope=EVERYTHING&amp;vid=01CRU&amp;lang=en_US&amp;offset=0&amp;query=any,contains,991001490899702656","Catalog Record")</f>
        <v/>
      </c>
      <c r="AT873">
        <f>HYPERLINK("http://www.worldcat.org/oclc/19723065","WorldCat Record")</f>
        <v/>
      </c>
      <c r="AU873" t="inlineStr">
        <is>
          <t>21483992:eng</t>
        </is>
      </c>
      <c r="AV873" t="inlineStr">
        <is>
          <t>19723065</t>
        </is>
      </c>
      <c r="AW873" t="inlineStr">
        <is>
          <t>991001490899702656</t>
        </is>
      </c>
      <c r="AX873" t="inlineStr">
        <is>
          <t>991001490899702656</t>
        </is>
      </c>
      <c r="AY873" t="inlineStr">
        <is>
          <t>2258701850002656</t>
        </is>
      </c>
      <c r="AZ873" t="inlineStr">
        <is>
          <t>BOOK</t>
        </is>
      </c>
      <c r="BB873" t="inlineStr">
        <is>
          <t>9780867201031</t>
        </is>
      </c>
      <c r="BC873" t="inlineStr">
        <is>
          <t>32285001632677</t>
        </is>
      </c>
      <c r="BD873" t="inlineStr">
        <is>
          <t>893256279</t>
        </is>
      </c>
    </row>
    <row r="874">
      <c r="A874" t="inlineStr">
        <is>
          <t>No</t>
        </is>
      </c>
      <c r="B874" t="inlineStr">
        <is>
          <t>QH442.2 .C46 1993</t>
        </is>
      </c>
      <c r="C874" t="inlineStr">
        <is>
          <t>0                      QH 0442200C  46          1993</t>
        </is>
      </c>
      <c r="D874" t="inlineStr">
        <is>
          <t>Chromosome microdissection and cloning : a practical guide / Nabil G. Hagag and Michael V. Viola.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L874" t="inlineStr">
        <is>
          <t>San Diego : Academic Press, 1993.</t>
        </is>
      </c>
      <c r="M874" t="inlineStr">
        <is>
          <t>1993</t>
        </is>
      </c>
      <c r="O874" t="inlineStr">
        <is>
          <t>eng</t>
        </is>
      </c>
      <c r="P874" t="inlineStr">
        <is>
          <t>cau</t>
        </is>
      </c>
      <c r="R874" t="inlineStr">
        <is>
          <t xml:space="preserve">QH </t>
        </is>
      </c>
      <c r="S874" t="n">
        <v>9</v>
      </c>
      <c r="T874" t="n">
        <v>9</v>
      </c>
      <c r="U874" t="inlineStr">
        <is>
          <t>2001-09-15</t>
        </is>
      </c>
      <c r="V874" t="inlineStr">
        <is>
          <t>2001-09-15</t>
        </is>
      </c>
      <c r="W874" t="inlineStr">
        <is>
          <t>1994-01-26</t>
        </is>
      </c>
      <c r="X874" t="inlineStr">
        <is>
          <t>1994-01-26</t>
        </is>
      </c>
      <c r="Y874" t="n">
        <v>125</v>
      </c>
      <c r="Z874" t="n">
        <v>80</v>
      </c>
      <c r="AA874" t="n">
        <v>125</v>
      </c>
      <c r="AB874" t="n">
        <v>1</v>
      </c>
      <c r="AC874" t="n">
        <v>2</v>
      </c>
      <c r="AD874" t="n">
        <v>0</v>
      </c>
      <c r="AE874" t="n">
        <v>4</v>
      </c>
      <c r="AF874" t="n">
        <v>0</v>
      </c>
      <c r="AG874" t="n">
        <v>2</v>
      </c>
      <c r="AH874" t="n">
        <v>0</v>
      </c>
      <c r="AI874" t="n">
        <v>2</v>
      </c>
      <c r="AJ874" t="n">
        <v>0</v>
      </c>
      <c r="AK874" t="n">
        <v>0</v>
      </c>
      <c r="AL874" t="n">
        <v>0</v>
      </c>
      <c r="AM874" t="n">
        <v>1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HYPERLINK("http://catalog.hathitrust.org/Record/002788080","HathiTrust Record")</f>
        <v/>
      </c>
      <c r="AS874">
        <f>HYPERLINK("https://creighton-primo.hosted.exlibrisgroup.com/primo-explore/search?tab=default_tab&amp;search_scope=EVERYTHING&amp;vid=01CRU&amp;lang=en_US&amp;offset=0&amp;query=any,contains,991002163129702656","Catalog Record")</f>
        <v/>
      </c>
      <c r="AT874">
        <f>HYPERLINK("http://www.worldcat.org/oclc/27816787","WorldCat Record")</f>
        <v/>
      </c>
      <c r="AU874" t="inlineStr">
        <is>
          <t>365864611:eng</t>
        </is>
      </c>
      <c r="AV874" t="inlineStr">
        <is>
          <t>27816787</t>
        </is>
      </c>
      <c r="AW874" t="inlineStr">
        <is>
          <t>991002163129702656</t>
        </is>
      </c>
      <c r="AX874" t="inlineStr">
        <is>
          <t>991002163129702656</t>
        </is>
      </c>
      <c r="AY874" t="inlineStr">
        <is>
          <t>2270538370002656</t>
        </is>
      </c>
      <c r="AZ874" t="inlineStr">
        <is>
          <t>BOOK</t>
        </is>
      </c>
      <c r="BB874" t="inlineStr">
        <is>
          <t>9780123133205</t>
        </is>
      </c>
      <c r="BC874" t="inlineStr">
        <is>
          <t>32285001833622</t>
        </is>
      </c>
      <c r="BD874" t="inlineStr">
        <is>
          <t>893262118</t>
        </is>
      </c>
    </row>
    <row r="875">
      <c r="A875" t="inlineStr">
        <is>
          <t>No</t>
        </is>
      </c>
      <c r="B875" t="inlineStr">
        <is>
          <t>QH442.2 .D59 1995, v...</t>
        </is>
      </c>
      <c r="C875" t="inlineStr">
        <is>
          <t>0                      QH 0442200D  59          1995                                        v...</t>
        </is>
      </c>
      <c r="D875" t="inlineStr">
        <is>
          <t>DNA cloning : a practical approach / edited by D.M. Glover and B.D. Hames.</t>
        </is>
      </c>
      <c r="E875" t="inlineStr">
        <is>
          <t>V.2</t>
        </is>
      </c>
      <c r="F875" t="inlineStr">
        <is>
          <t>Yes</t>
        </is>
      </c>
      <c r="G875" t="inlineStr">
        <is>
          <t>1</t>
        </is>
      </c>
      <c r="H875" t="inlineStr">
        <is>
          <t>No</t>
        </is>
      </c>
      <c r="I875" t="inlineStr">
        <is>
          <t>Yes</t>
        </is>
      </c>
      <c r="J875" t="inlineStr">
        <is>
          <t>0</t>
        </is>
      </c>
      <c r="L875" t="inlineStr">
        <is>
          <t>Oxford ; New York : IRL Press, c1995-</t>
        </is>
      </c>
      <c r="M875" t="inlineStr">
        <is>
          <t>1995</t>
        </is>
      </c>
      <c r="N875" t="inlineStr">
        <is>
          <t>2nd ed.</t>
        </is>
      </c>
      <c r="O875" t="inlineStr">
        <is>
          <t>eng</t>
        </is>
      </c>
      <c r="P875" t="inlineStr">
        <is>
          <t>enk</t>
        </is>
      </c>
      <c r="Q875" t="inlineStr">
        <is>
          <t>Practical approach series ; v. 148, 149</t>
        </is>
      </c>
      <c r="R875" t="inlineStr">
        <is>
          <t xml:space="preserve">QH </t>
        </is>
      </c>
      <c r="S875" t="n">
        <v>8</v>
      </c>
      <c r="T875" t="n">
        <v>44</v>
      </c>
      <c r="U875" t="inlineStr">
        <is>
          <t>2003-01-28</t>
        </is>
      </c>
      <c r="V875" t="inlineStr">
        <is>
          <t>2006-10-05</t>
        </is>
      </c>
      <c r="W875" t="inlineStr">
        <is>
          <t>1996-12-11</t>
        </is>
      </c>
      <c r="X875" t="inlineStr">
        <is>
          <t>1997-01-14</t>
        </is>
      </c>
      <c r="Y875" t="n">
        <v>284</v>
      </c>
      <c r="Z875" t="n">
        <v>215</v>
      </c>
      <c r="AA875" t="n">
        <v>492</v>
      </c>
      <c r="AB875" t="n">
        <v>1</v>
      </c>
      <c r="AC875" t="n">
        <v>3</v>
      </c>
      <c r="AD875" t="n">
        <v>5</v>
      </c>
      <c r="AE875" t="n">
        <v>18</v>
      </c>
      <c r="AF875" t="n">
        <v>1</v>
      </c>
      <c r="AG875" t="n">
        <v>6</v>
      </c>
      <c r="AH875" t="n">
        <v>3</v>
      </c>
      <c r="AI875" t="n">
        <v>6</v>
      </c>
      <c r="AJ875" t="n">
        <v>3</v>
      </c>
      <c r="AK875" t="n">
        <v>9</v>
      </c>
      <c r="AL875" t="n">
        <v>0</v>
      </c>
      <c r="AM875" t="n">
        <v>2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HYPERLINK("http://catalog.hathitrust.org/Record/002980378","HathiTrust Record")</f>
        <v/>
      </c>
      <c r="AS875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5">
        <f>HYPERLINK("http://www.worldcat.org/oclc/30810745","WorldCat Record")</f>
        <v/>
      </c>
      <c r="AU875" t="inlineStr">
        <is>
          <t>1060296722:eng</t>
        </is>
      </c>
      <c r="AV875" t="inlineStr">
        <is>
          <t>30810745</t>
        </is>
      </c>
      <c r="AW875" t="inlineStr">
        <is>
          <t>991002370139702656</t>
        </is>
      </c>
      <c r="AX875" t="inlineStr">
        <is>
          <t>991002370139702656</t>
        </is>
      </c>
      <c r="AY875" t="inlineStr">
        <is>
          <t>2269311380002656</t>
        </is>
      </c>
      <c r="AZ875" t="inlineStr">
        <is>
          <t>BOOK</t>
        </is>
      </c>
      <c r="BB875" t="inlineStr">
        <is>
          <t>9780199634767</t>
        </is>
      </c>
      <c r="BC875" t="inlineStr">
        <is>
          <t>32285002392222</t>
        </is>
      </c>
      <c r="BD875" t="inlineStr">
        <is>
          <t>893352289</t>
        </is>
      </c>
    </row>
    <row r="876">
      <c r="A876" t="inlineStr">
        <is>
          <t>No</t>
        </is>
      </c>
      <c r="B876" t="inlineStr">
        <is>
          <t>QH442.2 .D59 1995, v...</t>
        </is>
      </c>
      <c r="C876" t="inlineStr">
        <is>
          <t>0                      QH 0442200D  59          1995                                        v...</t>
        </is>
      </c>
      <c r="D876" t="inlineStr">
        <is>
          <t>DNA cloning : a practical approach / edited by D.M. Glover and B.D. Hames.</t>
        </is>
      </c>
      <c r="E876" t="inlineStr">
        <is>
          <t>V.3</t>
        </is>
      </c>
      <c r="F876" t="inlineStr">
        <is>
          <t>Yes</t>
        </is>
      </c>
      <c r="G876" t="inlineStr">
        <is>
          <t>1</t>
        </is>
      </c>
      <c r="H876" t="inlineStr">
        <is>
          <t>No</t>
        </is>
      </c>
      <c r="I876" t="inlineStr">
        <is>
          <t>Yes</t>
        </is>
      </c>
      <c r="J876" t="inlineStr">
        <is>
          <t>0</t>
        </is>
      </c>
      <c r="L876" t="inlineStr">
        <is>
          <t>Oxford ; New York : IRL Press, c1995-</t>
        </is>
      </c>
      <c r="M876" t="inlineStr">
        <is>
          <t>1995</t>
        </is>
      </c>
      <c r="N876" t="inlineStr">
        <is>
          <t>2nd ed.</t>
        </is>
      </c>
      <c r="O876" t="inlineStr">
        <is>
          <t>eng</t>
        </is>
      </c>
      <c r="P876" t="inlineStr">
        <is>
          <t>enk</t>
        </is>
      </c>
      <c r="Q876" t="inlineStr">
        <is>
          <t>Practical approach series ; v. 148, 149</t>
        </is>
      </c>
      <c r="R876" t="inlineStr">
        <is>
          <t xml:space="preserve">QH </t>
        </is>
      </c>
      <c r="S876" t="n">
        <v>6</v>
      </c>
      <c r="T876" t="n">
        <v>44</v>
      </c>
      <c r="U876" t="inlineStr">
        <is>
          <t>2005-03-17</t>
        </is>
      </c>
      <c r="V876" t="inlineStr">
        <is>
          <t>2006-10-05</t>
        </is>
      </c>
      <c r="W876" t="inlineStr">
        <is>
          <t>1997-01-14</t>
        </is>
      </c>
      <c r="X876" t="inlineStr">
        <is>
          <t>1997-01-14</t>
        </is>
      </c>
      <c r="Y876" t="n">
        <v>284</v>
      </c>
      <c r="Z876" t="n">
        <v>215</v>
      </c>
      <c r="AA876" t="n">
        <v>492</v>
      </c>
      <c r="AB876" t="n">
        <v>1</v>
      </c>
      <c r="AC876" t="n">
        <v>3</v>
      </c>
      <c r="AD876" t="n">
        <v>5</v>
      </c>
      <c r="AE876" t="n">
        <v>18</v>
      </c>
      <c r="AF876" t="n">
        <v>1</v>
      </c>
      <c r="AG876" t="n">
        <v>6</v>
      </c>
      <c r="AH876" t="n">
        <v>3</v>
      </c>
      <c r="AI876" t="n">
        <v>6</v>
      </c>
      <c r="AJ876" t="n">
        <v>3</v>
      </c>
      <c r="AK876" t="n">
        <v>9</v>
      </c>
      <c r="AL876" t="n">
        <v>0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HYPERLINK("http://catalog.hathitrust.org/Record/002980378","HathiTrust Record")</f>
        <v/>
      </c>
      <c r="AS876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6">
        <f>HYPERLINK("http://www.worldcat.org/oclc/30810745","WorldCat Record")</f>
        <v/>
      </c>
      <c r="AU876" t="inlineStr">
        <is>
          <t>1060296722:eng</t>
        </is>
      </c>
      <c r="AV876" t="inlineStr">
        <is>
          <t>30810745</t>
        </is>
      </c>
      <c r="AW876" t="inlineStr">
        <is>
          <t>991002370139702656</t>
        </is>
      </c>
      <c r="AX876" t="inlineStr">
        <is>
          <t>991002370139702656</t>
        </is>
      </c>
      <c r="AY876" t="inlineStr">
        <is>
          <t>2269311380002656</t>
        </is>
      </c>
      <c r="AZ876" t="inlineStr">
        <is>
          <t>BOOK</t>
        </is>
      </c>
      <c r="BB876" t="inlineStr">
        <is>
          <t>9780199634767</t>
        </is>
      </c>
      <c r="BC876" t="inlineStr">
        <is>
          <t>32285002407947</t>
        </is>
      </c>
      <c r="BD876" t="inlineStr">
        <is>
          <t>893322845</t>
        </is>
      </c>
    </row>
    <row r="877">
      <c r="A877" t="inlineStr">
        <is>
          <t>No</t>
        </is>
      </c>
      <c r="B877" t="inlineStr">
        <is>
          <t>QH442.2 .D59 1995, v...</t>
        </is>
      </c>
      <c r="C877" t="inlineStr">
        <is>
          <t>0                      QH 0442200D  59          1995                                        v...</t>
        </is>
      </c>
      <c r="D877" t="inlineStr">
        <is>
          <t>DNA cloning : a practical approach / edited by D.M. Glover and B.D. Hames.</t>
        </is>
      </c>
      <c r="E877" t="inlineStr">
        <is>
          <t>V.1</t>
        </is>
      </c>
      <c r="F877" t="inlineStr">
        <is>
          <t>Yes</t>
        </is>
      </c>
      <c r="G877" t="inlineStr">
        <is>
          <t>1</t>
        </is>
      </c>
      <c r="H877" t="inlineStr">
        <is>
          <t>No</t>
        </is>
      </c>
      <c r="I877" t="inlineStr">
        <is>
          <t>Yes</t>
        </is>
      </c>
      <c r="J877" t="inlineStr">
        <is>
          <t>0</t>
        </is>
      </c>
      <c r="L877" t="inlineStr">
        <is>
          <t>Oxford ; New York : IRL Press, c1995-</t>
        </is>
      </c>
      <c r="M877" t="inlineStr">
        <is>
          <t>1995</t>
        </is>
      </c>
      <c r="N877" t="inlineStr">
        <is>
          <t>2nd ed.</t>
        </is>
      </c>
      <c r="O877" t="inlineStr">
        <is>
          <t>eng</t>
        </is>
      </c>
      <c r="P877" t="inlineStr">
        <is>
          <t>enk</t>
        </is>
      </c>
      <c r="Q877" t="inlineStr">
        <is>
          <t>Practical approach series ; v. 148, 149</t>
        </is>
      </c>
      <c r="R877" t="inlineStr">
        <is>
          <t xml:space="preserve">QH </t>
        </is>
      </c>
      <c r="S877" t="n">
        <v>12</v>
      </c>
      <c r="T877" t="n">
        <v>44</v>
      </c>
      <c r="U877" t="inlineStr">
        <is>
          <t>2005-03-17</t>
        </is>
      </c>
      <c r="V877" t="inlineStr">
        <is>
          <t>2006-10-05</t>
        </is>
      </c>
      <c r="W877" t="inlineStr">
        <is>
          <t>1996-12-12</t>
        </is>
      </c>
      <c r="X877" t="inlineStr">
        <is>
          <t>1997-01-14</t>
        </is>
      </c>
      <c r="Y877" t="n">
        <v>284</v>
      </c>
      <c r="Z877" t="n">
        <v>215</v>
      </c>
      <c r="AA877" t="n">
        <v>492</v>
      </c>
      <c r="AB877" t="n">
        <v>1</v>
      </c>
      <c r="AC877" t="n">
        <v>3</v>
      </c>
      <c r="AD877" t="n">
        <v>5</v>
      </c>
      <c r="AE877" t="n">
        <v>18</v>
      </c>
      <c r="AF877" t="n">
        <v>1</v>
      </c>
      <c r="AG877" t="n">
        <v>6</v>
      </c>
      <c r="AH877" t="n">
        <v>3</v>
      </c>
      <c r="AI877" t="n">
        <v>6</v>
      </c>
      <c r="AJ877" t="n">
        <v>3</v>
      </c>
      <c r="AK877" t="n">
        <v>9</v>
      </c>
      <c r="AL877" t="n">
        <v>0</v>
      </c>
      <c r="AM877" t="n">
        <v>2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HYPERLINK("http://catalog.hathitrust.org/Record/002980378","HathiTrust Record")</f>
        <v/>
      </c>
      <c r="AS877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7">
        <f>HYPERLINK("http://www.worldcat.org/oclc/30810745","WorldCat Record")</f>
        <v/>
      </c>
      <c r="AU877" t="inlineStr">
        <is>
          <t>1060296722:eng</t>
        </is>
      </c>
      <c r="AV877" t="inlineStr">
        <is>
          <t>30810745</t>
        </is>
      </c>
      <c r="AW877" t="inlineStr">
        <is>
          <t>991002370139702656</t>
        </is>
      </c>
      <c r="AX877" t="inlineStr">
        <is>
          <t>991002370139702656</t>
        </is>
      </c>
      <c r="AY877" t="inlineStr">
        <is>
          <t>2269311380002656</t>
        </is>
      </c>
      <c r="AZ877" t="inlineStr">
        <is>
          <t>BOOK</t>
        </is>
      </c>
      <c r="BB877" t="inlineStr">
        <is>
          <t>9780199634767</t>
        </is>
      </c>
      <c r="BC877" t="inlineStr">
        <is>
          <t>32285002393246</t>
        </is>
      </c>
      <c r="BD877" t="inlineStr">
        <is>
          <t>893328984</t>
        </is>
      </c>
    </row>
    <row r="878">
      <c r="A878" t="inlineStr">
        <is>
          <t>No</t>
        </is>
      </c>
      <c r="B878" t="inlineStr">
        <is>
          <t>QH442.2 .D59 1995, v...</t>
        </is>
      </c>
      <c r="C878" t="inlineStr">
        <is>
          <t>0                      QH 0442200D  59          1995                                        v...</t>
        </is>
      </c>
      <c r="D878" t="inlineStr">
        <is>
          <t>DNA cloning : a practical approach / edited by D.M. Glover and B.D. Hames.</t>
        </is>
      </c>
      <c r="E878" t="inlineStr">
        <is>
          <t>V.4</t>
        </is>
      </c>
      <c r="F878" t="inlineStr">
        <is>
          <t>Yes</t>
        </is>
      </c>
      <c r="G878" t="inlineStr">
        <is>
          <t>1</t>
        </is>
      </c>
      <c r="H878" t="inlineStr">
        <is>
          <t>No</t>
        </is>
      </c>
      <c r="I878" t="inlineStr">
        <is>
          <t>Yes</t>
        </is>
      </c>
      <c r="J878" t="inlineStr">
        <is>
          <t>0</t>
        </is>
      </c>
      <c r="L878" t="inlineStr">
        <is>
          <t>Oxford ; New York : IRL Press, c1995-</t>
        </is>
      </c>
      <c r="M878" t="inlineStr">
        <is>
          <t>1995</t>
        </is>
      </c>
      <c r="N878" t="inlineStr">
        <is>
          <t>2nd ed.</t>
        </is>
      </c>
      <c r="O878" t="inlineStr">
        <is>
          <t>eng</t>
        </is>
      </c>
      <c r="P878" t="inlineStr">
        <is>
          <t>enk</t>
        </is>
      </c>
      <c r="Q878" t="inlineStr">
        <is>
          <t>Practical approach series ; v. 148, 149</t>
        </is>
      </c>
      <c r="R878" t="inlineStr">
        <is>
          <t xml:space="preserve">QH </t>
        </is>
      </c>
      <c r="S878" t="n">
        <v>18</v>
      </c>
      <c r="T878" t="n">
        <v>44</v>
      </c>
      <c r="U878" t="inlineStr">
        <is>
          <t>2006-10-05</t>
        </is>
      </c>
      <c r="V878" t="inlineStr">
        <is>
          <t>2006-10-05</t>
        </is>
      </c>
      <c r="W878" t="inlineStr">
        <is>
          <t>1996-12-17</t>
        </is>
      </c>
      <c r="X878" t="inlineStr">
        <is>
          <t>1997-01-14</t>
        </is>
      </c>
      <c r="Y878" t="n">
        <v>284</v>
      </c>
      <c r="Z878" t="n">
        <v>215</v>
      </c>
      <c r="AA878" t="n">
        <v>492</v>
      </c>
      <c r="AB878" t="n">
        <v>1</v>
      </c>
      <c r="AC878" t="n">
        <v>3</v>
      </c>
      <c r="AD878" t="n">
        <v>5</v>
      </c>
      <c r="AE878" t="n">
        <v>18</v>
      </c>
      <c r="AF878" t="n">
        <v>1</v>
      </c>
      <c r="AG878" t="n">
        <v>6</v>
      </c>
      <c r="AH878" t="n">
        <v>3</v>
      </c>
      <c r="AI878" t="n">
        <v>6</v>
      </c>
      <c r="AJ878" t="n">
        <v>3</v>
      </c>
      <c r="AK878" t="n">
        <v>9</v>
      </c>
      <c r="AL878" t="n">
        <v>0</v>
      </c>
      <c r="AM878" t="n">
        <v>2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HYPERLINK("http://catalog.hathitrust.org/Record/002980378","HathiTrust Record")</f>
        <v/>
      </c>
      <c r="AS878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8">
        <f>HYPERLINK("http://www.worldcat.org/oclc/30810745","WorldCat Record")</f>
        <v/>
      </c>
      <c r="AU878" t="inlineStr">
        <is>
          <t>1060296722:eng</t>
        </is>
      </c>
      <c r="AV878" t="inlineStr">
        <is>
          <t>30810745</t>
        </is>
      </c>
      <c r="AW878" t="inlineStr">
        <is>
          <t>991002370139702656</t>
        </is>
      </c>
      <c r="AX878" t="inlineStr">
        <is>
          <t>991002370139702656</t>
        </is>
      </c>
      <c r="AY878" t="inlineStr">
        <is>
          <t>2269311380002656</t>
        </is>
      </c>
      <c r="AZ878" t="inlineStr">
        <is>
          <t>BOOK</t>
        </is>
      </c>
      <c r="BB878" t="inlineStr">
        <is>
          <t>9780199634767</t>
        </is>
      </c>
      <c r="BC878" t="inlineStr">
        <is>
          <t>32285002394665</t>
        </is>
      </c>
      <c r="BD878" t="inlineStr">
        <is>
          <t>893328983</t>
        </is>
      </c>
    </row>
    <row r="879">
      <c r="A879" t="inlineStr">
        <is>
          <t>No</t>
        </is>
      </c>
      <c r="B879" t="inlineStr">
        <is>
          <t>QH442.2 .D63 1985</t>
        </is>
      </c>
      <c r="C879" t="inlineStr">
        <is>
          <t>0                      QH 0442200D  63          1985</t>
        </is>
      </c>
      <c r="D879" t="inlineStr">
        <is>
          <t>DNA cloning : a practical approach / edited by D.M. Glover.</t>
        </is>
      </c>
      <c r="E879" t="inlineStr">
        <is>
          <t>V.1</t>
        </is>
      </c>
      <c r="F879" t="inlineStr">
        <is>
          <t>Yes</t>
        </is>
      </c>
      <c r="G879" t="inlineStr">
        <is>
          <t>1</t>
        </is>
      </c>
      <c r="H879" t="inlineStr">
        <is>
          <t>No</t>
        </is>
      </c>
      <c r="I879" t="inlineStr">
        <is>
          <t>Yes</t>
        </is>
      </c>
      <c r="J879" t="inlineStr">
        <is>
          <t>0</t>
        </is>
      </c>
      <c r="L879" t="inlineStr">
        <is>
          <t>Oxford : IRL, c1985.</t>
        </is>
      </c>
      <c r="M879" t="inlineStr">
        <is>
          <t>1985</t>
        </is>
      </c>
      <c r="O879" t="inlineStr">
        <is>
          <t>eng</t>
        </is>
      </c>
      <c r="P879" t="inlineStr">
        <is>
          <t>enk</t>
        </is>
      </c>
      <c r="Q879" t="inlineStr">
        <is>
          <t>Practical approach series</t>
        </is>
      </c>
      <c r="R879" t="inlineStr">
        <is>
          <t xml:space="preserve">QH </t>
        </is>
      </c>
      <c r="S879" t="n">
        <v>11</v>
      </c>
      <c r="T879" t="n">
        <v>17</v>
      </c>
      <c r="U879" t="inlineStr">
        <is>
          <t>2000-11-18</t>
        </is>
      </c>
      <c r="V879" t="inlineStr">
        <is>
          <t>2001-03-01</t>
        </is>
      </c>
      <c r="W879" t="inlineStr">
        <is>
          <t>1993-04-07</t>
        </is>
      </c>
      <c r="X879" t="inlineStr">
        <is>
          <t>1993-04-07</t>
        </is>
      </c>
      <c r="Y879" t="n">
        <v>523</v>
      </c>
      <c r="Z879" t="n">
        <v>374</v>
      </c>
      <c r="AA879" t="n">
        <v>492</v>
      </c>
      <c r="AB879" t="n">
        <v>3</v>
      </c>
      <c r="AC879" t="n">
        <v>3</v>
      </c>
      <c r="AD879" t="n">
        <v>15</v>
      </c>
      <c r="AE879" t="n">
        <v>18</v>
      </c>
      <c r="AF879" t="n">
        <v>4</v>
      </c>
      <c r="AG879" t="n">
        <v>6</v>
      </c>
      <c r="AH879" t="n">
        <v>4</v>
      </c>
      <c r="AI879" t="n">
        <v>6</v>
      </c>
      <c r="AJ879" t="n">
        <v>8</v>
      </c>
      <c r="AK879" t="n">
        <v>9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HYPERLINK("http://catalog.hathitrust.org/Record/000612507","HathiTrust Record")</f>
        <v/>
      </c>
      <c r="AS879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79">
        <f>HYPERLINK("http://www.worldcat.org/oclc/12388039","WorldCat Record")</f>
        <v/>
      </c>
      <c r="AU879" t="inlineStr">
        <is>
          <t>1060296722:eng</t>
        </is>
      </c>
      <c r="AV879" t="inlineStr">
        <is>
          <t>12388039</t>
        </is>
      </c>
      <c r="AW879" t="inlineStr">
        <is>
          <t>991000693709702656</t>
        </is>
      </c>
      <c r="AX879" t="inlineStr">
        <is>
          <t>991000693709702656</t>
        </is>
      </c>
      <c r="AY879" t="inlineStr">
        <is>
          <t>2260944180002656</t>
        </is>
      </c>
      <c r="AZ879" t="inlineStr">
        <is>
          <t>BOOK</t>
        </is>
      </c>
      <c r="BB879" t="inlineStr">
        <is>
          <t>9780947946197</t>
        </is>
      </c>
      <c r="BC879" t="inlineStr">
        <is>
          <t>32285001554970</t>
        </is>
      </c>
      <c r="BD879" t="inlineStr">
        <is>
          <t>893509024</t>
        </is>
      </c>
    </row>
    <row r="880">
      <c r="A880" t="inlineStr">
        <is>
          <t>No</t>
        </is>
      </c>
      <c r="B880" t="inlineStr">
        <is>
          <t>QH442.2 .D63 1985</t>
        </is>
      </c>
      <c r="C880" t="inlineStr">
        <is>
          <t>0                      QH 0442200D  63          1985</t>
        </is>
      </c>
      <c r="D880" t="inlineStr">
        <is>
          <t>DNA cloning : a practical approach / edited by D.M. Glover.</t>
        </is>
      </c>
      <c r="E880" t="inlineStr">
        <is>
          <t>V.2</t>
        </is>
      </c>
      <c r="F880" t="inlineStr">
        <is>
          <t>Yes</t>
        </is>
      </c>
      <c r="G880" t="inlineStr">
        <is>
          <t>1</t>
        </is>
      </c>
      <c r="H880" t="inlineStr">
        <is>
          <t>No</t>
        </is>
      </c>
      <c r="I880" t="inlineStr">
        <is>
          <t>Yes</t>
        </is>
      </c>
      <c r="J880" t="inlineStr">
        <is>
          <t>0</t>
        </is>
      </c>
      <c r="L880" t="inlineStr">
        <is>
          <t>Oxford : IRL, c1985.</t>
        </is>
      </c>
      <c r="M880" t="inlineStr">
        <is>
          <t>1985</t>
        </is>
      </c>
      <c r="O880" t="inlineStr">
        <is>
          <t>eng</t>
        </is>
      </c>
      <c r="P880" t="inlineStr">
        <is>
          <t>enk</t>
        </is>
      </c>
      <c r="Q880" t="inlineStr">
        <is>
          <t>Practical approach series</t>
        </is>
      </c>
      <c r="R880" t="inlineStr">
        <is>
          <t xml:space="preserve">QH </t>
        </is>
      </c>
      <c r="S880" t="n">
        <v>6</v>
      </c>
      <c r="T880" t="n">
        <v>17</v>
      </c>
      <c r="U880" t="inlineStr">
        <is>
          <t>2001-03-01</t>
        </is>
      </c>
      <c r="V880" t="inlineStr">
        <is>
          <t>2001-03-01</t>
        </is>
      </c>
      <c r="W880" t="inlineStr">
        <is>
          <t>1993-04-07</t>
        </is>
      </c>
      <c r="X880" t="inlineStr">
        <is>
          <t>1993-04-07</t>
        </is>
      </c>
      <c r="Y880" t="n">
        <v>523</v>
      </c>
      <c r="Z880" t="n">
        <v>374</v>
      </c>
      <c r="AA880" t="n">
        <v>492</v>
      </c>
      <c r="AB880" t="n">
        <v>3</v>
      </c>
      <c r="AC880" t="n">
        <v>3</v>
      </c>
      <c r="AD880" t="n">
        <v>15</v>
      </c>
      <c r="AE880" t="n">
        <v>18</v>
      </c>
      <c r="AF880" t="n">
        <v>4</v>
      </c>
      <c r="AG880" t="n">
        <v>6</v>
      </c>
      <c r="AH880" t="n">
        <v>4</v>
      </c>
      <c r="AI880" t="n">
        <v>6</v>
      </c>
      <c r="AJ880" t="n">
        <v>8</v>
      </c>
      <c r="AK880" t="n">
        <v>9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HYPERLINK("http://catalog.hathitrust.org/Record/000612507","HathiTrust Record")</f>
        <v/>
      </c>
      <c r="AS880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80">
        <f>HYPERLINK("http://www.worldcat.org/oclc/12388039","WorldCat Record")</f>
        <v/>
      </c>
      <c r="AU880" t="inlineStr">
        <is>
          <t>1060296722:eng</t>
        </is>
      </c>
      <c r="AV880" t="inlineStr">
        <is>
          <t>12388039</t>
        </is>
      </c>
      <c r="AW880" t="inlineStr">
        <is>
          <t>991000693709702656</t>
        </is>
      </c>
      <c r="AX880" t="inlineStr">
        <is>
          <t>991000693709702656</t>
        </is>
      </c>
      <c r="AY880" t="inlineStr">
        <is>
          <t>2260944180002656</t>
        </is>
      </c>
      <c r="AZ880" t="inlineStr">
        <is>
          <t>BOOK</t>
        </is>
      </c>
      <c r="BB880" t="inlineStr">
        <is>
          <t>9780947946197</t>
        </is>
      </c>
      <c r="BC880" t="inlineStr">
        <is>
          <t>32285001554988</t>
        </is>
      </c>
      <c r="BD880" t="inlineStr">
        <is>
          <t>893509025</t>
        </is>
      </c>
    </row>
    <row r="881">
      <c r="A881" t="inlineStr">
        <is>
          <t>No</t>
        </is>
      </c>
      <c r="B881" t="inlineStr">
        <is>
          <t>QH442.2 .D75 1992</t>
        </is>
      </c>
      <c r="C881" t="inlineStr">
        <is>
          <t>0                      QH 0442200D  75          1992</t>
        </is>
      </c>
      <c r="D881" t="inlineStr">
        <is>
          <t>Understanding DNA and gene cloning : a guide for the curious / Karl Drlica.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Yes</t>
        </is>
      </c>
      <c r="J881" t="inlineStr">
        <is>
          <t>0</t>
        </is>
      </c>
      <c r="K881" t="inlineStr">
        <is>
          <t>Drlica, Karl.</t>
        </is>
      </c>
      <c r="L881" t="inlineStr">
        <is>
          <t>New York : Wiley, c1992.</t>
        </is>
      </c>
      <c r="M881" t="inlineStr">
        <is>
          <t>1992</t>
        </is>
      </c>
      <c r="N881" t="inlineStr">
        <is>
          <t>2nd ed.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QH </t>
        </is>
      </c>
      <c r="S881" t="n">
        <v>32</v>
      </c>
      <c r="T881" t="n">
        <v>32</v>
      </c>
      <c r="U881" t="inlineStr">
        <is>
          <t>2002-09-22</t>
        </is>
      </c>
      <c r="V881" t="inlineStr">
        <is>
          <t>2002-09-22</t>
        </is>
      </c>
      <c r="W881" t="inlineStr">
        <is>
          <t>1993-02-03</t>
        </is>
      </c>
      <c r="X881" t="inlineStr">
        <is>
          <t>1993-02-03</t>
        </is>
      </c>
      <c r="Y881" t="n">
        <v>706</v>
      </c>
      <c r="Z881" t="n">
        <v>580</v>
      </c>
      <c r="AA881" t="n">
        <v>1455</v>
      </c>
      <c r="AB881" t="n">
        <v>5</v>
      </c>
      <c r="AC881" t="n">
        <v>11</v>
      </c>
      <c r="AD881" t="n">
        <v>22</v>
      </c>
      <c r="AE881" t="n">
        <v>45</v>
      </c>
      <c r="AF881" t="n">
        <v>11</v>
      </c>
      <c r="AG881" t="n">
        <v>20</v>
      </c>
      <c r="AH881" t="n">
        <v>2</v>
      </c>
      <c r="AI881" t="n">
        <v>9</v>
      </c>
      <c r="AJ881" t="n">
        <v>9</v>
      </c>
      <c r="AK881" t="n">
        <v>16</v>
      </c>
      <c r="AL881" t="n">
        <v>4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HYPERLINK("http://catalog.hathitrust.org/Record/002533762","HathiTrust Record")</f>
        <v/>
      </c>
      <c r="AS881">
        <f>HYPERLINK("https://creighton-primo.hosted.exlibrisgroup.com/primo-explore/search?tab=default_tab&amp;search_scope=EVERYTHING&amp;vid=01CRU&amp;lang=en_US&amp;offset=0&amp;query=any,contains,991001911379702656","Catalog Record")</f>
        <v/>
      </c>
      <c r="AT881">
        <f>HYPERLINK("http://www.worldcat.org/oclc/24142604","WorldCat Record")</f>
        <v/>
      </c>
      <c r="AU881" t="inlineStr">
        <is>
          <t>703598:eng</t>
        </is>
      </c>
      <c r="AV881" t="inlineStr">
        <is>
          <t>24142604</t>
        </is>
      </c>
      <c r="AW881" t="inlineStr">
        <is>
          <t>991001911379702656</t>
        </is>
      </c>
      <c r="AX881" t="inlineStr">
        <is>
          <t>991001911379702656</t>
        </is>
      </c>
      <c r="AY881" t="inlineStr">
        <is>
          <t>2265849190002656</t>
        </is>
      </c>
      <c r="AZ881" t="inlineStr">
        <is>
          <t>BOOK</t>
        </is>
      </c>
      <c r="BB881" t="inlineStr">
        <is>
          <t>9780471622253</t>
        </is>
      </c>
      <c r="BC881" t="inlineStr">
        <is>
          <t>32285001449510</t>
        </is>
      </c>
      <c r="BD881" t="inlineStr">
        <is>
          <t>893785496</t>
        </is>
      </c>
    </row>
    <row r="882">
      <c r="A882" t="inlineStr">
        <is>
          <t>No</t>
        </is>
      </c>
      <c r="B882" t="inlineStr">
        <is>
          <t>QH442.2 .E77 1991</t>
        </is>
      </c>
      <c r="C882" t="inlineStr">
        <is>
          <t>0                      QH 0442200E  77          1991</t>
        </is>
      </c>
      <c r="D882" t="inlineStr">
        <is>
          <t>Essential molecular biology : a practical approach / edited by T.A. Brown.</t>
        </is>
      </c>
      <c r="E882" t="inlineStr">
        <is>
          <t>V. 2</t>
        </is>
      </c>
      <c r="F882" t="inlineStr">
        <is>
          <t>Yes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L882" t="inlineStr">
        <is>
          <t>Oxford ; New York : IRL Press at Oxford University Press, c1991.</t>
        </is>
      </c>
      <c r="M882" t="inlineStr">
        <is>
          <t>1991</t>
        </is>
      </c>
      <c r="O882" t="inlineStr">
        <is>
          <t>eng</t>
        </is>
      </c>
      <c r="P882" t="inlineStr">
        <is>
          <t>enk</t>
        </is>
      </c>
      <c r="Q882" t="inlineStr">
        <is>
          <t>The Practical approach series</t>
        </is>
      </c>
      <c r="R882" t="inlineStr">
        <is>
          <t xml:space="preserve">QH </t>
        </is>
      </c>
      <c r="S882" t="n">
        <v>4</v>
      </c>
      <c r="T882" t="n">
        <v>8</v>
      </c>
      <c r="U882" t="inlineStr">
        <is>
          <t>2005-02-02</t>
        </is>
      </c>
      <c r="V882" t="inlineStr">
        <is>
          <t>2005-02-02</t>
        </is>
      </c>
      <c r="W882" t="inlineStr">
        <is>
          <t>2003-06-09</t>
        </is>
      </c>
      <c r="X882" t="inlineStr">
        <is>
          <t>2003-06-09</t>
        </is>
      </c>
      <c r="Y882" t="n">
        <v>359</v>
      </c>
      <c r="Z882" t="n">
        <v>224</v>
      </c>
      <c r="AA882" t="n">
        <v>338</v>
      </c>
      <c r="AB882" t="n">
        <v>2</v>
      </c>
      <c r="AC882" t="n">
        <v>3</v>
      </c>
      <c r="AD882" t="n">
        <v>7</v>
      </c>
      <c r="AE882" t="n">
        <v>11</v>
      </c>
      <c r="AF882" t="n">
        <v>2</v>
      </c>
      <c r="AG882" t="n">
        <v>3</v>
      </c>
      <c r="AH882" t="n">
        <v>1</v>
      </c>
      <c r="AI882" t="n">
        <v>2</v>
      </c>
      <c r="AJ882" t="n">
        <v>5</v>
      </c>
      <c r="AK882" t="n">
        <v>8</v>
      </c>
      <c r="AL882" t="n">
        <v>1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HYPERLINK("http://catalog.hathitrust.org/Record/002465055","HathiTrust Record")</f>
        <v/>
      </c>
      <c r="AS882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2">
        <f>HYPERLINK("http://www.worldcat.org/oclc/22542731","WorldCat Record")</f>
        <v/>
      </c>
      <c r="AU882" t="inlineStr">
        <is>
          <t>10278620617:eng</t>
        </is>
      </c>
      <c r="AV882" t="inlineStr">
        <is>
          <t>22542731</t>
        </is>
      </c>
      <c r="AW882" t="inlineStr">
        <is>
          <t>991003999079702656</t>
        </is>
      </c>
      <c r="AX882" t="inlineStr">
        <is>
          <t>991003999079702656</t>
        </is>
      </c>
      <c r="AY882" t="inlineStr">
        <is>
          <t>2271173660002656</t>
        </is>
      </c>
      <c r="AZ882" t="inlineStr">
        <is>
          <t>BOOK</t>
        </is>
      </c>
      <c r="BB882" t="inlineStr">
        <is>
          <t>9780199631100</t>
        </is>
      </c>
      <c r="BC882" t="inlineStr">
        <is>
          <t>32285004750930</t>
        </is>
      </c>
      <c r="BD882" t="inlineStr">
        <is>
          <t>893712037</t>
        </is>
      </c>
    </row>
    <row r="883">
      <c r="A883" t="inlineStr">
        <is>
          <t>No</t>
        </is>
      </c>
      <c r="B883" t="inlineStr">
        <is>
          <t>QH442.2 .E77 1991</t>
        </is>
      </c>
      <c r="C883" t="inlineStr">
        <is>
          <t>0                      QH 0442200E  77          1991</t>
        </is>
      </c>
      <c r="D883" t="inlineStr">
        <is>
          <t>Essential molecular biology : a practical approach / edited by T.A. Brown.</t>
        </is>
      </c>
      <c r="E883" t="inlineStr">
        <is>
          <t>V. 1</t>
        </is>
      </c>
      <c r="F883" t="inlineStr">
        <is>
          <t>Yes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L883" t="inlineStr">
        <is>
          <t>Oxford ; New York : IRL Press at Oxford University Press, c1991.</t>
        </is>
      </c>
      <c r="M883" t="inlineStr">
        <is>
          <t>1991</t>
        </is>
      </c>
      <c r="O883" t="inlineStr">
        <is>
          <t>eng</t>
        </is>
      </c>
      <c r="P883" t="inlineStr">
        <is>
          <t>enk</t>
        </is>
      </c>
      <c r="Q883" t="inlineStr">
        <is>
          <t>The Practical approach series</t>
        </is>
      </c>
      <c r="R883" t="inlineStr">
        <is>
          <t xml:space="preserve">QH </t>
        </is>
      </c>
      <c r="S883" t="n">
        <v>4</v>
      </c>
      <c r="T883" t="n">
        <v>8</v>
      </c>
      <c r="U883" t="inlineStr">
        <is>
          <t>2005-02-02</t>
        </is>
      </c>
      <c r="V883" t="inlineStr">
        <is>
          <t>2005-02-02</t>
        </is>
      </c>
      <c r="W883" t="inlineStr">
        <is>
          <t>2003-06-09</t>
        </is>
      </c>
      <c r="X883" t="inlineStr">
        <is>
          <t>2003-06-09</t>
        </is>
      </c>
      <c r="Y883" t="n">
        <v>359</v>
      </c>
      <c r="Z883" t="n">
        <v>224</v>
      </c>
      <c r="AA883" t="n">
        <v>338</v>
      </c>
      <c r="AB883" t="n">
        <v>2</v>
      </c>
      <c r="AC883" t="n">
        <v>3</v>
      </c>
      <c r="AD883" t="n">
        <v>7</v>
      </c>
      <c r="AE883" t="n">
        <v>11</v>
      </c>
      <c r="AF883" t="n">
        <v>2</v>
      </c>
      <c r="AG883" t="n">
        <v>3</v>
      </c>
      <c r="AH883" t="n">
        <v>1</v>
      </c>
      <c r="AI883" t="n">
        <v>2</v>
      </c>
      <c r="AJ883" t="n">
        <v>5</v>
      </c>
      <c r="AK883" t="n">
        <v>8</v>
      </c>
      <c r="AL883" t="n">
        <v>1</v>
      </c>
      <c r="AM883" t="n">
        <v>2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HYPERLINK("http://catalog.hathitrust.org/Record/002465055","HathiTrust Record")</f>
        <v/>
      </c>
      <c r="AS883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3">
        <f>HYPERLINK("http://www.worldcat.org/oclc/22542731","WorldCat Record")</f>
        <v/>
      </c>
      <c r="AU883" t="inlineStr">
        <is>
          <t>10278620617:eng</t>
        </is>
      </c>
      <c r="AV883" t="inlineStr">
        <is>
          <t>22542731</t>
        </is>
      </c>
      <c r="AW883" t="inlineStr">
        <is>
          <t>991003999079702656</t>
        </is>
      </c>
      <c r="AX883" t="inlineStr">
        <is>
          <t>991003999079702656</t>
        </is>
      </c>
      <c r="AY883" t="inlineStr">
        <is>
          <t>2271173660002656</t>
        </is>
      </c>
      <c r="AZ883" t="inlineStr">
        <is>
          <t>BOOK</t>
        </is>
      </c>
      <c r="BB883" t="inlineStr">
        <is>
          <t>9780199631100</t>
        </is>
      </c>
      <c r="BC883" t="inlineStr">
        <is>
          <t>32285004750922</t>
        </is>
      </c>
      <c r="BD883" t="inlineStr">
        <is>
          <t>893712038</t>
        </is>
      </c>
    </row>
    <row r="884">
      <c r="A884" t="inlineStr">
        <is>
          <t>No</t>
        </is>
      </c>
      <c r="B884" t="inlineStr">
        <is>
          <t>QH442.2 .F5 1991</t>
        </is>
      </c>
      <c r="C884" t="inlineStr">
        <is>
          <t>0                      QH 0442200F  5           1991</t>
        </is>
      </c>
      <c r="D884" t="inlineStr">
        <is>
          <t>DNA cloning/sequencing workshop : a short course / Keith Firman.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Firman, Keith.</t>
        </is>
      </c>
      <c r="L884" t="inlineStr">
        <is>
          <t>New York : Ellis Horwood, 1991.</t>
        </is>
      </c>
      <c r="M884" t="inlineStr">
        <is>
          <t>1991</t>
        </is>
      </c>
      <c r="O884" t="inlineStr">
        <is>
          <t>eng</t>
        </is>
      </c>
      <c r="P884" t="inlineStr">
        <is>
          <t>nyu</t>
        </is>
      </c>
      <c r="Q884" t="inlineStr">
        <is>
          <t>Ellis Horwood series in biochemistry and biotechnology</t>
        </is>
      </c>
      <c r="R884" t="inlineStr">
        <is>
          <t xml:space="preserve">QH </t>
        </is>
      </c>
      <c r="S884" t="n">
        <v>8</v>
      </c>
      <c r="T884" t="n">
        <v>8</v>
      </c>
      <c r="U884" t="inlineStr">
        <is>
          <t>2002-02-28</t>
        </is>
      </c>
      <c r="V884" t="inlineStr">
        <is>
          <t>2002-02-28</t>
        </is>
      </c>
      <c r="W884" t="inlineStr">
        <is>
          <t>1995-02-03</t>
        </is>
      </c>
      <c r="X884" t="inlineStr">
        <is>
          <t>1995-02-03</t>
        </is>
      </c>
      <c r="Y884" t="n">
        <v>109</v>
      </c>
      <c r="Z884" t="n">
        <v>62</v>
      </c>
      <c r="AA884" t="n">
        <v>62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HYPERLINK("https://creighton-primo.hosted.exlibrisgroup.com/primo-explore/search?tab=default_tab&amp;search_scope=EVERYTHING&amp;vid=01CRU&amp;lang=en_US&amp;offset=0&amp;query=any,contains,991001875199702656","Catalog Record")</f>
        <v/>
      </c>
      <c r="AT884">
        <f>HYPERLINK("http://www.worldcat.org/oclc/29520255","WorldCat Record")</f>
        <v/>
      </c>
      <c r="AU884" t="inlineStr">
        <is>
          <t>795769969:eng</t>
        </is>
      </c>
      <c r="AV884" t="inlineStr">
        <is>
          <t>29520255</t>
        </is>
      </c>
      <c r="AW884" t="inlineStr">
        <is>
          <t>991001875199702656</t>
        </is>
      </c>
      <c r="AX884" t="inlineStr">
        <is>
          <t>991001875199702656</t>
        </is>
      </c>
      <c r="AY884" t="inlineStr">
        <is>
          <t>2272069570002656</t>
        </is>
      </c>
      <c r="AZ884" t="inlineStr">
        <is>
          <t>BOOK</t>
        </is>
      </c>
      <c r="BB884" t="inlineStr">
        <is>
          <t>9780132180412</t>
        </is>
      </c>
      <c r="BC884" t="inlineStr">
        <is>
          <t>32285001988269</t>
        </is>
      </c>
      <c r="BD884" t="inlineStr">
        <is>
          <t>893803965</t>
        </is>
      </c>
    </row>
    <row r="885">
      <c r="A885" t="inlineStr">
        <is>
          <t>No</t>
        </is>
      </c>
      <c r="B885" t="inlineStr">
        <is>
          <t>QH442.2 .G46 1987</t>
        </is>
      </c>
      <c r="C885" t="inlineStr">
        <is>
          <t>0                      QH 0442200G  46          1987</t>
        </is>
      </c>
      <c r="D885" t="inlineStr">
        <is>
          <t>Gene cloning and analysis : a laboratory guide / compiled by the staff of the University of Leicester gene cloning course and edited by G.J. Boulnois.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L885" t="inlineStr">
        <is>
          <t>Oxford ; Boston : Blackwell Scientific Publications, 1987.</t>
        </is>
      </c>
      <c r="M885" t="inlineStr">
        <is>
          <t>1987</t>
        </is>
      </c>
      <c r="O885" t="inlineStr">
        <is>
          <t>eng</t>
        </is>
      </c>
      <c r="P885" t="inlineStr">
        <is>
          <t>enk</t>
        </is>
      </c>
      <c r="R885" t="inlineStr">
        <is>
          <t xml:space="preserve">QH </t>
        </is>
      </c>
      <c r="S885" t="n">
        <v>8</v>
      </c>
      <c r="T885" t="n">
        <v>8</v>
      </c>
      <c r="U885" t="inlineStr">
        <is>
          <t>1995-02-21</t>
        </is>
      </c>
      <c r="V885" t="inlineStr">
        <is>
          <t>1995-02-21</t>
        </is>
      </c>
      <c r="W885" t="inlineStr">
        <is>
          <t>1993-04-07</t>
        </is>
      </c>
      <c r="X885" t="inlineStr">
        <is>
          <t>1993-04-07</t>
        </is>
      </c>
      <c r="Y885" t="n">
        <v>220</v>
      </c>
      <c r="Z885" t="n">
        <v>130</v>
      </c>
      <c r="AA885" t="n">
        <v>131</v>
      </c>
      <c r="AB885" t="n">
        <v>3</v>
      </c>
      <c r="AC885" t="n">
        <v>3</v>
      </c>
      <c r="AD885" t="n">
        <v>8</v>
      </c>
      <c r="AE885" t="n">
        <v>8</v>
      </c>
      <c r="AF885" t="n">
        <v>3</v>
      </c>
      <c r="AG885" t="n">
        <v>3</v>
      </c>
      <c r="AH885" t="n">
        <v>1</v>
      </c>
      <c r="AI885" t="n">
        <v>1</v>
      </c>
      <c r="AJ885" t="n">
        <v>6</v>
      </c>
      <c r="AK885" t="n">
        <v>6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HYPERLINK("https://creighton-primo.hosted.exlibrisgroup.com/primo-explore/search?tab=default_tab&amp;search_scope=EVERYTHING&amp;vid=01CRU&amp;lang=en_US&amp;offset=0&amp;query=any,contains,991001092649702656","Catalog Record")</f>
        <v/>
      </c>
      <c r="AT885">
        <f>HYPERLINK("http://www.worldcat.org/oclc/16226177","WorldCat Record")</f>
        <v/>
      </c>
      <c r="AU885" t="inlineStr">
        <is>
          <t>891226866:eng</t>
        </is>
      </c>
      <c r="AV885" t="inlineStr">
        <is>
          <t>16226177</t>
        </is>
      </c>
      <c r="AW885" t="inlineStr">
        <is>
          <t>991001092649702656</t>
        </is>
      </c>
      <c r="AX885" t="inlineStr">
        <is>
          <t>991001092649702656</t>
        </is>
      </c>
      <c r="AY885" t="inlineStr">
        <is>
          <t>2266397780002656</t>
        </is>
      </c>
      <c r="AZ885" t="inlineStr">
        <is>
          <t>BOOK</t>
        </is>
      </c>
      <c r="BB885" t="inlineStr">
        <is>
          <t>9780632019274</t>
        </is>
      </c>
      <c r="BC885" t="inlineStr">
        <is>
          <t>32285001554996</t>
        </is>
      </c>
      <c r="BD885" t="inlineStr">
        <is>
          <t>893878611</t>
        </is>
      </c>
    </row>
    <row r="886">
      <c r="A886" t="inlineStr">
        <is>
          <t>No</t>
        </is>
      </c>
      <c r="B886" t="inlineStr">
        <is>
          <t>QH442.2 .G50</t>
        </is>
      </c>
      <c r="C886" t="inlineStr">
        <is>
          <t>0                      QH 0442200G  50</t>
        </is>
      </c>
      <c r="D886" t="inlineStr">
        <is>
          <t>Genetic engineering--cloning DNA / David M. Glover.</t>
        </is>
      </c>
      <c r="F886" t="inlineStr">
        <is>
          <t>No</t>
        </is>
      </c>
      <c r="G886" t="inlineStr">
        <is>
          <t>1</t>
        </is>
      </c>
      <c r="H886" t="inlineStr">
        <is>
          <t>Yes</t>
        </is>
      </c>
      <c r="I886" t="inlineStr">
        <is>
          <t>No</t>
        </is>
      </c>
      <c r="J886" t="inlineStr">
        <is>
          <t>0</t>
        </is>
      </c>
      <c r="K886" t="inlineStr">
        <is>
          <t>Glover, David M.</t>
        </is>
      </c>
      <c r="L886" t="inlineStr">
        <is>
          <t>London ; New York : Chapman and Hall, 1980.</t>
        </is>
      </c>
      <c r="M886" t="inlineStr">
        <is>
          <t>1980</t>
        </is>
      </c>
      <c r="O886" t="inlineStr">
        <is>
          <t>eng</t>
        </is>
      </c>
      <c r="P886" t="inlineStr">
        <is>
          <t>enk</t>
        </is>
      </c>
      <c r="Q886" t="inlineStr">
        <is>
          <t>Outline studies in biology</t>
        </is>
      </c>
      <c r="R886" t="inlineStr">
        <is>
          <t xml:space="preserve">QH </t>
        </is>
      </c>
      <c r="S886" t="n">
        <v>11</v>
      </c>
      <c r="T886" t="n">
        <v>16</v>
      </c>
      <c r="U886" t="inlineStr">
        <is>
          <t>1995-09-27</t>
        </is>
      </c>
      <c r="V886" t="inlineStr">
        <is>
          <t>1996-06-18</t>
        </is>
      </c>
      <c r="W886" t="inlineStr">
        <is>
          <t>1993-04-07</t>
        </is>
      </c>
      <c r="X886" t="inlineStr">
        <is>
          <t>1993-04-07</t>
        </is>
      </c>
      <c r="Y886" t="n">
        <v>667</v>
      </c>
      <c r="Z886" t="n">
        <v>505</v>
      </c>
      <c r="AA886" t="n">
        <v>530</v>
      </c>
      <c r="AB886" t="n">
        <v>7</v>
      </c>
      <c r="AC886" t="n">
        <v>7</v>
      </c>
      <c r="AD886" t="n">
        <v>25</v>
      </c>
      <c r="AE886" t="n">
        <v>26</v>
      </c>
      <c r="AF886" t="n">
        <v>11</v>
      </c>
      <c r="AG886" t="n">
        <v>12</v>
      </c>
      <c r="AH886" t="n">
        <v>3</v>
      </c>
      <c r="AI886" t="n">
        <v>4</v>
      </c>
      <c r="AJ886" t="n">
        <v>12</v>
      </c>
      <c r="AK886" t="n">
        <v>12</v>
      </c>
      <c r="AL886" t="n">
        <v>5</v>
      </c>
      <c r="AM886" t="n">
        <v>5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HYPERLINK("http://catalog.hathitrust.org/Record/000140082","HathiTrust Record")</f>
        <v/>
      </c>
      <c r="AS886">
        <f>HYPERLINK("https://creighton-primo.hosted.exlibrisgroup.com/primo-explore/search?tab=default_tab&amp;search_scope=EVERYTHING&amp;vid=01CRU&amp;lang=en_US&amp;offset=0&amp;query=any,contains,991001770389702656","Catalog Record")</f>
        <v/>
      </c>
      <c r="AT886">
        <f>HYPERLINK("http://www.worldcat.org/oclc/25449004","WorldCat Record")</f>
        <v/>
      </c>
      <c r="AU886" t="inlineStr">
        <is>
          <t>146929385:eng</t>
        </is>
      </c>
      <c r="AV886" t="inlineStr">
        <is>
          <t>25449004</t>
        </is>
      </c>
      <c r="AW886" t="inlineStr">
        <is>
          <t>991001770389702656</t>
        </is>
      </c>
      <c r="AX886" t="inlineStr">
        <is>
          <t>991001770389702656</t>
        </is>
      </c>
      <c r="AY886" t="inlineStr">
        <is>
          <t>2263948420002656</t>
        </is>
      </c>
      <c r="AZ886" t="inlineStr">
        <is>
          <t>BOOK</t>
        </is>
      </c>
      <c r="BB886" t="inlineStr">
        <is>
          <t>9780412161704</t>
        </is>
      </c>
      <c r="BC886" t="inlineStr">
        <is>
          <t>32285001555001</t>
        </is>
      </c>
      <c r="BD886" t="inlineStr">
        <is>
          <t>893433120</t>
        </is>
      </c>
    </row>
    <row r="887">
      <c r="A887" t="inlineStr">
        <is>
          <t>No</t>
        </is>
      </c>
      <c r="B887" t="inlineStr">
        <is>
          <t>QH442.2 .K65 1998</t>
        </is>
      </c>
      <c r="C887" t="inlineStr">
        <is>
          <t>0                      QH 0442200K  65          1998</t>
        </is>
      </c>
      <c r="D887" t="inlineStr">
        <is>
          <t>Clone : the road to Dolly, and the path ahead / Gina Kolata.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Kolata, Gina Bari, 1948-</t>
        </is>
      </c>
      <c r="L887" t="inlineStr">
        <is>
          <t>New York : W. Morrow &amp; Co., c1998.</t>
        </is>
      </c>
      <c r="M887" t="inlineStr">
        <is>
          <t>1998</t>
        </is>
      </c>
      <c r="N887" t="inlineStr">
        <is>
          <t>1st ed.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QH </t>
        </is>
      </c>
      <c r="S887" t="n">
        <v>19</v>
      </c>
      <c r="T887" t="n">
        <v>19</v>
      </c>
      <c r="U887" t="inlineStr">
        <is>
          <t>2007-09-13</t>
        </is>
      </c>
      <c r="V887" t="inlineStr">
        <is>
          <t>2007-09-13</t>
        </is>
      </c>
      <c r="W887" t="inlineStr">
        <is>
          <t>1998-06-10</t>
        </is>
      </c>
      <c r="X887" t="inlineStr">
        <is>
          <t>1998-06-10</t>
        </is>
      </c>
      <c r="Y887" t="n">
        <v>2000</v>
      </c>
      <c r="Z887" t="n">
        <v>1862</v>
      </c>
      <c r="AA887" t="n">
        <v>1889</v>
      </c>
      <c r="AB887" t="n">
        <v>15</v>
      </c>
      <c r="AC887" t="n">
        <v>15</v>
      </c>
      <c r="AD887" t="n">
        <v>49</v>
      </c>
      <c r="AE887" t="n">
        <v>49</v>
      </c>
      <c r="AF887" t="n">
        <v>17</v>
      </c>
      <c r="AG887" t="n">
        <v>17</v>
      </c>
      <c r="AH887" t="n">
        <v>9</v>
      </c>
      <c r="AI887" t="n">
        <v>9</v>
      </c>
      <c r="AJ887" t="n">
        <v>20</v>
      </c>
      <c r="AK887" t="n">
        <v>20</v>
      </c>
      <c r="AL887" t="n">
        <v>7</v>
      </c>
      <c r="AM887" t="n">
        <v>7</v>
      </c>
      <c r="AN887" t="n">
        <v>6</v>
      </c>
      <c r="AO887" t="n">
        <v>6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HYPERLINK("https://creighton-primo.hosted.exlibrisgroup.com/primo-explore/search?tab=default_tab&amp;search_scope=EVERYTHING&amp;vid=01CRU&amp;lang=en_US&amp;offset=0&amp;query=any,contains,991002841419702656","Catalog Record")</f>
        <v/>
      </c>
      <c r="AT887">
        <f>HYPERLINK("http://www.worldcat.org/oclc/37437467","WorldCat Record")</f>
        <v/>
      </c>
      <c r="AU887" t="inlineStr">
        <is>
          <t>24117686:eng</t>
        </is>
      </c>
      <c r="AV887" t="inlineStr">
        <is>
          <t>37437467</t>
        </is>
      </c>
      <c r="AW887" t="inlineStr">
        <is>
          <t>991002841419702656</t>
        </is>
      </c>
      <c r="AX887" t="inlineStr">
        <is>
          <t>991002841419702656</t>
        </is>
      </c>
      <c r="AY887" t="inlineStr">
        <is>
          <t>2266866850002656</t>
        </is>
      </c>
      <c r="AZ887" t="inlineStr">
        <is>
          <t>BOOK</t>
        </is>
      </c>
      <c r="BB887" t="inlineStr">
        <is>
          <t>9780688156923</t>
        </is>
      </c>
      <c r="BC887" t="inlineStr">
        <is>
          <t>32285003414439</t>
        </is>
      </c>
      <c r="BD887" t="inlineStr">
        <is>
          <t>893886805</t>
        </is>
      </c>
    </row>
    <row r="888">
      <c r="A888" t="inlineStr">
        <is>
          <t>No</t>
        </is>
      </c>
      <c r="B888" t="inlineStr">
        <is>
          <t>QH442.2 .M26 1982</t>
        </is>
      </c>
      <c r="C888" t="inlineStr">
        <is>
          <t>0                      QH 0442200M  26          1982</t>
        </is>
      </c>
      <c r="D888" t="inlineStr">
        <is>
          <t>Molecular cloning : a laboratory manual / T. Maniatis, E. F. Fritsch, J. Sambrook.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Yes</t>
        </is>
      </c>
      <c r="J888" t="inlineStr">
        <is>
          <t>0</t>
        </is>
      </c>
      <c r="K888" t="inlineStr">
        <is>
          <t>Maniatis, Tom.</t>
        </is>
      </c>
      <c r="L888" t="inlineStr">
        <is>
          <t>Cold Spring Harbor, N.Y. : Cold Spring Harbor Laboratory, 1982.</t>
        </is>
      </c>
      <c r="M888" t="inlineStr">
        <is>
          <t>1982</t>
        </is>
      </c>
      <c r="O888" t="inlineStr">
        <is>
          <t>eng</t>
        </is>
      </c>
      <c r="P888" t="inlineStr">
        <is>
          <t>nyu</t>
        </is>
      </c>
      <c r="Q888" t="inlineStr">
        <is>
          <t>A Manual for genetic engineering</t>
        </is>
      </c>
      <c r="R888" t="inlineStr">
        <is>
          <t xml:space="preserve">QH </t>
        </is>
      </c>
      <c r="S888" t="n">
        <v>4</v>
      </c>
      <c r="T888" t="n">
        <v>4</v>
      </c>
      <c r="U888" t="inlineStr">
        <is>
          <t>1996-03-01</t>
        </is>
      </c>
      <c r="V888" t="inlineStr">
        <is>
          <t>1996-03-01</t>
        </is>
      </c>
      <c r="W888" t="inlineStr">
        <is>
          <t>1993-04-07</t>
        </is>
      </c>
      <c r="X888" t="inlineStr">
        <is>
          <t>1993-04-07</t>
        </is>
      </c>
      <c r="Y888" t="n">
        <v>582</v>
      </c>
      <c r="Z888" t="n">
        <v>395</v>
      </c>
      <c r="AA888" t="n">
        <v>1021</v>
      </c>
      <c r="AB888" t="n">
        <v>3</v>
      </c>
      <c r="AC888" t="n">
        <v>8</v>
      </c>
      <c r="AD888" t="n">
        <v>11</v>
      </c>
      <c r="AE888" t="n">
        <v>44</v>
      </c>
      <c r="AF888" t="n">
        <v>1</v>
      </c>
      <c r="AG888" t="n">
        <v>19</v>
      </c>
      <c r="AH888" t="n">
        <v>5</v>
      </c>
      <c r="AI888" t="n">
        <v>11</v>
      </c>
      <c r="AJ888" t="n">
        <v>7</v>
      </c>
      <c r="AK888" t="n">
        <v>20</v>
      </c>
      <c r="AL888" t="n">
        <v>2</v>
      </c>
      <c r="AM888" t="n">
        <v>6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HYPERLINK("http://catalog.hathitrust.org/Record/000191265","HathiTrust Record")</f>
        <v/>
      </c>
      <c r="AS888">
        <f>HYPERLINK("https://creighton-primo.hosted.exlibrisgroup.com/primo-explore/search?tab=default_tab&amp;search_scope=EVERYTHING&amp;vid=01CRU&amp;lang=en_US&amp;offset=0&amp;query=any,contains,991005187009702656","Catalog Record")</f>
        <v/>
      </c>
      <c r="AT888">
        <f>HYPERLINK("http://www.worldcat.org/oclc/7976996","WorldCat Record")</f>
        <v/>
      </c>
      <c r="AU888" t="inlineStr">
        <is>
          <t>819833657:eng</t>
        </is>
      </c>
      <c r="AV888" t="inlineStr">
        <is>
          <t>7976996</t>
        </is>
      </c>
      <c r="AW888" t="inlineStr">
        <is>
          <t>991005187009702656</t>
        </is>
      </c>
      <c r="AX888" t="inlineStr">
        <is>
          <t>991005187009702656</t>
        </is>
      </c>
      <c r="AY888" t="inlineStr">
        <is>
          <t>2262184130002656</t>
        </is>
      </c>
      <c r="AZ888" t="inlineStr">
        <is>
          <t>BOOK</t>
        </is>
      </c>
      <c r="BB888" t="inlineStr">
        <is>
          <t>9780879691363</t>
        </is>
      </c>
      <c r="BC888" t="inlineStr">
        <is>
          <t>32285001640019</t>
        </is>
      </c>
      <c r="BD888" t="inlineStr">
        <is>
          <t>893902267</t>
        </is>
      </c>
    </row>
    <row r="889">
      <c r="A889" t="inlineStr">
        <is>
          <t>No</t>
        </is>
      </c>
      <c r="B889" t="inlineStr">
        <is>
          <t>QH442.2 .M33 1978</t>
        </is>
      </c>
      <c r="C889" t="inlineStr">
        <is>
          <t>0                      QH 0442200M  33          1978</t>
        </is>
      </c>
      <c r="D889" t="inlineStr">
        <is>
          <t>Cloning--nuclear transplantation in amphibia : a critique of results obtained with the technique to which is added a discourse on the methods of the craft / Robert Gilmore McKinnell.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McKinnell, Robert Gilmore.</t>
        </is>
      </c>
      <c r="L889" t="inlineStr">
        <is>
          <t>Minneapolis : University of Minnesota Press, c1978.</t>
        </is>
      </c>
      <c r="M889" t="inlineStr">
        <is>
          <t>1978</t>
        </is>
      </c>
      <c r="O889" t="inlineStr">
        <is>
          <t>eng</t>
        </is>
      </c>
      <c r="P889" t="inlineStr">
        <is>
          <t>mnu</t>
        </is>
      </c>
      <c r="R889" t="inlineStr">
        <is>
          <t xml:space="preserve">QH </t>
        </is>
      </c>
      <c r="S889" t="n">
        <v>22</v>
      </c>
      <c r="T889" t="n">
        <v>22</v>
      </c>
      <c r="U889" t="inlineStr">
        <is>
          <t>2006-09-28</t>
        </is>
      </c>
      <c r="V889" t="inlineStr">
        <is>
          <t>2006-09-28</t>
        </is>
      </c>
      <c r="W889" t="inlineStr">
        <is>
          <t>1992-07-10</t>
        </is>
      </c>
      <c r="X889" t="inlineStr">
        <is>
          <t>1992-07-10</t>
        </is>
      </c>
      <c r="Y889" t="n">
        <v>519</v>
      </c>
      <c r="Z889" t="n">
        <v>469</v>
      </c>
      <c r="AA889" t="n">
        <v>469</v>
      </c>
      <c r="AB889" t="n">
        <v>4</v>
      </c>
      <c r="AC889" t="n">
        <v>4</v>
      </c>
      <c r="AD889" t="n">
        <v>21</v>
      </c>
      <c r="AE889" t="n">
        <v>21</v>
      </c>
      <c r="AF889" t="n">
        <v>8</v>
      </c>
      <c r="AG889" t="n">
        <v>8</v>
      </c>
      <c r="AH889" t="n">
        <v>7</v>
      </c>
      <c r="AI889" t="n">
        <v>7</v>
      </c>
      <c r="AJ889" t="n">
        <v>10</v>
      </c>
      <c r="AK889" t="n">
        <v>10</v>
      </c>
      <c r="AL889" t="n">
        <v>3</v>
      </c>
      <c r="AM889" t="n">
        <v>3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HYPERLINK("https://creighton-primo.hosted.exlibrisgroup.com/primo-explore/search?tab=default_tab&amp;search_scope=EVERYTHING&amp;vid=01CRU&amp;lang=en_US&amp;offset=0&amp;query=any,contains,991004595709702656","Catalog Record")</f>
        <v/>
      </c>
      <c r="AT889">
        <f>HYPERLINK("http://www.worldcat.org/oclc/4136585","WorldCat Record")</f>
        <v/>
      </c>
      <c r="AU889" t="inlineStr">
        <is>
          <t>8908840687:eng</t>
        </is>
      </c>
      <c r="AV889" t="inlineStr">
        <is>
          <t>4136585</t>
        </is>
      </c>
      <c r="AW889" t="inlineStr">
        <is>
          <t>991004595709702656</t>
        </is>
      </c>
      <c r="AX889" t="inlineStr">
        <is>
          <t>991004595709702656</t>
        </is>
      </c>
      <c r="AY889" t="inlineStr">
        <is>
          <t>2258163380002656</t>
        </is>
      </c>
      <c r="AZ889" t="inlineStr">
        <is>
          <t>BOOK</t>
        </is>
      </c>
      <c r="BB889" t="inlineStr">
        <is>
          <t>9780816608317</t>
        </is>
      </c>
      <c r="BC889" t="inlineStr">
        <is>
          <t>32285001188258</t>
        </is>
      </c>
      <c r="BD889" t="inlineStr">
        <is>
          <t>893593881</t>
        </is>
      </c>
    </row>
    <row r="890">
      <c r="A890" t="inlineStr">
        <is>
          <t>No</t>
        </is>
      </c>
      <c r="B890" t="inlineStr">
        <is>
          <t>QH442.2 .P47 1984</t>
        </is>
      </c>
      <c r="C890" t="inlineStr">
        <is>
          <t>0                      QH 0442200P  47          1984</t>
        </is>
      </c>
      <c r="D890" t="inlineStr">
        <is>
          <t>A practical guide to molecular cloning / Bernard Perbal.</t>
        </is>
      </c>
      <c r="F890" t="inlineStr">
        <is>
          <t>No</t>
        </is>
      </c>
      <c r="G890" t="inlineStr">
        <is>
          <t>1</t>
        </is>
      </c>
      <c r="H890" t="inlineStr">
        <is>
          <t>Yes</t>
        </is>
      </c>
      <c r="I890" t="inlineStr">
        <is>
          <t>Yes</t>
        </is>
      </c>
      <c r="J890" t="inlineStr">
        <is>
          <t>0</t>
        </is>
      </c>
      <c r="K890" t="inlineStr">
        <is>
          <t>Perbal, Bernard V.</t>
        </is>
      </c>
      <c r="L890" t="inlineStr">
        <is>
          <t>New York : Wiley, c1984.</t>
        </is>
      </c>
      <c r="M890" t="inlineStr">
        <is>
          <t>1984</t>
        </is>
      </c>
      <c r="O890" t="inlineStr">
        <is>
          <t>eng</t>
        </is>
      </c>
      <c r="P890" t="inlineStr">
        <is>
          <t>nyu</t>
        </is>
      </c>
      <c r="R890" t="inlineStr">
        <is>
          <t xml:space="preserve">QH </t>
        </is>
      </c>
      <c r="S890" t="n">
        <v>6</v>
      </c>
      <c r="T890" t="n">
        <v>6</v>
      </c>
      <c r="U890" t="inlineStr">
        <is>
          <t>1997-11-03</t>
        </is>
      </c>
      <c r="V890" t="inlineStr">
        <is>
          <t>1997-11-03</t>
        </is>
      </c>
      <c r="W890" t="inlineStr">
        <is>
          <t>1993-04-07</t>
        </is>
      </c>
      <c r="X890" t="inlineStr">
        <is>
          <t>1993-04-07</t>
        </is>
      </c>
      <c r="Y890" t="n">
        <v>505</v>
      </c>
      <c r="Z890" t="n">
        <v>400</v>
      </c>
      <c r="AA890" t="n">
        <v>550</v>
      </c>
      <c r="AB890" t="n">
        <v>4</v>
      </c>
      <c r="AC890" t="n">
        <v>7</v>
      </c>
      <c r="AD890" t="n">
        <v>17</v>
      </c>
      <c r="AE890" t="n">
        <v>21</v>
      </c>
      <c r="AF890" t="n">
        <v>4</v>
      </c>
      <c r="AG890" t="n">
        <v>6</v>
      </c>
      <c r="AH890" t="n">
        <v>6</v>
      </c>
      <c r="AI890" t="n">
        <v>6</v>
      </c>
      <c r="AJ890" t="n">
        <v>11</v>
      </c>
      <c r="AK890" t="n">
        <v>13</v>
      </c>
      <c r="AL890" t="n">
        <v>2</v>
      </c>
      <c r="AM890" t="n">
        <v>4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HYPERLINK("http://catalog.hathitrust.org/Record/000455717","HathiTrust Record")</f>
        <v/>
      </c>
      <c r="AS890">
        <f>HYPERLINK("https://creighton-primo.hosted.exlibrisgroup.com/primo-explore/search?tab=default_tab&amp;search_scope=EVERYTHING&amp;vid=01CRU&amp;lang=en_US&amp;offset=0&amp;query=any,contains,991000344659702656","Catalog Record")</f>
        <v/>
      </c>
      <c r="AT890">
        <f>HYPERLINK("http://www.worldcat.org/oclc/10277404","WorldCat Record")</f>
        <v/>
      </c>
      <c r="AU890" t="inlineStr">
        <is>
          <t>3463943:eng</t>
        </is>
      </c>
      <c r="AV890" t="inlineStr">
        <is>
          <t>10277404</t>
        </is>
      </c>
      <c r="AW890" t="inlineStr">
        <is>
          <t>991000344659702656</t>
        </is>
      </c>
      <c r="AX890" t="inlineStr">
        <is>
          <t>991000344659702656</t>
        </is>
      </c>
      <c r="AY890" t="inlineStr">
        <is>
          <t>2269092440002656</t>
        </is>
      </c>
      <c r="AZ890" t="inlineStr">
        <is>
          <t>BOOK</t>
        </is>
      </c>
      <c r="BB890" t="inlineStr">
        <is>
          <t>9780471876533</t>
        </is>
      </c>
      <c r="BC890" t="inlineStr">
        <is>
          <t>32285001640035</t>
        </is>
      </c>
      <c r="BD890" t="inlineStr">
        <is>
          <t>893237242</t>
        </is>
      </c>
    </row>
    <row r="891">
      <c r="A891" t="inlineStr">
        <is>
          <t>No</t>
        </is>
      </c>
      <c r="B891" t="inlineStr">
        <is>
          <t>QH442.6 .A54 1994</t>
        </is>
      </c>
      <c r="C891" t="inlineStr">
        <is>
          <t>0                      QH 0442600A  54          1994</t>
        </is>
      </c>
      <c r="D891" t="inlineStr">
        <is>
          <t>Animals with novel genes / edited by Norman Maclean.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Cambridge [England] ; New York, NY, USA : Cambridge University Press, 1994.</t>
        </is>
      </c>
      <c r="M891" t="inlineStr">
        <is>
          <t>1994</t>
        </is>
      </c>
      <c r="O891" t="inlineStr">
        <is>
          <t>eng</t>
        </is>
      </c>
      <c r="P891" t="inlineStr">
        <is>
          <t>enk</t>
        </is>
      </c>
      <c r="R891" t="inlineStr">
        <is>
          <t xml:space="preserve">QH </t>
        </is>
      </c>
      <c r="S891" t="n">
        <v>8</v>
      </c>
      <c r="T891" t="n">
        <v>8</v>
      </c>
      <c r="U891" t="inlineStr">
        <is>
          <t>2000-02-19</t>
        </is>
      </c>
      <c r="V891" t="inlineStr">
        <is>
          <t>2000-02-19</t>
        </is>
      </c>
      <c r="W891" t="inlineStr">
        <is>
          <t>1995-05-17</t>
        </is>
      </c>
      <c r="X891" t="inlineStr">
        <is>
          <t>1995-05-17</t>
        </is>
      </c>
      <c r="Y891" t="n">
        <v>401</v>
      </c>
      <c r="Z891" t="n">
        <v>303</v>
      </c>
      <c r="AA891" t="n">
        <v>320</v>
      </c>
      <c r="AB891" t="n">
        <v>3</v>
      </c>
      <c r="AC891" t="n">
        <v>3</v>
      </c>
      <c r="AD891" t="n">
        <v>16</v>
      </c>
      <c r="AE891" t="n">
        <v>16</v>
      </c>
      <c r="AF891" t="n">
        <v>7</v>
      </c>
      <c r="AG891" t="n">
        <v>7</v>
      </c>
      <c r="AH891" t="n">
        <v>4</v>
      </c>
      <c r="AI891" t="n">
        <v>4</v>
      </c>
      <c r="AJ891" t="n">
        <v>7</v>
      </c>
      <c r="AK891" t="n">
        <v>7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HYPERLINK("https://creighton-primo.hosted.exlibrisgroup.com/primo-explore/search?tab=default_tab&amp;search_scope=EVERYTHING&amp;vid=01CRU&amp;lang=en_US&amp;offset=0&amp;query=any,contains,991002318289702656","Catalog Record")</f>
        <v/>
      </c>
      <c r="AT891">
        <f>HYPERLINK("http://www.worldcat.org/oclc/30074881","WorldCat Record")</f>
        <v/>
      </c>
      <c r="AU891" t="inlineStr">
        <is>
          <t>896279016:eng</t>
        </is>
      </c>
      <c r="AV891" t="inlineStr">
        <is>
          <t>30074881</t>
        </is>
      </c>
      <c r="AW891" t="inlineStr">
        <is>
          <t>991002318289702656</t>
        </is>
      </c>
      <c r="AX891" t="inlineStr">
        <is>
          <t>991002318289702656</t>
        </is>
      </c>
      <c r="AY891" t="inlineStr">
        <is>
          <t>2258287840002656</t>
        </is>
      </c>
      <c r="AZ891" t="inlineStr">
        <is>
          <t>BOOK</t>
        </is>
      </c>
      <c r="BB891" t="inlineStr">
        <is>
          <t>9780521432566</t>
        </is>
      </c>
      <c r="BC891" t="inlineStr">
        <is>
          <t>32285002045762</t>
        </is>
      </c>
      <c r="BD891" t="inlineStr">
        <is>
          <t>893257146</t>
        </is>
      </c>
    </row>
    <row r="892">
      <c r="A892" t="inlineStr">
        <is>
          <t>No</t>
        </is>
      </c>
      <c r="B892" t="inlineStr">
        <is>
          <t>QH443 .C37 1977b</t>
        </is>
      </c>
      <c r="C892" t="inlineStr">
        <is>
          <t>0                      QH 0443000C  37          1977b</t>
        </is>
      </c>
      <c r="D892" t="inlineStr">
        <is>
          <t>The genetics of recombination / D. G. Catcheside.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Catcheside, D. G.</t>
        </is>
      </c>
      <c r="L892" t="inlineStr">
        <is>
          <t>Baltimore : University Park Press, 1977.</t>
        </is>
      </c>
      <c r="M892" t="inlineStr">
        <is>
          <t>1977</t>
        </is>
      </c>
      <c r="O892" t="inlineStr">
        <is>
          <t>eng</t>
        </is>
      </c>
      <c r="P892" t="inlineStr">
        <is>
          <t>mdu</t>
        </is>
      </c>
      <c r="Q892" t="inlineStr">
        <is>
          <t>Genetics, principles and perspectives ; 2</t>
        </is>
      </c>
      <c r="R892" t="inlineStr">
        <is>
          <t xml:space="preserve">QH </t>
        </is>
      </c>
      <c r="S892" t="n">
        <v>1</v>
      </c>
      <c r="T892" t="n">
        <v>1</v>
      </c>
      <c r="U892" t="inlineStr">
        <is>
          <t>1997-03-04</t>
        </is>
      </c>
      <c r="V892" t="inlineStr">
        <is>
          <t>1997-03-04</t>
        </is>
      </c>
      <c r="W892" t="inlineStr">
        <is>
          <t>1995-03-23</t>
        </is>
      </c>
      <c r="X892" t="inlineStr">
        <is>
          <t>1995-03-23</t>
        </is>
      </c>
      <c r="Y892" t="n">
        <v>309</v>
      </c>
      <c r="Z892" t="n">
        <v>288</v>
      </c>
      <c r="AA892" t="n">
        <v>333</v>
      </c>
      <c r="AB892" t="n">
        <v>2</v>
      </c>
      <c r="AC892" t="n">
        <v>3</v>
      </c>
      <c r="AD892" t="n">
        <v>10</v>
      </c>
      <c r="AE892" t="n">
        <v>13</v>
      </c>
      <c r="AF892" t="n">
        <v>5</v>
      </c>
      <c r="AG892" t="n">
        <v>7</v>
      </c>
      <c r="AH892" t="n">
        <v>3</v>
      </c>
      <c r="AI892" t="n">
        <v>3</v>
      </c>
      <c r="AJ892" t="n">
        <v>6</v>
      </c>
      <c r="AK892" t="n">
        <v>7</v>
      </c>
      <c r="AL892" t="n">
        <v>1</v>
      </c>
      <c r="AM892" t="n">
        <v>2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HYPERLINK("http://catalog.hathitrust.org/Record/000751337","HathiTrust Record")</f>
        <v/>
      </c>
      <c r="AS892">
        <f>HYPERLINK("https://creighton-primo.hosted.exlibrisgroup.com/primo-explore/search?tab=default_tab&amp;search_scope=EVERYTHING&amp;vid=01CRU&amp;lang=en_US&amp;offset=0&amp;query=any,contains,991004425399702656","Catalog Record")</f>
        <v/>
      </c>
      <c r="AT892">
        <f>HYPERLINK("http://www.worldcat.org/oclc/3397133","WorldCat Record")</f>
        <v/>
      </c>
      <c r="AU892" t="inlineStr">
        <is>
          <t>10285481:eng</t>
        </is>
      </c>
      <c r="AV892" t="inlineStr">
        <is>
          <t>3397133</t>
        </is>
      </c>
      <c r="AW892" t="inlineStr">
        <is>
          <t>991004425399702656</t>
        </is>
      </c>
      <c r="AX892" t="inlineStr">
        <is>
          <t>991004425399702656</t>
        </is>
      </c>
      <c r="AY892" t="inlineStr">
        <is>
          <t>2267240480002656</t>
        </is>
      </c>
      <c r="AZ892" t="inlineStr">
        <is>
          <t>BOOK</t>
        </is>
      </c>
      <c r="BB892" t="inlineStr">
        <is>
          <t>9780839111962</t>
        </is>
      </c>
      <c r="BC892" t="inlineStr">
        <is>
          <t>32285002013166</t>
        </is>
      </c>
      <c r="BD892" t="inlineStr">
        <is>
          <t>893618650</t>
        </is>
      </c>
    </row>
    <row r="893">
      <c r="A893" t="inlineStr">
        <is>
          <t>No</t>
        </is>
      </c>
      <c r="B893" t="inlineStr">
        <is>
          <t>QH443 .E96 1988</t>
        </is>
      </c>
      <c r="C893" t="inlineStr">
        <is>
          <t>0                      QH 0443000E  96          1988</t>
        </is>
      </c>
      <c r="D893" t="inlineStr">
        <is>
          <t>The Evolution of sex : an examination of current ideas / edited by Richard E. Michod and Bruce R. Levin.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L893" t="inlineStr">
        <is>
          <t>Sunderland, Mass. : Sinauer Associates, c1988.</t>
        </is>
      </c>
      <c r="M893" t="inlineStr">
        <is>
          <t>1988</t>
        </is>
      </c>
      <c r="O893" t="inlineStr">
        <is>
          <t>eng</t>
        </is>
      </c>
      <c r="P893" t="inlineStr">
        <is>
          <t>mau</t>
        </is>
      </c>
      <c r="R893" t="inlineStr">
        <is>
          <t xml:space="preserve">QH </t>
        </is>
      </c>
      <c r="S893" t="n">
        <v>8</v>
      </c>
      <c r="T893" t="n">
        <v>8</v>
      </c>
      <c r="U893" t="inlineStr">
        <is>
          <t>2008-11-25</t>
        </is>
      </c>
      <c r="V893" t="inlineStr">
        <is>
          <t>2008-11-25</t>
        </is>
      </c>
      <c r="W893" t="inlineStr">
        <is>
          <t>1993-04-12</t>
        </is>
      </c>
      <c r="X893" t="inlineStr">
        <is>
          <t>1993-04-12</t>
        </is>
      </c>
      <c r="Y893" t="n">
        <v>656</v>
      </c>
      <c r="Z893" t="n">
        <v>527</v>
      </c>
      <c r="AA893" t="n">
        <v>535</v>
      </c>
      <c r="AB893" t="n">
        <v>4</v>
      </c>
      <c r="AC893" t="n">
        <v>4</v>
      </c>
      <c r="AD893" t="n">
        <v>24</v>
      </c>
      <c r="AE893" t="n">
        <v>24</v>
      </c>
      <c r="AF893" t="n">
        <v>10</v>
      </c>
      <c r="AG893" t="n">
        <v>10</v>
      </c>
      <c r="AH893" t="n">
        <v>4</v>
      </c>
      <c r="AI893" t="n">
        <v>4</v>
      </c>
      <c r="AJ893" t="n">
        <v>14</v>
      </c>
      <c r="AK893" t="n">
        <v>14</v>
      </c>
      <c r="AL893" t="n">
        <v>3</v>
      </c>
      <c r="AM893" t="n">
        <v>3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HYPERLINK("http://catalog.hathitrust.org/Record/000881193","HathiTrust Record")</f>
        <v/>
      </c>
      <c r="AS893">
        <f>HYPERLINK("https://creighton-primo.hosted.exlibrisgroup.com/primo-explore/search?tab=default_tab&amp;search_scope=EVERYTHING&amp;vid=01CRU&amp;lang=en_US&amp;offset=0&amp;query=any,contains,991001145249702656","Catalog Record")</f>
        <v/>
      </c>
      <c r="AT893">
        <f>HYPERLINK("http://www.worldcat.org/oclc/16758907","WorldCat Record")</f>
        <v/>
      </c>
      <c r="AU893" t="inlineStr">
        <is>
          <t>889784970:eng</t>
        </is>
      </c>
      <c r="AV893" t="inlineStr">
        <is>
          <t>16758907</t>
        </is>
      </c>
      <c r="AW893" t="inlineStr">
        <is>
          <t>991001145249702656</t>
        </is>
      </c>
      <c r="AX893" t="inlineStr">
        <is>
          <t>991001145249702656</t>
        </is>
      </c>
      <c r="AY893" t="inlineStr">
        <is>
          <t>2264226080002656</t>
        </is>
      </c>
      <c r="AZ893" t="inlineStr">
        <is>
          <t>BOOK</t>
        </is>
      </c>
      <c r="BB893" t="inlineStr">
        <is>
          <t>9780878934591</t>
        </is>
      </c>
      <c r="BC893" t="inlineStr">
        <is>
          <t>32285001640050</t>
        </is>
      </c>
      <c r="BD893" t="inlineStr">
        <is>
          <t>893413994</t>
        </is>
      </c>
    </row>
    <row r="894">
      <c r="A894" t="inlineStr">
        <is>
          <t>No</t>
        </is>
      </c>
      <c r="B894" t="inlineStr">
        <is>
          <t>QH443 .G44 1990</t>
        </is>
      </c>
      <c r="C894" t="inlineStr">
        <is>
          <t>0                      QH 0443000G  44          1990</t>
        </is>
      </c>
      <c r="D894" t="inlineStr">
        <is>
          <t>Gene rearrangement / edited by B.D. Hames and D.M. Glover.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L894" t="inlineStr">
        <is>
          <t>Oxford [England] ; New York : IRL Press, c1990.</t>
        </is>
      </c>
      <c r="M894" t="inlineStr">
        <is>
          <t>1990</t>
        </is>
      </c>
      <c r="O894" t="inlineStr">
        <is>
          <t>eng</t>
        </is>
      </c>
      <c r="P894" t="inlineStr">
        <is>
          <t>enk</t>
        </is>
      </c>
      <c r="Q894" t="inlineStr">
        <is>
          <t>Frontiers in molecular biology</t>
        </is>
      </c>
      <c r="R894" t="inlineStr">
        <is>
          <t xml:space="preserve">QH </t>
        </is>
      </c>
      <c r="S894" t="n">
        <v>5</v>
      </c>
      <c r="T894" t="n">
        <v>5</v>
      </c>
      <c r="U894" t="inlineStr">
        <is>
          <t>2006-09-24</t>
        </is>
      </c>
      <c r="V894" t="inlineStr">
        <is>
          <t>2006-09-24</t>
        </is>
      </c>
      <c r="W894" t="inlineStr">
        <is>
          <t>1991-05-08</t>
        </is>
      </c>
      <c r="X894" t="inlineStr">
        <is>
          <t>1991-05-08</t>
        </is>
      </c>
      <c r="Y894" t="n">
        <v>275</v>
      </c>
      <c r="Z894" t="n">
        <v>195</v>
      </c>
      <c r="AA894" t="n">
        <v>204</v>
      </c>
      <c r="AB894" t="n">
        <v>2</v>
      </c>
      <c r="AC894" t="n">
        <v>2</v>
      </c>
      <c r="AD894" t="n">
        <v>8</v>
      </c>
      <c r="AE894" t="n">
        <v>8</v>
      </c>
      <c r="AF894" t="n">
        <v>1</v>
      </c>
      <c r="AG894" t="n">
        <v>1</v>
      </c>
      <c r="AH894" t="n">
        <v>2</v>
      </c>
      <c r="AI894" t="n">
        <v>2</v>
      </c>
      <c r="AJ894" t="n">
        <v>5</v>
      </c>
      <c r="AK894" t="n">
        <v>5</v>
      </c>
      <c r="AL894" t="n">
        <v>1</v>
      </c>
      <c r="AM894" t="n">
        <v>1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HYPERLINK("http://catalog.hathitrust.org/Record/002204799","HathiTrust Record")</f>
        <v/>
      </c>
      <c r="AS894">
        <f>HYPERLINK("https://creighton-primo.hosted.exlibrisgroup.com/primo-explore/search?tab=default_tab&amp;search_scope=EVERYTHING&amp;vid=01CRU&amp;lang=en_US&amp;offset=0&amp;query=any,contains,991001559279702656","Catalog Record")</f>
        <v/>
      </c>
      <c r="AT894">
        <f>HYPERLINK("http://www.worldcat.org/oclc/20295904","WorldCat Record")</f>
        <v/>
      </c>
      <c r="AU894" t="inlineStr">
        <is>
          <t>375479205:eng</t>
        </is>
      </c>
      <c r="AV894" t="inlineStr">
        <is>
          <t>20295904</t>
        </is>
      </c>
      <c r="AW894" t="inlineStr">
        <is>
          <t>991001559279702656</t>
        </is>
      </c>
      <c r="AX894" t="inlineStr">
        <is>
          <t>991001559279702656</t>
        </is>
      </c>
      <c r="AY894" t="inlineStr">
        <is>
          <t>2261819990002656</t>
        </is>
      </c>
      <c r="AZ894" t="inlineStr">
        <is>
          <t>BOOK</t>
        </is>
      </c>
      <c r="BB894" t="inlineStr">
        <is>
          <t>9780199630516</t>
        </is>
      </c>
      <c r="BC894" t="inlineStr">
        <is>
          <t>32285000571603</t>
        </is>
      </c>
      <c r="BD894" t="inlineStr">
        <is>
          <t>893690686</t>
        </is>
      </c>
    </row>
    <row r="895">
      <c r="A895" t="inlineStr">
        <is>
          <t>No</t>
        </is>
      </c>
      <c r="B895" t="inlineStr">
        <is>
          <t>QH443 .M44 1992</t>
        </is>
      </c>
      <c r="C895" t="inlineStr">
        <is>
          <t>0                      QH 0443000M  44          1992</t>
        </is>
      </c>
      <c r="D895" t="inlineStr">
        <is>
          <t>Mechanisms of eukaryotic DNA recombination / edited by Max E. Gottesman, Henry J. Vogel.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San Diego : Academic Press, c1992.</t>
        </is>
      </c>
      <c r="M895" t="inlineStr">
        <is>
          <t>1992</t>
        </is>
      </c>
      <c r="O895" t="inlineStr">
        <is>
          <t>eng</t>
        </is>
      </c>
      <c r="P895" t="inlineStr">
        <is>
          <t>cau</t>
        </is>
      </c>
      <c r="R895" t="inlineStr">
        <is>
          <t xml:space="preserve">QH </t>
        </is>
      </c>
      <c r="S895" t="n">
        <v>18</v>
      </c>
      <c r="T895" t="n">
        <v>18</v>
      </c>
      <c r="U895" t="inlineStr">
        <is>
          <t>2008-09-25</t>
        </is>
      </c>
      <c r="V895" t="inlineStr">
        <is>
          <t>2008-09-25</t>
        </is>
      </c>
      <c r="W895" t="inlineStr">
        <is>
          <t>1993-01-28</t>
        </is>
      </c>
      <c r="X895" t="inlineStr">
        <is>
          <t>1993-01-28</t>
        </is>
      </c>
      <c r="Y895" t="n">
        <v>239</v>
      </c>
      <c r="Z895" t="n">
        <v>169</v>
      </c>
      <c r="AA895" t="n">
        <v>216</v>
      </c>
      <c r="AB895" t="n">
        <v>2</v>
      </c>
      <c r="AC895" t="n">
        <v>3</v>
      </c>
      <c r="AD895" t="n">
        <v>7</v>
      </c>
      <c r="AE895" t="n">
        <v>11</v>
      </c>
      <c r="AF895" t="n">
        <v>2</v>
      </c>
      <c r="AG895" t="n">
        <v>4</v>
      </c>
      <c r="AH895" t="n">
        <v>3</v>
      </c>
      <c r="AI895" t="n">
        <v>5</v>
      </c>
      <c r="AJ895" t="n">
        <v>3</v>
      </c>
      <c r="AK895" t="n">
        <v>3</v>
      </c>
      <c r="AL895" t="n">
        <v>1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HYPERLINK("http://catalog.hathitrust.org/Record/002553270","HathiTrust Record")</f>
        <v/>
      </c>
      <c r="AS895">
        <f>HYPERLINK("https://creighton-primo.hosted.exlibrisgroup.com/primo-explore/search?tab=default_tab&amp;search_scope=EVERYTHING&amp;vid=01CRU&amp;lang=en_US&amp;offset=0&amp;query=any,contains,991001991059702656","Catalog Record")</f>
        <v/>
      </c>
      <c r="AT895">
        <f>HYPERLINK("http://www.worldcat.org/oclc/25282918","WorldCat Record")</f>
        <v/>
      </c>
      <c r="AU895" t="inlineStr">
        <is>
          <t>353955208:eng</t>
        </is>
      </c>
      <c r="AV895" t="inlineStr">
        <is>
          <t>25282918</t>
        </is>
      </c>
      <c r="AW895" t="inlineStr">
        <is>
          <t>991001991059702656</t>
        </is>
      </c>
      <c r="AX895" t="inlineStr">
        <is>
          <t>991001991059702656</t>
        </is>
      </c>
      <c r="AY895" t="inlineStr">
        <is>
          <t>2271227170002656</t>
        </is>
      </c>
      <c r="AZ895" t="inlineStr">
        <is>
          <t>BOOK</t>
        </is>
      </c>
      <c r="BB895" t="inlineStr">
        <is>
          <t>9780122934452</t>
        </is>
      </c>
      <c r="BC895" t="inlineStr">
        <is>
          <t>32285001448496</t>
        </is>
      </c>
      <c r="BD895" t="inlineStr">
        <is>
          <t>893603074</t>
        </is>
      </c>
    </row>
    <row r="896">
      <c r="A896" t="inlineStr">
        <is>
          <t>No</t>
        </is>
      </c>
      <c r="B896" t="inlineStr">
        <is>
          <t>QH443 .W48 1982</t>
        </is>
      </c>
      <c r="C896" t="inlineStr">
        <is>
          <t>0                      QH 0443000W  48          1982</t>
        </is>
      </c>
      <c r="D896" t="inlineStr">
        <is>
          <t>Genetic recombination : understanding the mechanisms / Harold L.K. Whitehouse.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Whitehouse, H. L. K. (Harold L. K.)</t>
        </is>
      </c>
      <c r="L896" t="inlineStr">
        <is>
          <t>Chichester ; New York : Wiley, c1982, 1984 printing.</t>
        </is>
      </c>
      <c r="M896" t="inlineStr">
        <is>
          <t>1982</t>
        </is>
      </c>
      <c r="O896" t="inlineStr">
        <is>
          <t>eng</t>
        </is>
      </c>
      <c r="P896" t="inlineStr">
        <is>
          <t>enk</t>
        </is>
      </c>
      <c r="R896" t="inlineStr">
        <is>
          <t xml:space="preserve">QH </t>
        </is>
      </c>
      <c r="S896" t="n">
        <v>3</v>
      </c>
      <c r="T896" t="n">
        <v>3</v>
      </c>
      <c r="U896" t="inlineStr">
        <is>
          <t>2002-02-26</t>
        </is>
      </c>
      <c r="V896" t="inlineStr">
        <is>
          <t>2002-02-26</t>
        </is>
      </c>
      <c r="W896" t="inlineStr">
        <is>
          <t>1993-04-12</t>
        </is>
      </c>
      <c r="X896" t="inlineStr">
        <is>
          <t>1993-04-12</t>
        </is>
      </c>
      <c r="Y896" t="n">
        <v>393</v>
      </c>
      <c r="Z896" t="n">
        <v>270</v>
      </c>
      <c r="AA896" t="n">
        <v>272</v>
      </c>
      <c r="AB896" t="n">
        <v>1</v>
      </c>
      <c r="AC896" t="n">
        <v>1</v>
      </c>
      <c r="AD896" t="n">
        <v>9</v>
      </c>
      <c r="AE896" t="n">
        <v>9</v>
      </c>
      <c r="AF896" t="n">
        <v>3</v>
      </c>
      <c r="AG896" t="n">
        <v>3</v>
      </c>
      <c r="AH896" t="n">
        <v>3</v>
      </c>
      <c r="AI896" t="n">
        <v>3</v>
      </c>
      <c r="AJ896" t="n">
        <v>6</v>
      </c>
      <c r="AK896" t="n">
        <v>6</v>
      </c>
      <c r="AL896" t="n">
        <v>0</v>
      </c>
      <c r="AM896" t="n">
        <v>0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HYPERLINK("http://catalog.hathitrust.org/Record/000107017","HathiTrust Record")</f>
        <v/>
      </c>
      <c r="AS896">
        <f>HYPERLINK("https://creighton-primo.hosted.exlibrisgroup.com/primo-explore/search?tab=default_tab&amp;search_scope=EVERYTHING&amp;vid=01CRU&amp;lang=en_US&amp;offset=0&amp;query=any,contains,991005257419702656","Catalog Record")</f>
        <v/>
      </c>
      <c r="AT896">
        <f>HYPERLINK("http://www.worldcat.org/oclc/8031814","WorldCat Record")</f>
        <v/>
      </c>
      <c r="AU896" t="inlineStr">
        <is>
          <t>197731994:eng</t>
        </is>
      </c>
      <c r="AV896" t="inlineStr">
        <is>
          <t>8031814</t>
        </is>
      </c>
      <c r="AW896" t="inlineStr">
        <is>
          <t>991005257419702656</t>
        </is>
      </c>
      <c r="AX896" t="inlineStr">
        <is>
          <t>991005257419702656</t>
        </is>
      </c>
      <c r="AY896" t="inlineStr">
        <is>
          <t>2259462970002656</t>
        </is>
      </c>
      <c r="AZ896" t="inlineStr">
        <is>
          <t>BOOK</t>
        </is>
      </c>
      <c r="BB896" t="inlineStr">
        <is>
          <t>9780471102052</t>
        </is>
      </c>
      <c r="BC896" t="inlineStr">
        <is>
          <t>32285001640068</t>
        </is>
      </c>
      <c r="BD896" t="inlineStr">
        <is>
          <t>893695011</t>
        </is>
      </c>
    </row>
    <row r="897">
      <c r="A897" t="inlineStr">
        <is>
          <t>No</t>
        </is>
      </c>
      <c r="B897" t="inlineStr">
        <is>
          <t>QH445.2 .G466 1993</t>
        </is>
      </c>
      <c r="C897" t="inlineStr">
        <is>
          <t>0                      QH 0445200G  466         1993</t>
        </is>
      </c>
      <c r="D897" t="inlineStr">
        <is>
          <t>Genome rearrangement and stability / edited by Kay E. Davies, Stephen T. Warren.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L897" t="inlineStr">
        <is>
          <t>Plainview, N.Y. : Cold Spring Harbor Laboratory Press, 1993.</t>
        </is>
      </c>
      <c r="M897" t="inlineStr">
        <is>
          <t>1993</t>
        </is>
      </c>
      <c r="O897" t="inlineStr">
        <is>
          <t>eng</t>
        </is>
      </c>
      <c r="P897" t="inlineStr">
        <is>
          <t>nyu</t>
        </is>
      </c>
      <c r="Q897" t="inlineStr">
        <is>
          <t>Genome analysis, 1050-8430 ; v. 7</t>
        </is>
      </c>
      <c r="R897" t="inlineStr">
        <is>
          <t xml:space="preserve">QH </t>
        </is>
      </c>
      <c r="S897" t="n">
        <v>6</v>
      </c>
      <c r="T897" t="n">
        <v>6</v>
      </c>
      <c r="U897" t="inlineStr">
        <is>
          <t>2001-09-19</t>
        </is>
      </c>
      <c r="V897" t="inlineStr">
        <is>
          <t>2001-09-19</t>
        </is>
      </c>
      <c r="W897" t="inlineStr">
        <is>
          <t>1994-05-06</t>
        </is>
      </c>
      <c r="X897" t="inlineStr">
        <is>
          <t>1994-05-06</t>
        </is>
      </c>
      <c r="Y897" t="n">
        <v>174</v>
      </c>
      <c r="Z897" t="n">
        <v>133</v>
      </c>
      <c r="AA897" t="n">
        <v>140</v>
      </c>
      <c r="AB897" t="n">
        <v>2</v>
      </c>
      <c r="AC897" t="n">
        <v>2</v>
      </c>
      <c r="AD897" t="n">
        <v>4</v>
      </c>
      <c r="AE897" t="n">
        <v>4</v>
      </c>
      <c r="AF897" t="n">
        <v>0</v>
      </c>
      <c r="AG897" t="n">
        <v>0</v>
      </c>
      <c r="AH897" t="n">
        <v>0</v>
      </c>
      <c r="AI897" t="n">
        <v>0</v>
      </c>
      <c r="AJ897" t="n">
        <v>3</v>
      </c>
      <c r="AK897" t="n">
        <v>3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HYPERLINK("http://catalog.hathitrust.org/Record/002884839","HathiTrust Record")</f>
        <v/>
      </c>
      <c r="AS897">
        <f>HYPERLINK("https://creighton-primo.hosted.exlibrisgroup.com/primo-explore/search?tab=default_tab&amp;search_scope=EVERYTHING&amp;vid=01CRU&amp;lang=en_US&amp;offset=0&amp;query=any,contains,991002316179702656","Catalog Record")</f>
        <v/>
      </c>
      <c r="AT897">
        <f>HYPERLINK("http://www.worldcat.org/oclc/30053812","WorldCat Record")</f>
        <v/>
      </c>
      <c r="AU897" t="inlineStr">
        <is>
          <t>365307275:eng</t>
        </is>
      </c>
      <c r="AV897" t="inlineStr">
        <is>
          <t>30053812</t>
        </is>
      </c>
      <c r="AW897" t="inlineStr">
        <is>
          <t>991002316179702656</t>
        </is>
      </c>
      <c r="AX897" t="inlineStr">
        <is>
          <t>991002316179702656</t>
        </is>
      </c>
      <c r="AY897" t="inlineStr">
        <is>
          <t>2258081480002656</t>
        </is>
      </c>
      <c r="AZ897" t="inlineStr">
        <is>
          <t>BOOK</t>
        </is>
      </c>
      <c r="BB897" t="inlineStr">
        <is>
          <t>9780879693886</t>
        </is>
      </c>
      <c r="BC897" t="inlineStr">
        <is>
          <t>32285001878411</t>
        </is>
      </c>
      <c r="BD897" t="inlineStr">
        <is>
          <t>893328928</t>
        </is>
      </c>
    </row>
    <row r="898">
      <c r="A898" t="inlineStr">
        <is>
          <t>No</t>
        </is>
      </c>
      <c r="B898" t="inlineStr">
        <is>
          <t>QH445.2 .J87 1994</t>
        </is>
      </c>
      <c r="C898" t="inlineStr">
        <is>
          <t>0                      QH 0445200J  87          1994</t>
        </is>
      </c>
      <c r="D898" t="inlineStr">
        <is>
          <t>Justice and the human genome project / Timothy F. Murphy and Marc A. Lappé, editors.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Berkeley : University of California Press, c1994.</t>
        </is>
      </c>
      <c r="M898" t="inlineStr">
        <is>
          <t>1994</t>
        </is>
      </c>
      <c r="O898" t="inlineStr">
        <is>
          <t>eng</t>
        </is>
      </c>
      <c r="P898" t="inlineStr">
        <is>
          <t>cau</t>
        </is>
      </c>
      <c r="R898" t="inlineStr">
        <is>
          <t xml:space="preserve">QH </t>
        </is>
      </c>
      <c r="S898" t="n">
        <v>36</v>
      </c>
      <c r="T898" t="n">
        <v>36</v>
      </c>
      <c r="U898" t="inlineStr">
        <is>
          <t>2004-03-23</t>
        </is>
      </c>
      <c r="V898" t="inlineStr">
        <is>
          <t>2004-03-23</t>
        </is>
      </c>
      <c r="W898" t="inlineStr">
        <is>
          <t>1995-01-04</t>
        </is>
      </c>
      <c r="X898" t="inlineStr">
        <is>
          <t>1995-01-04</t>
        </is>
      </c>
      <c r="Y898" t="n">
        <v>622</v>
      </c>
      <c r="Z898" t="n">
        <v>550</v>
      </c>
      <c r="AA898" t="n">
        <v>646</v>
      </c>
      <c r="AB898" t="n">
        <v>4</v>
      </c>
      <c r="AC898" t="n">
        <v>4</v>
      </c>
      <c r="AD898" t="n">
        <v>37</v>
      </c>
      <c r="AE898" t="n">
        <v>39</v>
      </c>
      <c r="AF898" t="n">
        <v>12</v>
      </c>
      <c r="AG898" t="n">
        <v>13</v>
      </c>
      <c r="AH898" t="n">
        <v>8</v>
      </c>
      <c r="AI898" t="n">
        <v>8</v>
      </c>
      <c r="AJ898" t="n">
        <v>15</v>
      </c>
      <c r="AK898" t="n">
        <v>16</v>
      </c>
      <c r="AL898" t="n">
        <v>3</v>
      </c>
      <c r="AM898" t="n">
        <v>3</v>
      </c>
      <c r="AN898" t="n">
        <v>8</v>
      </c>
      <c r="AO898" t="n">
        <v>8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HYPERLINK("https://creighton-primo.hosted.exlibrisgroup.com/primo-explore/search?tab=default_tab&amp;search_scope=EVERYTHING&amp;vid=01CRU&amp;lang=en_US&amp;offset=0&amp;query=any,contains,991002139429702656","Catalog Record")</f>
        <v/>
      </c>
      <c r="AT898">
        <f>HYPERLINK("http://www.worldcat.org/oclc/27430897","WorldCat Record")</f>
        <v/>
      </c>
      <c r="AU898" t="inlineStr">
        <is>
          <t>350575847:eng</t>
        </is>
      </c>
      <c r="AV898" t="inlineStr">
        <is>
          <t>27430897</t>
        </is>
      </c>
      <c r="AW898" t="inlineStr">
        <is>
          <t>991002139429702656</t>
        </is>
      </c>
      <c r="AX898" t="inlineStr">
        <is>
          <t>991002139429702656</t>
        </is>
      </c>
      <c r="AY898" t="inlineStr">
        <is>
          <t>2265968600002656</t>
        </is>
      </c>
      <c r="AZ898" t="inlineStr">
        <is>
          <t>BOOK</t>
        </is>
      </c>
      <c r="BB898" t="inlineStr">
        <is>
          <t>9780520083639</t>
        </is>
      </c>
      <c r="BC898" t="inlineStr">
        <is>
          <t>32285001990844</t>
        </is>
      </c>
      <c r="BD898" t="inlineStr">
        <is>
          <t>893408738</t>
        </is>
      </c>
    </row>
    <row r="899">
      <c r="A899" t="inlineStr">
        <is>
          <t>No</t>
        </is>
      </c>
      <c r="B899" t="inlineStr">
        <is>
          <t>QH445.2 .O88 1991</t>
        </is>
      </c>
      <c r="C899" t="inlineStr">
        <is>
          <t>0                      QH 0445200O  88          1991</t>
        </is>
      </c>
      <c r="D899" t="inlineStr">
        <is>
          <t>Analysis of human genetic linkage / Jurg Ott.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Ott, Jurg.</t>
        </is>
      </c>
      <c r="L899" t="inlineStr">
        <is>
          <t>Baltimore : Johns Hopkins University Press, c1991.</t>
        </is>
      </c>
      <c r="M899" t="inlineStr">
        <is>
          <t>1991</t>
        </is>
      </c>
      <c r="N899" t="inlineStr">
        <is>
          <t>Rev. ed.</t>
        </is>
      </c>
      <c r="O899" t="inlineStr">
        <is>
          <t>eng</t>
        </is>
      </c>
      <c r="P899" t="inlineStr">
        <is>
          <t>mdu</t>
        </is>
      </c>
      <c r="Q899" t="inlineStr">
        <is>
          <t>Johns Hopkins series in contemprorary medicine and public health</t>
        </is>
      </c>
      <c r="R899" t="inlineStr">
        <is>
          <t xml:space="preserve">QH </t>
        </is>
      </c>
      <c r="S899" t="n">
        <v>64</v>
      </c>
      <c r="T899" t="n">
        <v>64</v>
      </c>
      <c r="U899" t="inlineStr">
        <is>
          <t>2003-06-15</t>
        </is>
      </c>
      <c r="V899" t="inlineStr">
        <is>
          <t>2003-06-15</t>
        </is>
      </c>
      <c r="W899" t="inlineStr">
        <is>
          <t>1993-01-18</t>
        </is>
      </c>
      <c r="X899" t="inlineStr">
        <is>
          <t>1993-01-18</t>
        </is>
      </c>
      <c r="Y899" t="n">
        <v>238</v>
      </c>
      <c r="Z899" t="n">
        <v>163</v>
      </c>
      <c r="AA899" t="n">
        <v>380</v>
      </c>
      <c r="AB899" t="n">
        <v>1</v>
      </c>
      <c r="AC899" t="n">
        <v>4</v>
      </c>
      <c r="AD899" t="n">
        <v>4</v>
      </c>
      <c r="AE899" t="n">
        <v>13</v>
      </c>
      <c r="AF899" t="n">
        <v>2</v>
      </c>
      <c r="AG899" t="n">
        <v>5</v>
      </c>
      <c r="AH899" t="n">
        <v>1</v>
      </c>
      <c r="AI899" t="n">
        <v>3</v>
      </c>
      <c r="AJ899" t="n">
        <v>3</v>
      </c>
      <c r="AK899" t="n">
        <v>7</v>
      </c>
      <c r="AL899" t="n">
        <v>0</v>
      </c>
      <c r="AM899" t="n">
        <v>3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HYPERLINK("http://catalog.hathitrust.org/Record/002559198","HathiTrust Record")</f>
        <v/>
      </c>
      <c r="AS899">
        <f>HYPERLINK("https://creighton-primo.hosted.exlibrisgroup.com/primo-explore/search?tab=default_tab&amp;search_scope=EVERYTHING&amp;vid=01CRU&amp;lang=en_US&amp;offset=0&amp;query=any,contains,991005413349702656","Catalog Record")</f>
        <v/>
      </c>
      <c r="AT899">
        <f>HYPERLINK("http://www.worldcat.org/oclc/23386707","WorldCat Record")</f>
        <v/>
      </c>
      <c r="AU899" t="inlineStr">
        <is>
          <t>4119259:eng</t>
        </is>
      </c>
      <c r="AV899" t="inlineStr">
        <is>
          <t>23386707</t>
        </is>
      </c>
      <c r="AW899" t="inlineStr">
        <is>
          <t>991005413349702656</t>
        </is>
      </c>
      <c r="AX899" t="inlineStr">
        <is>
          <t>991005413349702656</t>
        </is>
      </c>
      <c r="AY899" t="inlineStr">
        <is>
          <t>2264628300002656</t>
        </is>
      </c>
      <c r="AZ899" t="inlineStr">
        <is>
          <t>BOOK</t>
        </is>
      </c>
      <c r="BB899" t="inlineStr">
        <is>
          <t>9780801842573</t>
        </is>
      </c>
      <c r="BC899" t="inlineStr">
        <is>
          <t>32285001446201</t>
        </is>
      </c>
      <c r="BD899" t="inlineStr">
        <is>
          <t>893332927</t>
        </is>
      </c>
    </row>
    <row r="900">
      <c r="A900" t="inlineStr">
        <is>
          <t>No</t>
        </is>
      </c>
      <c r="B900" t="inlineStr">
        <is>
          <t>QH445.2 .P75 1995</t>
        </is>
      </c>
      <c r="C900" t="inlineStr">
        <is>
          <t>0                      QH 0445200P  75          1995</t>
        </is>
      </c>
      <c r="D900" t="inlineStr">
        <is>
          <t>Principles of genome analysis : a guide to mapping and sequencing DNA from different organisms / S.B. Primrose.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Primrose, S. B.</t>
        </is>
      </c>
      <c r="L900" t="inlineStr">
        <is>
          <t>Oxford [England] ; Cambridge, Mass., USA : Blackwell Science, 1995.</t>
        </is>
      </c>
      <c r="M900" t="inlineStr">
        <is>
          <t>1995</t>
        </is>
      </c>
      <c r="O900" t="inlineStr">
        <is>
          <t>eng</t>
        </is>
      </c>
      <c r="P900" t="inlineStr">
        <is>
          <t>enk</t>
        </is>
      </c>
      <c r="R900" t="inlineStr">
        <is>
          <t xml:space="preserve">QH </t>
        </is>
      </c>
      <c r="S900" t="n">
        <v>14</v>
      </c>
      <c r="T900" t="n">
        <v>14</v>
      </c>
      <c r="U900" t="inlineStr">
        <is>
          <t>2008-09-25</t>
        </is>
      </c>
      <c r="V900" t="inlineStr">
        <is>
          <t>2008-09-25</t>
        </is>
      </c>
      <c r="W900" t="inlineStr">
        <is>
          <t>1996-06-26</t>
        </is>
      </c>
      <c r="X900" t="inlineStr">
        <is>
          <t>1996-06-26</t>
        </is>
      </c>
      <c r="Y900" t="n">
        <v>263</v>
      </c>
      <c r="Z900" t="n">
        <v>165</v>
      </c>
      <c r="AA900" t="n">
        <v>271</v>
      </c>
      <c r="AB900" t="n">
        <v>1</v>
      </c>
      <c r="AC900" t="n">
        <v>1</v>
      </c>
      <c r="AD900" t="n">
        <v>7</v>
      </c>
      <c r="AE900" t="n">
        <v>12</v>
      </c>
      <c r="AF900" t="n">
        <v>1</v>
      </c>
      <c r="AG900" t="n">
        <v>5</v>
      </c>
      <c r="AH900" t="n">
        <v>3</v>
      </c>
      <c r="AI900" t="n">
        <v>5</v>
      </c>
      <c r="AJ900" t="n">
        <v>5</v>
      </c>
      <c r="AK900" t="n">
        <v>7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HYPERLINK("https://creighton-primo.hosted.exlibrisgroup.com/primo-explore/search?tab=default_tab&amp;search_scope=EVERYTHING&amp;vid=01CRU&amp;lang=en_US&amp;offset=0&amp;query=any,contains,991002462499702656","Catalog Record")</f>
        <v/>
      </c>
      <c r="AT900">
        <f>HYPERLINK("http://www.worldcat.org/oclc/32087978","WorldCat Record")</f>
        <v/>
      </c>
      <c r="AU900" t="inlineStr">
        <is>
          <t>3901751251:eng</t>
        </is>
      </c>
      <c r="AV900" t="inlineStr">
        <is>
          <t>32087978</t>
        </is>
      </c>
      <c r="AW900" t="inlineStr">
        <is>
          <t>991002462499702656</t>
        </is>
      </c>
      <c r="AX900" t="inlineStr">
        <is>
          <t>991002462499702656</t>
        </is>
      </c>
      <c r="AY900" t="inlineStr">
        <is>
          <t>2271593950002656</t>
        </is>
      </c>
      <c r="AZ900" t="inlineStr">
        <is>
          <t>BOOK</t>
        </is>
      </c>
      <c r="BB900" t="inlineStr">
        <is>
          <t>9780865429468</t>
        </is>
      </c>
      <c r="BC900" t="inlineStr">
        <is>
          <t>32285002173804</t>
        </is>
      </c>
      <c r="BD900" t="inlineStr">
        <is>
          <t>893691643</t>
        </is>
      </c>
    </row>
    <row r="901">
      <c r="A901" t="inlineStr">
        <is>
          <t>No</t>
        </is>
      </c>
      <c r="B901" t="inlineStr">
        <is>
          <t>QH445.2 .S53 1991</t>
        </is>
      </c>
      <c r="C901" t="inlineStr">
        <is>
          <t>0                      QH 0445200S  53          1991</t>
        </is>
      </c>
      <c r="D901" t="inlineStr">
        <is>
          <t>The human blueprint : the race to unlock the secrets of our genetic script / Robert Shapiro.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Shapiro, Robert, 1935-</t>
        </is>
      </c>
      <c r="L901" t="inlineStr">
        <is>
          <t>New York : St. Martin's Press, 1991.</t>
        </is>
      </c>
      <c r="M901" t="inlineStr">
        <is>
          <t>1991</t>
        </is>
      </c>
      <c r="N901" t="inlineStr">
        <is>
          <t>1st ed.</t>
        </is>
      </c>
      <c r="O901" t="inlineStr">
        <is>
          <t>eng</t>
        </is>
      </c>
      <c r="P901" t="inlineStr">
        <is>
          <t>nyu</t>
        </is>
      </c>
      <c r="R901" t="inlineStr">
        <is>
          <t xml:space="preserve">QH </t>
        </is>
      </c>
      <c r="S901" t="n">
        <v>15</v>
      </c>
      <c r="T901" t="n">
        <v>15</v>
      </c>
      <c r="U901" t="inlineStr">
        <is>
          <t>2001-08-30</t>
        </is>
      </c>
      <c r="V901" t="inlineStr">
        <is>
          <t>2001-08-30</t>
        </is>
      </c>
      <c r="W901" t="inlineStr">
        <is>
          <t>1991-09-17</t>
        </is>
      </c>
      <c r="X901" t="inlineStr">
        <is>
          <t>1991-09-17</t>
        </is>
      </c>
      <c r="Y901" t="n">
        <v>1097</v>
      </c>
      <c r="Z901" t="n">
        <v>1014</v>
      </c>
      <c r="AA901" t="n">
        <v>1074</v>
      </c>
      <c r="AB901" t="n">
        <v>5</v>
      </c>
      <c r="AC901" t="n">
        <v>5</v>
      </c>
      <c r="AD901" t="n">
        <v>25</v>
      </c>
      <c r="AE901" t="n">
        <v>25</v>
      </c>
      <c r="AF901" t="n">
        <v>12</v>
      </c>
      <c r="AG901" t="n">
        <v>12</v>
      </c>
      <c r="AH901" t="n">
        <v>4</v>
      </c>
      <c r="AI901" t="n">
        <v>4</v>
      </c>
      <c r="AJ901" t="n">
        <v>13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HYPERLINK("https://creighton-primo.hosted.exlibrisgroup.com/primo-explore/search?tab=default_tab&amp;search_scope=EVERYTHING&amp;vid=01CRU&amp;lang=en_US&amp;offset=0&amp;query=any,contains,991001832109702656","Catalog Record")</f>
        <v/>
      </c>
      <c r="AT901">
        <f>HYPERLINK("http://www.worldcat.org/oclc/23016245","WorldCat Record")</f>
        <v/>
      </c>
      <c r="AU901" t="inlineStr">
        <is>
          <t>24235059:eng</t>
        </is>
      </c>
      <c r="AV901" t="inlineStr">
        <is>
          <t>23016245</t>
        </is>
      </c>
      <c r="AW901" t="inlineStr">
        <is>
          <t>991001832109702656</t>
        </is>
      </c>
      <c r="AX901" t="inlineStr">
        <is>
          <t>991001832109702656</t>
        </is>
      </c>
      <c r="AY901" t="inlineStr">
        <is>
          <t>2264776640002656</t>
        </is>
      </c>
      <c r="AZ901" t="inlineStr">
        <is>
          <t>BOOK</t>
        </is>
      </c>
      <c r="BB901" t="inlineStr">
        <is>
          <t>9780312058739</t>
        </is>
      </c>
      <c r="BC901" t="inlineStr">
        <is>
          <t>32285000703636</t>
        </is>
      </c>
      <c r="BD901" t="inlineStr">
        <is>
          <t>893420661</t>
        </is>
      </c>
    </row>
    <row r="902">
      <c r="A902" t="inlineStr">
        <is>
          <t>No</t>
        </is>
      </c>
      <c r="B902" t="inlineStr">
        <is>
          <t>QH445.7 .C45 1984</t>
        </is>
      </c>
      <c r="C902" t="inlineStr">
        <is>
          <t>0                      QH 0445700C  45          1984</t>
        </is>
      </c>
      <c r="D902" t="inlineStr">
        <is>
          <t>Chimeras in developmental biology / edited by Nicole Le Douarin, Anne McLaren.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L902" t="inlineStr">
        <is>
          <t>London ; Orlando : Academic Press, c1984.</t>
        </is>
      </c>
      <c r="M902" t="inlineStr">
        <is>
          <t>1984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QH </t>
        </is>
      </c>
      <c r="S902" t="n">
        <v>2</v>
      </c>
      <c r="T902" t="n">
        <v>2</v>
      </c>
      <c r="U902" t="inlineStr">
        <is>
          <t>2005-02-22</t>
        </is>
      </c>
      <c r="V902" t="inlineStr">
        <is>
          <t>2005-02-22</t>
        </is>
      </c>
      <c r="W902" t="inlineStr">
        <is>
          <t>1993-04-12</t>
        </is>
      </c>
      <c r="X902" t="inlineStr">
        <is>
          <t>1993-04-12</t>
        </is>
      </c>
      <c r="Y902" t="n">
        <v>229</v>
      </c>
      <c r="Z902" t="n">
        <v>170</v>
      </c>
      <c r="AA902" t="n">
        <v>171</v>
      </c>
      <c r="AB902" t="n">
        <v>2</v>
      </c>
      <c r="AC902" t="n">
        <v>2</v>
      </c>
      <c r="AD902" t="n">
        <v>6</v>
      </c>
      <c r="AE902" t="n">
        <v>6</v>
      </c>
      <c r="AF902" t="n">
        <v>0</v>
      </c>
      <c r="AG902" t="n">
        <v>0</v>
      </c>
      <c r="AH902" t="n">
        <v>3</v>
      </c>
      <c r="AI902" t="n">
        <v>3</v>
      </c>
      <c r="AJ902" t="n">
        <v>3</v>
      </c>
      <c r="AK902" t="n">
        <v>3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HYPERLINK("http://catalog.hathitrust.org/Record/000348375","HathiTrust Record")</f>
        <v/>
      </c>
      <c r="AS902">
        <f>HYPERLINK("https://creighton-primo.hosted.exlibrisgroup.com/primo-explore/search?tab=default_tab&amp;search_scope=EVERYTHING&amp;vid=01CRU&amp;lang=en_US&amp;offset=0&amp;query=any,contains,991000572599702656","Catalog Record")</f>
        <v/>
      </c>
      <c r="AT902">
        <f>HYPERLINK("http://www.worldcat.org/oclc/11667811","WorldCat Record")</f>
        <v/>
      </c>
      <c r="AU902" t="inlineStr">
        <is>
          <t>354487613:eng</t>
        </is>
      </c>
      <c r="AV902" t="inlineStr">
        <is>
          <t>11667811</t>
        </is>
      </c>
      <c r="AW902" t="inlineStr">
        <is>
          <t>991000572599702656</t>
        </is>
      </c>
      <c r="AX902" t="inlineStr">
        <is>
          <t>991000572599702656</t>
        </is>
      </c>
      <c r="AY902" t="inlineStr">
        <is>
          <t>2257553560002656</t>
        </is>
      </c>
      <c r="AZ902" t="inlineStr">
        <is>
          <t>BOOK</t>
        </is>
      </c>
      <c r="BB902" t="inlineStr">
        <is>
          <t>9780124405806</t>
        </is>
      </c>
      <c r="BC902" t="inlineStr">
        <is>
          <t>32285001640092</t>
        </is>
      </c>
      <c r="BD902" t="inlineStr">
        <is>
          <t>893249477</t>
        </is>
      </c>
    </row>
    <row r="903">
      <c r="A903" t="inlineStr">
        <is>
          <t>No</t>
        </is>
      </c>
      <c r="B903" t="inlineStr">
        <is>
          <t>QH447 .B31 1992</t>
        </is>
      </c>
      <c r="C903" t="inlineStr">
        <is>
          <t>0                      QH 0447000B  31          1992</t>
        </is>
      </c>
      <c r="D903" t="inlineStr">
        <is>
          <t>Dealing with genes : the language of heredity / Paul Berg, Maxine Singer.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Berg, Paul.</t>
        </is>
      </c>
      <c r="L903" t="inlineStr">
        <is>
          <t>Mill Valley, CA : University Science Books, c1992.</t>
        </is>
      </c>
      <c r="M903" t="inlineStr">
        <is>
          <t>1992</t>
        </is>
      </c>
      <c r="O903" t="inlineStr">
        <is>
          <t>eng</t>
        </is>
      </c>
      <c r="P903" t="inlineStr">
        <is>
          <t>cau</t>
        </is>
      </c>
      <c r="R903" t="inlineStr">
        <is>
          <t xml:space="preserve">QH </t>
        </is>
      </c>
      <c r="S903" t="n">
        <v>19</v>
      </c>
      <c r="T903" t="n">
        <v>19</v>
      </c>
      <c r="U903" t="inlineStr">
        <is>
          <t>2002-02-23</t>
        </is>
      </c>
      <c r="V903" t="inlineStr">
        <is>
          <t>2002-02-23</t>
        </is>
      </c>
      <c r="W903" t="inlineStr">
        <is>
          <t>1993-01-21</t>
        </is>
      </c>
      <c r="X903" t="inlineStr">
        <is>
          <t>1993-01-21</t>
        </is>
      </c>
      <c r="Y903" t="n">
        <v>1115</v>
      </c>
      <c r="Z903" t="n">
        <v>937</v>
      </c>
      <c r="AA903" t="n">
        <v>943</v>
      </c>
      <c r="AB903" t="n">
        <v>5</v>
      </c>
      <c r="AC903" t="n">
        <v>5</v>
      </c>
      <c r="AD903" t="n">
        <v>31</v>
      </c>
      <c r="AE903" t="n">
        <v>31</v>
      </c>
      <c r="AF903" t="n">
        <v>12</v>
      </c>
      <c r="AG903" t="n">
        <v>12</v>
      </c>
      <c r="AH903" t="n">
        <v>6</v>
      </c>
      <c r="AI903" t="n">
        <v>6</v>
      </c>
      <c r="AJ903" t="n">
        <v>16</v>
      </c>
      <c r="AK903" t="n">
        <v>16</v>
      </c>
      <c r="AL903" t="n">
        <v>4</v>
      </c>
      <c r="AM903" t="n">
        <v>4</v>
      </c>
      <c r="AN903" t="n">
        <v>0</v>
      </c>
      <c r="AO903" t="n">
        <v>0</v>
      </c>
      <c r="AP903" t="inlineStr">
        <is>
          <t>No</t>
        </is>
      </c>
      <c r="AQ903" t="inlineStr">
        <is>
          <t>No</t>
        </is>
      </c>
      <c r="AS903">
        <f>HYPERLINK("https://creighton-primo.hosted.exlibrisgroup.com/primo-explore/search?tab=default_tab&amp;search_scope=EVERYTHING&amp;vid=01CRU&amp;lang=en_US&amp;offset=0&amp;query=any,contains,991002107289702656","Catalog Record")</f>
        <v/>
      </c>
      <c r="AT903">
        <f>HYPERLINK("http://www.worldcat.org/oclc/27022232","WorldCat Record")</f>
        <v/>
      </c>
      <c r="AU903" t="inlineStr">
        <is>
          <t>284830620:eng</t>
        </is>
      </c>
      <c r="AV903" t="inlineStr">
        <is>
          <t>27022232</t>
        </is>
      </c>
      <c r="AW903" t="inlineStr">
        <is>
          <t>991002107289702656</t>
        </is>
      </c>
      <c r="AX903" t="inlineStr">
        <is>
          <t>991002107289702656</t>
        </is>
      </c>
      <c r="AY903" t="inlineStr">
        <is>
          <t>2267158740002656</t>
        </is>
      </c>
      <c r="AZ903" t="inlineStr">
        <is>
          <t>BOOK</t>
        </is>
      </c>
      <c r="BB903" t="inlineStr">
        <is>
          <t>9780935702699</t>
        </is>
      </c>
      <c r="BC903" t="inlineStr">
        <is>
          <t>32285001447225</t>
        </is>
      </c>
      <c r="BD903" t="inlineStr">
        <is>
          <t>893785730</t>
        </is>
      </c>
    </row>
    <row r="904">
      <c r="A904" t="inlineStr">
        <is>
          <t>No</t>
        </is>
      </c>
      <c r="B904" t="inlineStr">
        <is>
          <t>QH447 .C66 2000</t>
        </is>
      </c>
      <c r="C904" t="inlineStr">
        <is>
          <t>0                      QH 0447000C  66          2000</t>
        </is>
      </c>
      <c r="D904" t="inlineStr">
        <is>
          <t>The concept of the gene in development and evolution : historical and epistemological perspectives / edited by Peter J. Beurton, Raphael Falk, Hans-J*rg Rheinberger.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Cambridge ; New York : Cambridge University Press, 2000.</t>
        </is>
      </c>
      <c r="M904" t="inlineStr">
        <is>
          <t>2000</t>
        </is>
      </c>
      <c r="O904" t="inlineStr">
        <is>
          <t>eng</t>
        </is>
      </c>
      <c r="P904" t="inlineStr">
        <is>
          <t>enk</t>
        </is>
      </c>
      <c r="Q904" t="inlineStr">
        <is>
          <t>Cambridge studies in philosophy and biology</t>
        </is>
      </c>
      <c r="R904" t="inlineStr">
        <is>
          <t xml:space="preserve">QH </t>
        </is>
      </c>
      <c r="S904" t="n">
        <v>7</v>
      </c>
      <c r="T904" t="n">
        <v>7</v>
      </c>
      <c r="U904" t="inlineStr">
        <is>
          <t>2001-11-04</t>
        </is>
      </c>
      <c r="V904" t="inlineStr">
        <is>
          <t>2001-11-04</t>
        </is>
      </c>
      <c r="W904" t="inlineStr">
        <is>
          <t>2001-03-27</t>
        </is>
      </c>
      <c r="X904" t="inlineStr">
        <is>
          <t>2001-03-27</t>
        </is>
      </c>
      <c r="Y904" t="n">
        <v>384</v>
      </c>
      <c r="Z904" t="n">
        <v>280</v>
      </c>
      <c r="AA904" t="n">
        <v>290</v>
      </c>
      <c r="AB904" t="n">
        <v>2</v>
      </c>
      <c r="AC904" t="n">
        <v>2</v>
      </c>
      <c r="AD904" t="n">
        <v>14</v>
      </c>
      <c r="AE904" t="n">
        <v>14</v>
      </c>
      <c r="AF904" t="n">
        <v>4</v>
      </c>
      <c r="AG904" t="n">
        <v>4</v>
      </c>
      <c r="AH904" t="n">
        <v>4</v>
      </c>
      <c r="AI904" t="n">
        <v>4</v>
      </c>
      <c r="AJ904" t="n">
        <v>8</v>
      </c>
      <c r="AK904" t="n">
        <v>8</v>
      </c>
      <c r="AL904" t="n">
        <v>1</v>
      </c>
      <c r="AM904" t="n">
        <v>1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HYPERLINK("https://creighton-primo.hosted.exlibrisgroup.com/primo-explore/search?tab=default_tab&amp;search_scope=EVERYTHING&amp;vid=01CRU&amp;lang=en_US&amp;offset=0&amp;query=any,contains,991003485729702656","Catalog Record")</f>
        <v/>
      </c>
      <c r="AT904">
        <f>HYPERLINK("http://www.worldcat.org/oclc/42291249","WorldCat Record")</f>
        <v/>
      </c>
      <c r="AU904" t="inlineStr">
        <is>
          <t>796526600:eng</t>
        </is>
      </c>
      <c r="AV904" t="inlineStr">
        <is>
          <t>42291249</t>
        </is>
      </c>
      <c r="AW904" t="inlineStr">
        <is>
          <t>991003485729702656</t>
        </is>
      </c>
      <c r="AX904" t="inlineStr">
        <is>
          <t>991003485729702656</t>
        </is>
      </c>
      <c r="AY904" t="inlineStr">
        <is>
          <t>2257548100002656</t>
        </is>
      </c>
      <c r="AZ904" t="inlineStr">
        <is>
          <t>BOOK</t>
        </is>
      </c>
      <c r="BB904" t="inlineStr">
        <is>
          <t>9780521771870</t>
        </is>
      </c>
      <c r="BC904" t="inlineStr">
        <is>
          <t>32285004307798</t>
        </is>
      </c>
      <c r="BD904" t="inlineStr">
        <is>
          <t>893330339</t>
        </is>
      </c>
    </row>
    <row r="905">
      <c r="A905" t="inlineStr">
        <is>
          <t>No</t>
        </is>
      </c>
      <c r="B905" t="inlineStr">
        <is>
          <t>QH447 .G45</t>
        </is>
      </c>
      <c r="C905" t="inlineStr">
        <is>
          <t>0                      QH 0447000G  45</t>
        </is>
      </c>
      <c r="D905" t="inlineStr">
        <is>
          <t>Genes and proteins / edited by Robert P. Wagner. --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Stroudsburg, Pa. : Dowden, Hutchinson &amp; Ross ; [New York] : distributed by Academic Press, 1975.</t>
        </is>
      </c>
      <c r="M905" t="inlineStr">
        <is>
          <t>1975</t>
        </is>
      </c>
      <c r="O905" t="inlineStr">
        <is>
          <t>eng</t>
        </is>
      </c>
      <c r="P905" t="inlineStr">
        <is>
          <t>pau</t>
        </is>
      </c>
      <c r="Q905" t="inlineStr">
        <is>
          <t>Benchmark papers in genetics ; v. 2</t>
        </is>
      </c>
      <c r="R905" t="inlineStr">
        <is>
          <t xml:space="preserve">QH </t>
        </is>
      </c>
      <c r="S905" t="n">
        <v>3</v>
      </c>
      <c r="T905" t="n">
        <v>3</v>
      </c>
      <c r="U905" t="inlineStr">
        <is>
          <t>2002-02-26</t>
        </is>
      </c>
      <c r="V905" t="inlineStr">
        <is>
          <t>2002-02-26</t>
        </is>
      </c>
      <c r="W905" t="inlineStr">
        <is>
          <t>1993-04-12</t>
        </is>
      </c>
      <c r="X905" t="inlineStr">
        <is>
          <t>1993-04-12</t>
        </is>
      </c>
      <c r="Y905" t="n">
        <v>360</v>
      </c>
      <c r="Z905" t="n">
        <v>288</v>
      </c>
      <c r="AA905" t="n">
        <v>302</v>
      </c>
      <c r="AB905" t="n">
        <v>3</v>
      </c>
      <c r="AC905" t="n">
        <v>3</v>
      </c>
      <c r="AD905" t="n">
        <v>11</v>
      </c>
      <c r="AE905" t="n">
        <v>12</v>
      </c>
      <c r="AF905" t="n">
        <v>3</v>
      </c>
      <c r="AG905" t="n">
        <v>4</v>
      </c>
      <c r="AH905" t="n">
        <v>3</v>
      </c>
      <c r="AI905" t="n">
        <v>3</v>
      </c>
      <c r="AJ905" t="n">
        <v>5</v>
      </c>
      <c r="AK905" t="n">
        <v>5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HYPERLINK("http://catalog.hathitrust.org/Record/000026953","HathiTrust Record")</f>
        <v/>
      </c>
      <c r="AS905">
        <f>HYPERLINK("https://creighton-primo.hosted.exlibrisgroup.com/primo-explore/search?tab=default_tab&amp;search_scope=EVERYTHING&amp;vid=01CRU&amp;lang=en_US&amp;offset=0&amp;query=any,contains,991003653629702656","Catalog Record")</f>
        <v/>
      </c>
      <c r="AT905">
        <f>HYPERLINK("http://www.worldcat.org/oclc/1257007","WorldCat Record")</f>
        <v/>
      </c>
      <c r="AU905" t="inlineStr">
        <is>
          <t>2176258:eng</t>
        </is>
      </c>
      <c r="AV905" t="inlineStr">
        <is>
          <t>1257007</t>
        </is>
      </c>
      <c r="AW905" t="inlineStr">
        <is>
          <t>991003653629702656</t>
        </is>
      </c>
      <c r="AX905" t="inlineStr">
        <is>
          <t>991003653629702656</t>
        </is>
      </c>
      <c r="AY905" t="inlineStr">
        <is>
          <t>2257488410002656</t>
        </is>
      </c>
      <c r="AZ905" t="inlineStr">
        <is>
          <t>BOOK</t>
        </is>
      </c>
      <c r="BB905" t="inlineStr">
        <is>
          <t>9780470913574</t>
        </is>
      </c>
      <c r="BC905" t="inlineStr">
        <is>
          <t>32285001640100</t>
        </is>
      </c>
      <c r="BD905" t="inlineStr">
        <is>
          <t>893592733</t>
        </is>
      </c>
    </row>
    <row r="906">
      <c r="A906" t="inlineStr">
        <is>
          <t>No</t>
        </is>
      </c>
      <c r="B906" t="inlineStr">
        <is>
          <t>QH447 .H45 1996</t>
        </is>
      </c>
      <c r="C906" t="inlineStr">
        <is>
          <t>0                      QH 0447000H  45          1996</t>
        </is>
      </c>
      <c r="D906" t="inlineStr">
        <is>
          <t>Human genome research and the challenge of contingent future persons : toward an impersonal theocentric approach to value / Jan Christian Heller.</t>
        </is>
      </c>
      <c r="F906" t="inlineStr">
        <is>
          <t>No</t>
        </is>
      </c>
      <c r="G906" t="inlineStr">
        <is>
          <t>1</t>
        </is>
      </c>
      <c r="H906" t="inlineStr">
        <is>
          <t>Yes</t>
        </is>
      </c>
      <c r="I906" t="inlineStr">
        <is>
          <t>No</t>
        </is>
      </c>
      <c r="J906" t="inlineStr">
        <is>
          <t>0</t>
        </is>
      </c>
      <c r="K906" t="inlineStr">
        <is>
          <t>Heller, Jan Christian.</t>
        </is>
      </c>
      <c r="L906" t="inlineStr">
        <is>
          <t>Omaha, Neb. : Creighton University Press ; New York : Distribution, Fordham University Press, c1996.</t>
        </is>
      </c>
      <c r="M906" t="inlineStr">
        <is>
          <t>1996</t>
        </is>
      </c>
      <c r="O906" t="inlineStr">
        <is>
          <t>eng</t>
        </is>
      </c>
      <c r="P906" t="inlineStr">
        <is>
          <t>nbu</t>
        </is>
      </c>
      <c r="R906" t="inlineStr">
        <is>
          <t xml:space="preserve">QH </t>
        </is>
      </c>
      <c r="S906" t="n">
        <v>16</v>
      </c>
      <c r="T906" t="n">
        <v>23</v>
      </c>
      <c r="U906" t="inlineStr">
        <is>
          <t>2004-03-23</t>
        </is>
      </c>
      <c r="V906" t="inlineStr">
        <is>
          <t>2004-03-23</t>
        </is>
      </c>
      <c r="W906" t="inlineStr">
        <is>
          <t>1996-08-23</t>
        </is>
      </c>
      <c r="X906" t="inlineStr">
        <is>
          <t>1997-01-20</t>
        </is>
      </c>
      <c r="Y906" t="n">
        <v>397</v>
      </c>
      <c r="Z906" t="n">
        <v>357</v>
      </c>
      <c r="AA906" t="n">
        <v>815</v>
      </c>
      <c r="AB906" t="n">
        <v>5</v>
      </c>
      <c r="AC906" t="n">
        <v>8</v>
      </c>
      <c r="AD906" t="n">
        <v>24</v>
      </c>
      <c r="AE906" t="n">
        <v>32</v>
      </c>
      <c r="AF906" t="n">
        <v>7</v>
      </c>
      <c r="AG906" t="n">
        <v>12</v>
      </c>
      <c r="AH906" t="n">
        <v>5</v>
      </c>
      <c r="AI906" t="n">
        <v>5</v>
      </c>
      <c r="AJ906" t="n">
        <v>16</v>
      </c>
      <c r="AK906" t="n">
        <v>16</v>
      </c>
      <c r="AL906" t="n">
        <v>3</v>
      </c>
      <c r="AM906" t="n">
        <v>6</v>
      </c>
      <c r="AN906" t="n">
        <v>2</v>
      </c>
      <c r="AO906" t="n">
        <v>2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HYPERLINK("http://catalog.hathitrust.org/Record/003076425","HathiTrust Record")</f>
        <v/>
      </c>
      <c r="AS906">
        <f>HYPERLINK("https://creighton-primo.hosted.exlibrisgroup.com/primo-explore/search?tab=default_tab&amp;search_scope=EVERYTHING&amp;vid=01CRU&amp;lang=en_US&amp;offset=0&amp;query=any,contains,991001806999702656","Catalog Record")</f>
        <v/>
      </c>
      <c r="AT906">
        <f>HYPERLINK("http://www.worldcat.org/oclc/34986448","WorldCat Record")</f>
        <v/>
      </c>
      <c r="AU906" t="inlineStr">
        <is>
          <t>197542570:eng</t>
        </is>
      </c>
      <c r="AV906" t="inlineStr">
        <is>
          <t>34986448</t>
        </is>
      </c>
      <c r="AW906" t="inlineStr">
        <is>
          <t>991001806999702656</t>
        </is>
      </c>
      <c r="AX906" t="inlineStr">
        <is>
          <t>991001806999702656</t>
        </is>
      </c>
      <c r="AY906" t="inlineStr">
        <is>
          <t>2264890210002656</t>
        </is>
      </c>
      <c r="AZ906" t="inlineStr">
        <is>
          <t>BOOK</t>
        </is>
      </c>
      <c r="BB906" t="inlineStr">
        <is>
          <t>9781881871194</t>
        </is>
      </c>
      <c r="BC906" t="inlineStr">
        <is>
          <t>32285002197886</t>
        </is>
      </c>
      <c r="BD906" t="inlineStr">
        <is>
          <t>893697054</t>
        </is>
      </c>
    </row>
    <row r="907">
      <c r="A907" t="inlineStr">
        <is>
          <t>No</t>
        </is>
      </c>
      <c r="B907" t="inlineStr">
        <is>
          <t>QH447 .J64 1988</t>
        </is>
      </c>
      <c r="C907" t="inlineStr">
        <is>
          <t>0                      QH 0447000J  64          1988</t>
        </is>
      </c>
      <c r="D907" t="inlineStr">
        <is>
          <t>The eukaryote genome in development and evolution / Bernard John and George L. Gabor Miklos.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John, Bernard.</t>
        </is>
      </c>
      <c r="L907" t="inlineStr">
        <is>
          <t>London ; Boston : Allen &amp; Unwin, 1988.</t>
        </is>
      </c>
      <c r="M907" t="inlineStr">
        <is>
          <t>1987</t>
        </is>
      </c>
      <c r="O907" t="inlineStr">
        <is>
          <t>eng</t>
        </is>
      </c>
      <c r="P907" t="inlineStr">
        <is>
          <t>enk</t>
        </is>
      </c>
      <c r="R907" t="inlineStr">
        <is>
          <t xml:space="preserve">QH </t>
        </is>
      </c>
      <c r="S907" t="n">
        <v>12</v>
      </c>
      <c r="T907" t="n">
        <v>12</v>
      </c>
      <c r="U907" t="inlineStr">
        <is>
          <t>2002-02-26</t>
        </is>
      </c>
      <c r="V907" t="inlineStr">
        <is>
          <t>2002-02-26</t>
        </is>
      </c>
      <c r="W907" t="inlineStr">
        <is>
          <t>1990-04-04</t>
        </is>
      </c>
      <c r="X907" t="inlineStr">
        <is>
          <t>1990-04-04</t>
        </is>
      </c>
      <c r="Y907" t="n">
        <v>292</v>
      </c>
      <c r="Z907" t="n">
        <v>188</v>
      </c>
      <c r="AA907" t="n">
        <v>212</v>
      </c>
      <c r="AB907" t="n">
        <v>2</v>
      </c>
      <c r="AC907" t="n">
        <v>2</v>
      </c>
      <c r="AD907" t="n">
        <v>5</v>
      </c>
      <c r="AE907" t="n">
        <v>6</v>
      </c>
      <c r="AF907" t="n">
        <v>1</v>
      </c>
      <c r="AG907" t="n">
        <v>2</v>
      </c>
      <c r="AH907" t="n">
        <v>2</v>
      </c>
      <c r="AI907" t="n">
        <v>2</v>
      </c>
      <c r="AJ907" t="n">
        <v>3</v>
      </c>
      <c r="AK907" t="n">
        <v>4</v>
      </c>
      <c r="AL907" t="n">
        <v>1</v>
      </c>
      <c r="AM907" t="n">
        <v>1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HYPERLINK("https://creighton-primo.hosted.exlibrisgroup.com/primo-explore/search?tab=default_tab&amp;search_scope=EVERYTHING&amp;vid=01CRU&amp;lang=en_US&amp;offset=0&amp;query=any,contains,991001052269702656","Catalog Record")</f>
        <v/>
      </c>
      <c r="AT907">
        <f>HYPERLINK("http://www.worldcat.org/oclc/15657997","WorldCat Record")</f>
        <v/>
      </c>
      <c r="AU907" t="inlineStr">
        <is>
          <t>9937331:eng</t>
        </is>
      </c>
      <c r="AV907" t="inlineStr">
        <is>
          <t>15657997</t>
        </is>
      </c>
      <c r="AW907" t="inlineStr">
        <is>
          <t>991001052269702656</t>
        </is>
      </c>
      <c r="AX907" t="inlineStr">
        <is>
          <t>991001052269702656</t>
        </is>
      </c>
      <c r="AY907" t="inlineStr">
        <is>
          <t>2264435510002656</t>
        </is>
      </c>
      <c r="AZ907" t="inlineStr">
        <is>
          <t>BOOK</t>
        </is>
      </c>
      <c r="BB907" t="inlineStr">
        <is>
          <t>9780045750337</t>
        </is>
      </c>
      <c r="BC907" t="inlineStr">
        <is>
          <t>32285000109990</t>
        </is>
      </c>
      <c r="BD907" t="inlineStr">
        <is>
          <t>893715129</t>
        </is>
      </c>
    </row>
    <row r="908">
      <c r="A908" t="inlineStr">
        <is>
          <t>No</t>
        </is>
      </c>
      <c r="B908" t="inlineStr">
        <is>
          <t>QH447 .L44 1991</t>
        </is>
      </c>
      <c r="C908" t="inlineStr">
        <is>
          <t>0                      QH 0447000L  44          1991</t>
        </is>
      </c>
      <c r="D908" t="inlineStr">
        <is>
          <t>The Human Genome Project : cracking the genetic code of life / Thomas F. Lee.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Lee, Thomas F.</t>
        </is>
      </c>
      <c r="L908" t="inlineStr">
        <is>
          <t>New York : Plenum Press, c1991.</t>
        </is>
      </c>
      <c r="M908" t="inlineStr">
        <is>
          <t>1991</t>
        </is>
      </c>
      <c r="O908" t="inlineStr">
        <is>
          <t>eng</t>
        </is>
      </c>
      <c r="P908" t="inlineStr">
        <is>
          <t>nyu</t>
        </is>
      </c>
      <c r="R908" t="inlineStr">
        <is>
          <t xml:space="preserve">QH </t>
        </is>
      </c>
      <c r="S908" t="n">
        <v>23</v>
      </c>
      <c r="T908" t="n">
        <v>23</v>
      </c>
      <c r="U908" t="inlineStr">
        <is>
          <t>2001-08-30</t>
        </is>
      </c>
      <c r="V908" t="inlineStr">
        <is>
          <t>2001-08-30</t>
        </is>
      </c>
      <c r="W908" t="inlineStr">
        <is>
          <t>1993-12-06</t>
        </is>
      </c>
      <c r="X908" t="inlineStr">
        <is>
          <t>1993-12-06</t>
        </is>
      </c>
      <c r="Y908" t="n">
        <v>998</v>
      </c>
      <c r="Z908" t="n">
        <v>875</v>
      </c>
      <c r="AA908" t="n">
        <v>887</v>
      </c>
      <c r="AB908" t="n">
        <v>8</v>
      </c>
      <c r="AC908" t="n">
        <v>8</v>
      </c>
      <c r="AD908" t="n">
        <v>35</v>
      </c>
      <c r="AE908" t="n">
        <v>35</v>
      </c>
      <c r="AF908" t="n">
        <v>18</v>
      </c>
      <c r="AG908" t="n">
        <v>18</v>
      </c>
      <c r="AH908" t="n">
        <v>7</v>
      </c>
      <c r="AI908" t="n">
        <v>7</v>
      </c>
      <c r="AJ908" t="n">
        <v>17</v>
      </c>
      <c r="AK908" t="n">
        <v>17</v>
      </c>
      <c r="AL908" t="n">
        <v>4</v>
      </c>
      <c r="AM908" t="n">
        <v>4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HYPERLINK("https://creighton-primo.hosted.exlibrisgroup.com/primo-explore/search?tab=default_tab&amp;search_scope=EVERYTHING&amp;vid=01CRU&amp;lang=en_US&amp;offset=0&amp;query=any,contains,991001896559702656","Catalog Record")</f>
        <v/>
      </c>
      <c r="AT908">
        <f>HYPERLINK("http://www.worldcat.org/oclc/23969846","WorldCat Record")</f>
        <v/>
      </c>
      <c r="AU908" t="inlineStr">
        <is>
          <t>20702278:eng</t>
        </is>
      </c>
      <c r="AV908" t="inlineStr">
        <is>
          <t>23969846</t>
        </is>
      </c>
      <c r="AW908" t="inlineStr">
        <is>
          <t>991001896559702656</t>
        </is>
      </c>
      <c r="AX908" t="inlineStr">
        <is>
          <t>991001896559702656</t>
        </is>
      </c>
      <c r="AY908" t="inlineStr">
        <is>
          <t>2267723470002656</t>
        </is>
      </c>
      <c r="AZ908" t="inlineStr">
        <is>
          <t>BOOK</t>
        </is>
      </c>
      <c r="BB908" t="inlineStr">
        <is>
          <t>9780306439650</t>
        </is>
      </c>
      <c r="BC908" t="inlineStr">
        <is>
          <t>32285001814200</t>
        </is>
      </c>
      <c r="BD908" t="inlineStr">
        <is>
          <t>893621694</t>
        </is>
      </c>
    </row>
    <row r="909">
      <c r="A909" t="inlineStr">
        <is>
          <t>No</t>
        </is>
      </c>
      <c r="B909" t="inlineStr">
        <is>
          <t>QH447 .S55 1996</t>
        </is>
      </c>
      <c r="C909" t="inlineStr">
        <is>
          <t>0                      QH 0447000S  55          1996</t>
        </is>
      </c>
      <c r="D909" t="inlineStr">
        <is>
          <t>The new genetics : challenges for science, faith, and politics / by Roger Lincoln Shinn.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Shinn, Roger Lincoln.</t>
        </is>
      </c>
      <c r="L909" t="inlineStr">
        <is>
          <t>Wakefield, R.I. : Moyer Bell ; Emeryville, CA : Distributed in North America by Publishers Group West, c1996.</t>
        </is>
      </c>
      <c r="M909" t="inlineStr">
        <is>
          <t>1996</t>
        </is>
      </c>
      <c r="N909" t="inlineStr">
        <is>
          <t>1st ed.</t>
        </is>
      </c>
      <c r="O909" t="inlineStr">
        <is>
          <t>eng</t>
        </is>
      </c>
      <c r="P909" t="inlineStr">
        <is>
          <t>riu</t>
        </is>
      </c>
      <c r="R909" t="inlineStr">
        <is>
          <t xml:space="preserve">QH </t>
        </is>
      </c>
      <c r="S909" t="n">
        <v>4</v>
      </c>
      <c r="T909" t="n">
        <v>4</v>
      </c>
      <c r="U909" t="inlineStr">
        <is>
          <t>2007-12-06</t>
        </is>
      </c>
      <c r="V909" t="inlineStr">
        <is>
          <t>2007-12-06</t>
        </is>
      </c>
      <c r="W909" t="inlineStr">
        <is>
          <t>2001-01-22</t>
        </is>
      </c>
      <c r="X909" t="inlineStr">
        <is>
          <t>2001-01-22</t>
        </is>
      </c>
      <c r="Y909" t="n">
        <v>377</v>
      </c>
      <c r="Z909" t="n">
        <v>335</v>
      </c>
      <c r="AA909" t="n">
        <v>341</v>
      </c>
      <c r="AB909" t="n">
        <v>4</v>
      </c>
      <c r="AC909" t="n">
        <v>4</v>
      </c>
      <c r="AD909" t="n">
        <v>18</v>
      </c>
      <c r="AE909" t="n">
        <v>18</v>
      </c>
      <c r="AF909" t="n">
        <v>6</v>
      </c>
      <c r="AG909" t="n">
        <v>6</v>
      </c>
      <c r="AH909" t="n">
        <v>3</v>
      </c>
      <c r="AI909" t="n">
        <v>3</v>
      </c>
      <c r="AJ909" t="n">
        <v>10</v>
      </c>
      <c r="AK909" t="n">
        <v>10</v>
      </c>
      <c r="AL909" t="n">
        <v>3</v>
      </c>
      <c r="AM909" t="n">
        <v>3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HYPERLINK("http://catalog.hathitrust.org/Record/003094306","HathiTrust Record")</f>
        <v/>
      </c>
      <c r="AS909">
        <f>HYPERLINK("https://creighton-primo.hosted.exlibrisgroup.com/primo-explore/search?tab=default_tab&amp;search_scope=EVERYTHING&amp;vid=01CRU&amp;lang=en_US&amp;offset=0&amp;query=any,contains,991003350349702656","Catalog Record")</f>
        <v/>
      </c>
      <c r="AT909">
        <f>HYPERLINK("http://www.worldcat.org/oclc/33441653","WorldCat Record")</f>
        <v/>
      </c>
      <c r="AU909" t="inlineStr">
        <is>
          <t>20876001:eng</t>
        </is>
      </c>
      <c r="AV909" t="inlineStr">
        <is>
          <t>33441653</t>
        </is>
      </c>
      <c r="AW909" t="inlineStr">
        <is>
          <t>991003350349702656</t>
        </is>
      </c>
      <c r="AX909" t="inlineStr">
        <is>
          <t>991003350349702656</t>
        </is>
      </c>
      <c r="AY909" t="inlineStr">
        <is>
          <t>2262745510002656</t>
        </is>
      </c>
      <c r="AZ909" t="inlineStr">
        <is>
          <t>BOOK</t>
        </is>
      </c>
      <c r="BB909" t="inlineStr">
        <is>
          <t>9781559211710</t>
        </is>
      </c>
      <c r="BC909" t="inlineStr">
        <is>
          <t>32285004290556</t>
        </is>
      </c>
      <c r="BD909" t="inlineStr">
        <is>
          <t>893780907</t>
        </is>
      </c>
    </row>
    <row r="910">
      <c r="A910" t="inlineStr">
        <is>
          <t>No</t>
        </is>
      </c>
      <c r="B910" t="inlineStr">
        <is>
          <t>QH447 .S63 1993</t>
        </is>
      </c>
      <c r="C910" t="inlineStr">
        <is>
          <t>0                      QH 0447000S  63          1993</t>
        </is>
      </c>
      <c r="D910" t="inlineStr">
        <is>
          <t>The eukaryotic genome : organisation and regulation / Fiftieth Symposium of the Society for General Microbiology held at UMIST, April 1993 ; edited by Paul Broda, Stephen G. Oliver, and Paul F.G. Sims.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Society for General Microbiology. Symposium (50th : 1993 : University of Manchester. Institute of Science and Technology)</t>
        </is>
      </c>
      <c r="L910" t="inlineStr">
        <is>
          <t>Cambridge ; New York : Cambridge University Press, 1993.</t>
        </is>
      </c>
      <c r="M910" t="inlineStr">
        <is>
          <t>1993</t>
        </is>
      </c>
      <c r="O910" t="inlineStr">
        <is>
          <t>eng</t>
        </is>
      </c>
      <c r="P910" t="inlineStr">
        <is>
          <t>enk</t>
        </is>
      </c>
      <c r="R910" t="inlineStr">
        <is>
          <t xml:space="preserve">QH </t>
        </is>
      </c>
      <c r="S910" t="n">
        <v>7</v>
      </c>
      <c r="T910" t="n">
        <v>7</v>
      </c>
      <c r="U910" t="inlineStr">
        <is>
          <t>2006-10-13</t>
        </is>
      </c>
      <c r="V910" t="inlineStr">
        <is>
          <t>2006-10-13</t>
        </is>
      </c>
      <c r="W910" t="inlineStr">
        <is>
          <t>1995-07-23</t>
        </is>
      </c>
      <c r="X910" t="inlineStr">
        <is>
          <t>1995-07-23</t>
        </is>
      </c>
      <c r="Y910" t="n">
        <v>321</v>
      </c>
      <c r="Z910" t="n">
        <v>238</v>
      </c>
      <c r="AA910" t="n">
        <v>246</v>
      </c>
      <c r="AB910" t="n">
        <v>1</v>
      </c>
      <c r="AC910" t="n">
        <v>1</v>
      </c>
      <c r="AD910" t="n">
        <v>10</v>
      </c>
      <c r="AE910" t="n">
        <v>10</v>
      </c>
      <c r="AF910" t="n">
        <v>2</v>
      </c>
      <c r="AG910" t="n">
        <v>2</v>
      </c>
      <c r="AH910" t="n">
        <v>5</v>
      </c>
      <c r="AI910" t="n">
        <v>5</v>
      </c>
      <c r="AJ910" t="n">
        <v>8</v>
      </c>
      <c r="AK910" t="n">
        <v>8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HYPERLINK("https://creighton-primo.hosted.exlibrisgroup.com/primo-explore/search?tab=default_tab&amp;search_scope=EVERYTHING&amp;vid=01CRU&amp;lang=en_US&amp;offset=0&amp;query=any,contains,991002154949702656","Catalog Record")</f>
        <v/>
      </c>
      <c r="AT910">
        <f>HYPERLINK("http://www.worldcat.org/oclc/27769413","WorldCat Record")</f>
        <v/>
      </c>
      <c r="AU910" t="inlineStr">
        <is>
          <t>479333813:eng</t>
        </is>
      </c>
      <c r="AV910" t="inlineStr">
        <is>
          <t>27769413</t>
        </is>
      </c>
      <c r="AW910" t="inlineStr">
        <is>
          <t>991002154949702656</t>
        </is>
      </c>
      <c r="AX910" t="inlineStr">
        <is>
          <t>991002154949702656</t>
        </is>
      </c>
      <c r="AY910" t="inlineStr">
        <is>
          <t>2265201240002656</t>
        </is>
      </c>
      <c r="AZ910" t="inlineStr">
        <is>
          <t>BOOK</t>
        </is>
      </c>
      <c r="BB910" t="inlineStr">
        <is>
          <t>9780521443647</t>
        </is>
      </c>
      <c r="BC910" t="inlineStr">
        <is>
          <t>32285002075801</t>
        </is>
      </c>
      <c r="BD910" t="inlineStr">
        <is>
          <t>893244815</t>
        </is>
      </c>
    </row>
    <row r="911">
      <c r="A911" t="inlineStr">
        <is>
          <t>No</t>
        </is>
      </c>
      <c r="B911" t="inlineStr">
        <is>
          <t>QH447 .Z94 2001</t>
        </is>
      </c>
      <c r="C911" t="inlineStr">
        <is>
          <t>0                      QH 0447000Z  94          2001</t>
        </is>
      </c>
      <c r="D911" t="inlineStr">
        <is>
          <t>Transducing the genome : information, anarchy, and revolution in the biomedical sciences / Gary Zweiger.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Zweiger, Gary.</t>
        </is>
      </c>
      <c r="L911" t="inlineStr">
        <is>
          <t>New York : McGraw-Hill, c2001.</t>
        </is>
      </c>
      <c r="M911" t="inlineStr">
        <is>
          <t>2001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QH </t>
        </is>
      </c>
      <c r="S911" t="n">
        <v>3</v>
      </c>
      <c r="T911" t="n">
        <v>3</v>
      </c>
      <c r="U911" t="inlineStr">
        <is>
          <t>2005-09-29</t>
        </is>
      </c>
      <c r="V911" t="inlineStr">
        <is>
          <t>2005-09-29</t>
        </is>
      </c>
      <c r="W911" t="inlineStr">
        <is>
          <t>2001-11-26</t>
        </is>
      </c>
      <c r="X911" t="inlineStr">
        <is>
          <t>2001-11-26</t>
        </is>
      </c>
      <c r="Y911" t="n">
        <v>863</v>
      </c>
      <c r="Z911" t="n">
        <v>757</v>
      </c>
      <c r="AA911" t="n">
        <v>1052</v>
      </c>
      <c r="AB911" t="n">
        <v>7</v>
      </c>
      <c r="AC911" t="n">
        <v>8</v>
      </c>
      <c r="AD911" t="n">
        <v>34</v>
      </c>
      <c r="AE911" t="n">
        <v>38</v>
      </c>
      <c r="AF911" t="n">
        <v>16</v>
      </c>
      <c r="AG911" t="n">
        <v>17</v>
      </c>
      <c r="AH911" t="n">
        <v>6</v>
      </c>
      <c r="AI911" t="n">
        <v>6</v>
      </c>
      <c r="AJ911" t="n">
        <v>13</v>
      </c>
      <c r="AK911" t="n">
        <v>16</v>
      </c>
      <c r="AL911" t="n">
        <v>6</v>
      </c>
      <c r="AM911" t="n">
        <v>7</v>
      </c>
      <c r="AN911" t="n">
        <v>1</v>
      </c>
      <c r="AO911" t="n">
        <v>1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HYPERLINK("http://catalog.hathitrust.org/Record/004158222","HathiTrust Record")</f>
        <v/>
      </c>
      <c r="AS911">
        <f>HYPERLINK("https://creighton-primo.hosted.exlibrisgroup.com/primo-explore/search?tab=default_tab&amp;search_scope=EVERYTHING&amp;vid=01CRU&amp;lang=en_US&amp;offset=0&amp;query=any,contains,991003661939702656","Catalog Record")</f>
        <v/>
      </c>
      <c r="AT911">
        <f>HYPERLINK("http://www.worldcat.org/oclc/45122791","WorldCat Record")</f>
        <v/>
      </c>
      <c r="AU911" t="inlineStr">
        <is>
          <t>793862023:eng</t>
        </is>
      </c>
      <c r="AV911" t="inlineStr">
        <is>
          <t>45122791</t>
        </is>
      </c>
      <c r="AW911" t="inlineStr">
        <is>
          <t>991003661939702656</t>
        </is>
      </c>
      <c r="AX911" t="inlineStr">
        <is>
          <t>991003661939702656</t>
        </is>
      </c>
      <c r="AY911" t="inlineStr">
        <is>
          <t>2256608710002656</t>
        </is>
      </c>
      <c r="AZ911" t="inlineStr">
        <is>
          <t>BOOK</t>
        </is>
      </c>
      <c r="BB911" t="inlineStr">
        <is>
          <t>9780071369800</t>
        </is>
      </c>
      <c r="BC911" t="inlineStr">
        <is>
          <t>32285004413349</t>
        </is>
      </c>
      <c r="BD911" t="inlineStr">
        <is>
          <t>893258683</t>
        </is>
      </c>
    </row>
    <row r="912">
      <c r="A912" t="inlineStr">
        <is>
          <t>No</t>
        </is>
      </c>
      <c r="B912" t="inlineStr">
        <is>
          <t>QH447.8.H65 G44 1998</t>
        </is>
      </c>
      <c r="C912" t="inlineStr">
        <is>
          <t>0                      QH 0447800H  65                 G  44          1998</t>
        </is>
      </c>
      <c r="D912" t="inlineStr">
        <is>
          <t>Master control genes in development and evolution : the homeobox story / Walter J. Gehring.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Gehring, W. J. (Walter J.), 1939-</t>
        </is>
      </c>
      <c r="L912" t="inlineStr">
        <is>
          <t>New Haven : Yale University Press, c1998.</t>
        </is>
      </c>
      <c r="M912" t="inlineStr">
        <is>
          <t>1998</t>
        </is>
      </c>
      <c r="O912" t="inlineStr">
        <is>
          <t>eng</t>
        </is>
      </c>
      <c r="P912" t="inlineStr">
        <is>
          <t>ctu</t>
        </is>
      </c>
      <c r="Q912" t="inlineStr">
        <is>
          <t>The Terry lectures</t>
        </is>
      </c>
      <c r="R912" t="inlineStr">
        <is>
          <t xml:space="preserve">QH </t>
        </is>
      </c>
      <c r="S912" t="n">
        <v>6</v>
      </c>
      <c r="T912" t="n">
        <v>6</v>
      </c>
      <c r="U912" t="inlineStr">
        <is>
          <t>2005-09-06</t>
        </is>
      </c>
      <c r="V912" t="inlineStr">
        <is>
          <t>2005-09-06</t>
        </is>
      </c>
      <c r="W912" t="inlineStr">
        <is>
          <t>1999-04-07</t>
        </is>
      </c>
      <c r="X912" t="inlineStr">
        <is>
          <t>1999-04-07</t>
        </is>
      </c>
      <c r="Y912" t="n">
        <v>423</v>
      </c>
      <c r="Z912" t="n">
        <v>338</v>
      </c>
      <c r="AA912" t="n">
        <v>343</v>
      </c>
      <c r="AB912" t="n">
        <v>3</v>
      </c>
      <c r="AC912" t="n">
        <v>3</v>
      </c>
      <c r="AD912" t="n">
        <v>17</v>
      </c>
      <c r="AE912" t="n">
        <v>17</v>
      </c>
      <c r="AF912" t="n">
        <v>5</v>
      </c>
      <c r="AG912" t="n">
        <v>5</v>
      </c>
      <c r="AH912" t="n">
        <v>4</v>
      </c>
      <c r="AI912" t="n">
        <v>4</v>
      </c>
      <c r="AJ912" t="n">
        <v>10</v>
      </c>
      <c r="AK912" t="n">
        <v>10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HYPERLINK("https://creighton-primo.hosted.exlibrisgroup.com/primo-explore/search?tab=default_tab&amp;search_scope=EVERYTHING&amp;vid=01CRU&amp;lang=en_US&amp;offset=0&amp;query=any,contains,991002929269702656","Catalog Record")</f>
        <v/>
      </c>
      <c r="AT912">
        <f>HYPERLINK("http://www.worldcat.org/oclc/38936739","WorldCat Record")</f>
        <v/>
      </c>
      <c r="AU912" t="inlineStr">
        <is>
          <t>808646610:eng</t>
        </is>
      </c>
      <c r="AV912" t="inlineStr">
        <is>
          <t>38936739</t>
        </is>
      </c>
      <c r="AW912" t="inlineStr">
        <is>
          <t>991002929269702656</t>
        </is>
      </c>
      <c r="AX912" t="inlineStr">
        <is>
          <t>991002929269702656</t>
        </is>
      </c>
      <c r="AY912" t="inlineStr">
        <is>
          <t>2266676430002656</t>
        </is>
      </c>
      <c r="AZ912" t="inlineStr">
        <is>
          <t>BOOK</t>
        </is>
      </c>
      <c r="BB912" t="inlineStr">
        <is>
          <t>9780300074093</t>
        </is>
      </c>
      <c r="BC912" t="inlineStr">
        <is>
          <t>32285003549333</t>
        </is>
      </c>
      <c r="BD912" t="inlineStr">
        <is>
          <t>893698446</t>
        </is>
      </c>
    </row>
    <row r="913">
      <c r="A913" t="inlineStr">
        <is>
          <t>No</t>
        </is>
      </c>
      <c r="B913" t="inlineStr">
        <is>
          <t>QH447.8.H65 G85 1994</t>
        </is>
      </c>
      <c r="C913" t="inlineStr">
        <is>
          <t>0                      QH 0447800H  65                 G  85          1994</t>
        </is>
      </c>
      <c r="D913" t="inlineStr">
        <is>
          <t>Guidebook to the homeobox genes / edited by Denis Duboule.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Oxford ; New York : Oxford University Press, c1994.</t>
        </is>
      </c>
      <c r="M913" t="inlineStr">
        <is>
          <t>1994</t>
        </is>
      </c>
      <c r="O913" t="inlineStr">
        <is>
          <t>eng</t>
        </is>
      </c>
      <c r="P913" t="inlineStr">
        <is>
          <t>enk</t>
        </is>
      </c>
      <c r="Q913" t="inlineStr">
        <is>
          <t>Guidebook series</t>
        </is>
      </c>
      <c r="R913" t="inlineStr">
        <is>
          <t xml:space="preserve">QH </t>
        </is>
      </c>
      <c r="S913" t="n">
        <v>4</v>
      </c>
      <c r="T913" t="n">
        <v>4</v>
      </c>
      <c r="U913" t="inlineStr">
        <is>
          <t>2002-07-13</t>
        </is>
      </c>
      <c r="V913" t="inlineStr">
        <is>
          <t>2002-07-13</t>
        </is>
      </c>
      <c r="W913" t="inlineStr">
        <is>
          <t>1996-11-27</t>
        </is>
      </c>
      <c r="X913" t="inlineStr">
        <is>
          <t>1996-11-27</t>
        </is>
      </c>
      <c r="Y913" t="n">
        <v>339</v>
      </c>
      <c r="Z913" t="n">
        <v>236</v>
      </c>
      <c r="AA913" t="n">
        <v>243</v>
      </c>
      <c r="AB913" t="n">
        <v>2</v>
      </c>
      <c r="AC913" t="n">
        <v>2</v>
      </c>
      <c r="AD913" t="n">
        <v>7</v>
      </c>
      <c r="AE913" t="n">
        <v>7</v>
      </c>
      <c r="AF913" t="n">
        <v>3</v>
      </c>
      <c r="AG913" t="n">
        <v>3</v>
      </c>
      <c r="AH913" t="n">
        <v>2</v>
      </c>
      <c r="AI913" t="n">
        <v>2</v>
      </c>
      <c r="AJ913" t="n">
        <v>4</v>
      </c>
      <c r="AK913" t="n">
        <v>4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HYPERLINK("http://catalog.hathitrust.org/Record/002910055","HathiTrust Record")</f>
        <v/>
      </c>
      <c r="AS913">
        <f>HYPERLINK("https://creighton-primo.hosted.exlibrisgroup.com/primo-explore/search?tab=default_tab&amp;search_scope=EVERYTHING&amp;vid=01CRU&amp;lang=en_US&amp;offset=0&amp;query=any,contains,991002294439702656","Catalog Record")</f>
        <v/>
      </c>
      <c r="AT913">
        <f>HYPERLINK("http://www.worldcat.org/oclc/29756957","WorldCat Record")</f>
        <v/>
      </c>
      <c r="AU913" t="inlineStr">
        <is>
          <t>31779859:eng</t>
        </is>
      </c>
      <c r="AV913" t="inlineStr">
        <is>
          <t>29756957</t>
        </is>
      </c>
      <c r="AW913" t="inlineStr">
        <is>
          <t>991002294439702656</t>
        </is>
      </c>
      <c r="AX913" t="inlineStr">
        <is>
          <t>991002294439702656</t>
        </is>
      </c>
      <c r="AY913" t="inlineStr">
        <is>
          <t>2265972340002656</t>
        </is>
      </c>
      <c r="AZ913" t="inlineStr">
        <is>
          <t>BOOK</t>
        </is>
      </c>
      <c r="BB913" t="inlineStr">
        <is>
          <t>9780198599395</t>
        </is>
      </c>
      <c r="BC913" t="inlineStr">
        <is>
          <t>32285002386620</t>
        </is>
      </c>
      <c r="BD913" t="inlineStr">
        <is>
          <t>893408936</t>
        </is>
      </c>
    </row>
    <row r="914">
      <c r="A914" t="inlineStr">
        <is>
          <t>No</t>
        </is>
      </c>
      <c r="B914" t="inlineStr">
        <is>
          <t>QH448 .S7</t>
        </is>
      </c>
      <c r="C914" t="inlineStr">
        <is>
          <t>0                      QH 0448000S  7</t>
        </is>
      </c>
      <c r="D914" t="inlineStr">
        <is>
          <t>Genetic recombination : thinking about it in phage and fungi / Franklin W. Stahl.</t>
        </is>
      </c>
      <c r="F914" t="inlineStr">
        <is>
          <t>No</t>
        </is>
      </c>
      <c r="G914" t="inlineStr">
        <is>
          <t>1</t>
        </is>
      </c>
      <c r="H914" t="inlineStr">
        <is>
          <t>Yes</t>
        </is>
      </c>
      <c r="I914" t="inlineStr">
        <is>
          <t>No</t>
        </is>
      </c>
      <c r="J914" t="inlineStr">
        <is>
          <t>0</t>
        </is>
      </c>
      <c r="K914" t="inlineStr">
        <is>
          <t>Stahl, Franklin W.</t>
        </is>
      </c>
      <c r="L914" t="inlineStr">
        <is>
          <t>San Francisco : W. H. Freeman, c1979.</t>
        </is>
      </c>
      <c r="M914" t="inlineStr">
        <is>
          <t>1979</t>
        </is>
      </c>
      <c r="O914" t="inlineStr">
        <is>
          <t>eng</t>
        </is>
      </c>
      <c r="P914" t="inlineStr">
        <is>
          <t>cau</t>
        </is>
      </c>
      <c r="Q914" t="inlineStr">
        <is>
          <t>A Series of books in biology</t>
        </is>
      </c>
      <c r="R914" t="inlineStr">
        <is>
          <t xml:space="preserve">QH </t>
        </is>
      </c>
      <c r="S914" t="n">
        <v>2</v>
      </c>
      <c r="T914" t="n">
        <v>2</v>
      </c>
      <c r="U914" t="inlineStr">
        <is>
          <t>2010-04-26</t>
        </is>
      </c>
      <c r="V914" t="inlineStr">
        <is>
          <t>2010-04-26</t>
        </is>
      </c>
      <c r="W914" t="inlineStr">
        <is>
          <t>1993-04-12</t>
        </is>
      </c>
      <c r="X914" t="inlineStr">
        <is>
          <t>1993-04-12</t>
        </is>
      </c>
      <c r="Y914" t="n">
        <v>530</v>
      </c>
      <c r="Z914" t="n">
        <v>413</v>
      </c>
      <c r="AA914" t="n">
        <v>413</v>
      </c>
      <c r="AB914" t="n">
        <v>6</v>
      </c>
      <c r="AC914" t="n">
        <v>6</v>
      </c>
      <c r="AD914" t="n">
        <v>16</v>
      </c>
      <c r="AE914" t="n">
        <v>16</v>
      </c>
      <c r="AF914" t="n">
        <v>4</v>
      </c>
      <c r="AG914" t="n">
        <v>4</v>
      </c>
      <c r="AH914" t="n">
        <v>3</v>
      </c>
      <c r="AI914" t="n">
        <v>3</v>
      </c>
      <c r="AJ914" t="n">
        <v>10</v>
      </c>
      <c r="AK914" t="n">
        <v>10</v>
      </c>
      <c r="AL914" t="n">
        <v>4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HYPERLINK("https://creighton-primo.hosted.exlibrisgroup.com/primo-explore/search?tab=default_tab&amp;search_scope=EVERYTHING&amp;vid=01CRU&amp;lang=en_US&amp;offset=0&amp;query=any,contains,991004754219702656","Catalog Record")</f>
        <v/>
      </c>
      <c r="AT914">
        <f>HYPERLINK("http://www.worldcat.org/oclc/4956846","WorldCat Record")</f>
        <v/>
      </c>
      <c r="AU914" t="inlineStr">
        <is>
          <t>822108140:eng</t>
        </is>
      </c>
      <c r="AV914" t="inlineStr">
        <is>
          <t>4956846</t>
        </is>
      </c>
      <c r="AW914" t="inlineStr">
        <is>
          <t>991004754219702656</t>
        </is>
      </c>
      <c r="AX914" t="inlineStr">
        <is>
          <t>991004754219702656</t>
        </is>
      </c>
      <c r="AY914" t="inlineStr">
        <is>
          <t>2269082630002656</t>
        </is>
      </c>
      <c r="AZ914" t="inlineStr">
        <is>
          <t>BOOK</t>
        </is>
      </c>
      <c r="BB914" t="inlineStr">
        <is>
          <t>9780716710370</t>
        </is>
      </c>
      <c r="BC914" t="inlineStr">
        <is>
          <t>32285001640118</t>
        </is>
      </c>
      <c r="BD914" t="inlineStr">
        <is>
          <t>893507195</t>
        </is>
      </c>
    </row>
    <row r="915">
      <c r="A915" t="inlineStr">
        <is>
          <t>No</t>
        </is>
      </c>
      <c r="B915" t="inlineStr">
        <is>
          <t>QH448.4 .G44 1989</t>
        </is>
      </c>
      <c r="C915" t="inlineStr">
        <is>
          <t>0                      QH 0448400G  44          1989</t>
        </is>
      </c>
      <c r="D915" t="inlineStr">
        <is>
          <t>Gene transfer in the environment / Stuart B. Levy, Robert V. Miller.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 York : McGraw-Hill, c1989.</t>
        </is>
      </c>
      <c r="M915" t="inlineStr">
        <is>
          <t>1989</t>
        </is>
      </c>
      <c r="O915" t="inlineStr">
        <is>
          <t>eng</t>
        </is>
      </c>
      <c r="P915" t="inlineStr">
        <is>
          <t>nyu</t>
        </is>
      </c>
      <c r="Q915" t="inlineStr">
        <is>
          <t>McGraw-Hill environmental biotechnology series</t>
        </is>
      </c>
      <c r="R915" t="inlineStr">
        <is>
          <t xml:space="preserve">QH </t>
        </is>
      </c>
      <c r="S915" t="n">
        <v>4</v>
      </c>
      <c r="T915" t="n">
        <v>4</v>
      </c>
      <c r="U915" t="inlineStr">
        <is>
          <t>2002-02-26</t>
        </is>
      </c>
      <c r="V915" t="inlineStr">
        <is>
          <t>2002-02-26</t>
        </is>
      </c>
      <c r="W915" t="inlineStr">
        <is>
          <t>1990-01-02</t>
        </is>
      </c>
      <c r="X915" t="inlineStr">
        <is>
          <t>1990-01-02</t>
        </is>
      </c>
      <c r="Y915" t="n">
        <v>306</v>
      </c>
      <c r="Z915" t="n">
        <v>220</v>
      </c>
      <c r="AA915" t="n">
        <v>221</v>
      </c>
      <c r="AB915" t="n">
        <v>3</v>
      </c>
      <c r="AC915" t="n">
        <v>3</v>
      </c>
      <c r="AD915" t="n">
        <v>9</v>
      </c>
      <c r="AE915" t="n">
        <v>9</v>
      </c>
      <c r="AF915" t="n">
        <v>2</v>
      </c>
      <c r="AG915" t="n">
        <v>2</v>
      </c>
      <c r="AH915" t="n">
        <v>2</v>
      </c>
      <c r="AI915" t="n">
        <v>2</v>
      </c>
      <c r="AJ915" t="n">
        <v>6</v>
      </c>
      <c r="AK915" t="n">
        <v>6</v>
      </c>
      <c r="AL915" t="n">
        <v>2</v>
      </c>
      <c r="AM915" t="n">
        <v>2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HYPERLINK("http://catalog.hathitrust.org/Record/001544105","HathiTrust Record")</f>
        <v/>
      </c>
      <c r="AS915">
        <f>HYPERLINK("https://creighton-primo.hosted.exlibrisgroup.com/primo-explore/search?tab=default_tab&amp;search_scope=EVERYTHING&amp;vid=01CRU&amp;lang=en_US&amp;offset=0&amp;query=any,contains,991001482589702656","Catalog Record")</f>
        <v/>
      </c>
      <c r="AT915">
        <f>HYPERLINK("http://www.worldcat.org/oclc/19628043","WorldCat Record")</f>
        <v/>
      </c>
      <c r="AU915" t="inlineStr">
        <is>
          <t>432156239:eng</t>
        </is>
      </c>
      <c r="AV915" t="inlineStr">
        <is>
          <t>19628043</t>
        </is>
      </c>
      <c r="AW915" t="inlineStr">
        <is>
          <t>991001482589702656</t>
        </is>
      </c>
      <c r="AX915" t="inlineStr">
        <is>
          <t>991001482589702656</t>
        </is>
      </c>
      <c r="AY915" t="inlineStr">
        <is>
          <t>2265684570002656</t>
        </is>
      </c>
      <c r="AZ915" t="inlineStr">
        <is>
          <t>BOOK</t>
        </is>
      </c>
      <c r="BB915" t="inlineStr">
        <is>
          <t>9780070372900</t>
        </is>
      </c>
      <c r="BC915" t="inlineStr">
        <is>
          <t>32285000019280</t>
        </is>
      </c>
      <c r="BD915" t="inlineStr">
        <is>
          <t>893238147</t>
        </is>
      </c>
    </row>
    <row r="916">
      <c r="A916" t="inlineStr">
        <is>
          <t>No</t>
        </is>
      </c>
      <c r="B916" t="inlineStr">
        <is>
          <t>QH448.4 .H67 2008</t>
        </is>
      </c>
      <c r="C916" t="inlineStr">
        <is>
          <t>0                      QH 0448400H  67          2008</t>
        </is>
      </c>
      <c r="D916" t="inlineStr">
        <is>
          <t>Horizontal gene transfer in the evolution of pathogenesis / edited by Michael Hensel, Herbert Schmidt.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Cambridge ; New York : Cambridge University Press, 2008.</t>
        </is>
      </c>
      <c r="M916" t="inlineStr">
        <is>
          <t>2008</t>
        </is>
      </c>
      <c r="O916" t="inlineStr">
        <is>
          <t>eng</t>
        </is>
      </c>
      <c r="P916" t="inlineStr">
        <is>
          <t>enk</t>
        </is>
      </c>
      <c r="Q916" t="inlineStr">
        <is>
          <t>Advances in molecular and cellular microbiology ; 16</t>
        </is>
      </c>
      <c r="R916" t="inlineStr">
        <is>
          <t xml:space="preserve">QH </t>
        </is>
      </c>
      <c r="S916" t="n">
        <v>2</v>
      </c>
      <c r="T916" t="n">
        <v>2</v>
      </c>
      <c r="U916" t="inlineStr">
        <is>
          <t>2010-02-24</t>
        </is>
      </c>
      <c r="V916" t="inlineStr">
        <is>
          <t>2010-02-24</t>
        </is>
      </c>
      <c r="W916" t="inlineStr">
        <is>
          <t>2009-10-26</t>
        </is>
      </c>
      <c r="X916" t="inlineStr">
        <is>
          <t>2009-10-26</t>
        </is>
      </c>
      <c r="Y916" t="n">
        <v>165</v>
      </c>
      <c r="Z916" t="n">
        <v>118</v>
      </c>
      <c r="AA916" t="n">
        <v>626</v>
      </c>
      <c r="AB916" t="n">
        <v>2</v>
      </c>
      <c r="AC916" t="n">
        <v>13</v>
      </c>
      <c r="AD916" t="n">
        <v>6</v>
      </c>
      <c r="AE916" t="n">
        <v>30</v>
      </c>
      <c r="AF916" t="n">
        <v>1</v>
      </c>
      <c r="AG916" t="n">
        <v>7</v>
      </c>
      <c r="AH916" t="n">
        <v>2</v>
      </c>
      <c r="AI916" t="n">
        <v>6</v>
      </c>
      <c r="AJ916" t="n">
        <v>4</v>
      </c>
      <c r="AK916" t="n">
        <v>10</v>
      </c>
      <c r="AL916" t="n">
        <v>1</v>
      </c>
      <c r="AM916" t="n">
        <v>11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HYPERLINK("https://creighton-primo.hosted.exlibrisgroup.com/primo-explore/search?tab=default_tab&amp;search_scope=EVERYTHING&amp;vid=01CRU&amp;lang=en_US&amp;offset=0&amp;query=any,contains,991005338659702656","Catalog Record")</f>
        <v/>
      </c>
      <c r="AT916">
        <f>HYPERLINK("http://www.worldcat.org/oclc/175174337","WorldCat Record")</f>
        <v/>
      </c>
      <c r="AU916" t="inlineStr">
        <is>
          <t>368878159:eng</t>
        </is>
      </c>
      <c r="AV916" t="inlineStr">
        <is>
          <t>175174337</t>
        </is>
      </c>
      <c r="AW916" t="inlineStr">
        <is>
          <t>991005338659702656</t>
        </is>
      </c>
      <c r="AX916" t="inlineStr">
        <is>
          <t>991005338659702656</t>
        </is>
      </c>
      <c r="AY916" t="inlineStr">
        <is>
          <t>2269274100002656</t>
        </is>
      </c>
      <c r="AZ916" t="inlineStr">
        <is>
          <t>BOOK</t>
        </is>
      </c>
      <c r="BB916" t="inlineStr">
        <is>
          <t>9780521862974</t>
        </is>
      </c>
      <c r="BC916" t="inlineStr">
        <is>
          <t>32285005548374</t>
        </is>
      </c>
      <c r="BD916" t="inlineStr">
        <is>
          <t>893896239</t>
        </is>
      </c>
    </row>
    <row r="917">
      <c r="A917" t="inlineStr">
        <is>
          <t>No</t>
        </is>
      </c>
      <c r="B917" t="inlineStr">
        <is>
          <t>QH448.4 .M33 1985</t>
        </is>
      </c>
      <c r="C917" t="inlineStr">
        <is>
          <t>0                      QH 0448400M  33          1985</t>
        </is>
      </c>
      <c r="D917" t="inlineStr">
        <is>
          <t>The Transforming principle : discovering that genes are made of DNA / Maclyn McCarty.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McCarty, Maclyn.</t>
        </is>
      </c>
      <c r="L917" t="inlineStr">
        <is>
          <t>New York : W. W. Norton, c1985.</t>
        </is>
      </c>
      <c r="M917" t="inlineStr">
        <is>
          <t>1985</t>
        </is>
      </c>
      <c r="N917" t="inlineStr">
        <is>
          <t>1st ed.</t>
        </is>
      </c>
      <c r="O917" t="inlineStr">
        <is>
          <t>eng</t>
        </is>
      </c>
      <c r="P917" t="inlineStr">
        <is>
          <t>nyu</t>
        </is>
      </c>
      <c r="R917" t="inlineStr">
        <is>
          <t xml:space="preserve">QH </t>
        </is>
      </c>
      <c r="S917" t="n">
        <v>5</v>
      </c>
      <c r="T917" t="n">
        <v>5</v>
      </c>
      <c r="U917" t="inlineStr">
        <is>
          <t>1995-10-20</t>
        </is>
      </c>
      <c r="V917" t="inlineStr">
        <is>
          <t>1995-10-20</t>
        </is>
      </c>
      <c r="W917" t="inlineStr">
        <is>
          <t>1993-04-12</t>
        </is>
      </c>
      <c r="X917" t="inlineStr">
        <is>
          <t>1993-04-12</t>
        </is>
      </c>
      <c r="Y917" t="n">
        <v>872</v>
      </c>
      <c r="Z917" t="n">
        <v>795</v>
      </c>
      <c r="AA917" t="n">
        <v>851</v>
      </c>
      <c r="AB917" t="n">
        <v>3</v>
      </c>
      <c r="AC917" t="n">
        <v>4</v>
      </c>
      <c r="AD917" t="n">
        <v>26</v>
      </c>
      <c r="AE917" t="n">
        <v>28</v>
      </c>
      <c r="AF917" t="n">
        <v>11</v>
      </c>
      <c r="AG917" t="n">
        <v>12</v>
      </c>
      <c r="AH917" t="n">
        <v>4</v>
      </c>
      <c r="AI917" t="n">
        <v>4</v>
      </c>
      <c r="AJ917" t="n">
        <v>14</v>
      </c>
      <c r="AK917" t="n">
        <v>15</v>
      </c>
      <c r="AL917" t="n">
        <v>2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HYPERLINK("https://creighton-primo.hosted.exlibrisgroup.com/primo-explore/search?tab=default_tab&amp;search_scope=EVERYTHING&amp;vid=01CRU&amp;lang=en_US&amp;offset=0&amp;query=any,contains,991000498909702656","Catalog Record")</f>
        <v/>
      </c>
      <c r="AT917">
        <f>HYPERLINK("http://www.worldcat.org/oclc/11159474","WorldCat Record")</f>
        <v/>
      </c>
      <c r="AU917" t="inlineStr">
        <is>
          <t>287485864:eng</t>
        </is>
      </c>
      <c r="AV917" t="inlineStr">
        <is>
          <t>11159474</t>
        </is>
      </c>
      <c r="AW917" t="inlineStr">
        <is>
          <t>991000498909702656</t>
        </is>
      </c>
      <c r="AX917" t="inlineStr">
        <is>
          <t>991000498909702656</t>
        </is>
      </c>
      <c r="AY917" t="inlineStr">
        <is>
          <t>2258004180002656</t>
        </is>
      </c>
      <c r="AZ917" t="inlineStr">
        <is>
          <t>BOOK</t>
        </is>
      </c>
      <c r="BC917" t="inlineStr">
        <is>
          <t>32285001640126</t>
        </is>
      </c>
      <c r="BD917" t="inlineStr">
        <is>
          <t>893702174</t>
        </is>
      </c>
    </row>
    <row r="918">
      <c r="A918" t="inlineStr">
        <is>
          <t>No</t>
        </is>
      </c>
      <c r="B918" t="inlineStr">
        <is>
          <t>QH45 .D8 1986</t>
        </is>
      </c>
      <c r="C918" t="inlineStr">
        <is>
          <t>0                      QH 0045000D  8           1986</t>
        </is>
      </c>
      <c r="D918" t="inlineStr">
        <is>
          <t>Philosophie und Naturwissenschaft : Essays, Gedichte und Reden / Friedrich Dürrenmatt.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Dürrenmatt, Friedrich.</t>
        </is>
      </c>
      <c r="L918" t="inlineStr">
        <is>
          <t>Zürich : Diogenes, c1986.</t>
        </is>
      </c>
      <c r="M918" t="inlineStr">
        <is>
          <t>1986</t>
        </is>
      </c>
      <c r="O918" t="inlineStr">
        <is>
          <t>ger</t>
        </is>
      </c>
      <c r="P918" t="inlineStr">
        <is>
          <t xml:space="preserve">sz </t>
        </is>
      </c>
      <c r="Q918" t="inlineStr">
        <is>
          <t>Werkausgabe in dreissig Bänden / Friedrich Dürrenmatt ; Bd. 27</t>
        </is>
      </c>
      <c r="R918" t="inlineStr">
        <is>
          <t xml:space="preserve">QH </t>
        </is>
      </c>
      <c r="S918" t="n">
        <v>4</v>
      </c>
      <c r="T918" t="n">
        <v>4</v>
      </c>
      <c r="U918" t="inlineStr">
        <is>
          <t>1999-10-24</t>
        </is>
      </c>
      <c r="V918" t="inlineStr">
        <is>
          <t>1999-10-24</t>
        </is>
      </c>
      <c r="W918" t="inlineStr">
        <is>
          <t>1992-07-09</t>
        </is>
      </c>
      <c r="X918" t="inlineStr">
        <is>
          <t>1992-07-09</t>
        </is>
      </c>
      <c r="Y918" t="n">
        <v>23</v>
      </c>
      <c r="Z918" t="n">
        <v>8</v>
      </c>
      <c r="AA918" t="n">
        <v>43</v>
      </c>
      <c r="AB918" t="n">
        <v>1</v>
      </c>
      <c r="AC918" t="n">
        <v>1</v>
      </c>
      <c r="AD918" t="n">
        <v>1</v>
      </c>
      <c r="AE918" t="n">
        <v>2</v>
      </c>
      <c r="AF918" t="n">
        <v>0</v>
      </c>
      <c r="AG918" t="n">
        <v>0</v>
      </c>
      <c r="AH918" t="n">
        <v>1</v>
      </c>
      <c r="AI918" t="n">
        <v>1</v>
      </c>
      <c r="AJ918" t="n">
        <v>1</v>
      </c>
      <c r="AK918" t="n">
        <v>2</v>
      </c>
      <c r="AL918" t="n">
        <v>0</v>
      </c>
      <c r="AM918" t="n">
        <v>0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HYPERLINK("https://creighton-primo.hosted.exlibrisgroup.com/primo-explore/search?tab=default_tab&amp;search_scope=EVERYTHING&amp;vid=01CRU&amp;lang=en_US&amp;offset=0&amp;query=any,contains,991001095259702656","Catalog Record")</f>
        <v/>
      </c>
      <c r="AT918">
        <f>HYPERLINK("http://www.worldcat.org/oclc/16239248","WorldCat Record")</f>
        <v/>
      </c>
      <c r="AU918" t="inlineStr">
        <is>
          <t>859889019:ger</t>
        </is>
      </c>
      <c r="AV918" t="inlineStr">
        <is>
          <t>16239248</t>
        </is>
      </c>
      <c r="AW918" t="inlineStr">
        <is>
          <t>991001095259702656</t>
        </is>
      </c>
      <c r="AX918" t="inlineStr">
        <is>
          <t>991001095259702656</t>
        </is>
      </c>
      <c r="AY918" t="inlineStr">
        <is>
          <t>2266525760002656</t>
        </is>
      </c>
      <c r="AZ918" t="inlineStr">
        <is>
          <t>BOOK</t>
        </is>
      </c>
      <c r="BC918" t="inlineStr">
        <is>
          <t>32285001157741</t>
        </is>
      </c>
      <c r="BD918" t="inlineStr">
        <is>
          <t>893528657</t>
        </is>
      </c>
    </row>
    <row r="919">
      <c r="A919" t="inlineStr">
        <is>
          <t>No</t>
        </is>
      </c>
      <c r="B919" t="inlineStr">
        <is>
          <t>QH45.2 .N38 1997</t>
        </is>
      </c>
      <c r="C919" t="inlineStr">
        <is>
          <t>0                      QH 0045200N  38          1997</t>
        </is>
      </c>
      <c r="D919" t="inlineStr">
        <is>
          <t>Nature's masterpieces.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 York : Reader's Digest, 1997.</t>
        </is>
      </c>
      <c r="M919" t="inlineStr">
        <is>
          <t>1997</t>
        </is>
      </c>
      <c r="O919" t="inlineStr">
        <is>
          <t>eng</t>
        </is>
      </c>
      <c r="P919" t="inlineStr">
        <is>
          <t>nyu</t>
        </is>
      </c>
      <c r="Q919" t="inlineStr">
        <is>
          <t>The earth, its wonders, its secrets</t>
        </is>
      </c>
      <c r="R919" t="inlineStr">
        <is>
          <t xml:space="preserve">QH </t>
        </is>
      </c>
      <c r="S919" t="n">
        <v>1</v>
      </c>
      <c r="T919" t="n">
        <v>1</v>
      </c>
      <c r="U919" t="inlineStr">
        <is>
          <t>2000-08-09</t>
        </is>
      </c>
      <c r="V919" t="inlineStr">
        <is>
          <t>2000-08-09</t>
        </is>
      </c>
      <c r="W919" t="inlineStr">
        <is>
          <t>1998-06-30</t>
        </is>
      </c>
      <c r="X919" t="inlineStr">
        <is>
          <t>1998-06-30</t>
        </is>
      </c>
      <c r="Y919" t="n">
        <v>465</v>
      </c>
      <c r="Z919" t="n">
        <v>462</v>
      </c>
      <c r="AA919" t="n">
        <v>494</v>
      </c>
      <c r="AB919" t="n">
        <v>6</v>
      </c>
      <c r="AC919" t="n">
        <v>6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HYPERLINK("https://creighton-primo.hosted.exlibrisgroup.com/primo-explore/search?tab=default_tab&amp;search_scope=EVERYTHING&amp;vid=01CRU&amp;lang=en_US&amp;offset=0&amp;query=any,contains,991002817859702656","Catalog Record")</f>
        <v/>
      </c>
      <c r="AT919">
        <f>HYPERLINK("http://www.worldcat.org/oclc/37011347","WorldCat Record")</f>
        <v/>
      </c>
      <c r="AU919" t="inlineStr">
        <is>
          <t>19432467:eng</t>
        </is>
      </c>
      <c r="AV919" t="inlineStr">
        <is>
          <t>37011347</t>
        </is>
      </c>
      <c r="AW919" t="inlineStr">
        <is>
          <t>991002817859702656</t>
        </is>
      </c>
      <c r="AX919" t="inlineStr">
        <is>
          <t>991002817859702656</t>
        </is>
      </c>
      <c r="AY919" t="inlineStr">
        <is>
          <t>2268238680002656</t>
        </is>
      </c>
      <c r="AZ919" t="inlineStr">
        <is>
          <t>BOOK</t>
        </is>
      </c>
      <c r="BB919" t="inlineStr">
        <is>
          <t>9780895779144</t>
        </is>
      </c>
      <c r="BC919" t="inlineStr">
        <is>
          <t>32285003424651</t>
        </is>
      </c>
      <c r="BD919" t="inlineStr">
        <is>
          <t>893530514</t>
        </is>
      </c>
    </row>
    <row r="920">
      <c r="A920" t="inlineStr">
        <is>
          <t>No</t>
        </is>
      </c>
      <c r="B920" t="inlineStr">
        <is>
          <t>QH45.5 .A23 1984</t>
        </is>
      </c>
      <c r="C920" t="inlineStr">
        <is>
          <t>0                      QH 0045500A  23          1984</t>
        </is>
      </c>
      <c r="D920" t="inlineStr">
        <is>
          <t>ABC's of nature : a family answer book.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L920" t="inlineStr">
        <is>
          <t>Pleasantville, N.Y. : Reader's Digest Association, c1984.</t>
        </is>
      </c>
      <c r="M920" t="inlineStr">
        <is>
          <t>1984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QH </t>
        </is>
      </c>
      <c r="S920" t="n">
        <v>5</v>
      </c>
      <c r="T920" t="n">
        <v>5</v>
      </c>
      <c r="U920" t="inlineStr">
        <is>
          <t>1997-02-03</t>
        </is>
      </c>
      <c r="V920" t="inlineStr">
        <is>
          <t>1997-02-03</t>
        </is>
      </c>
      <c r="W920" t="inlineStr">
        <is>
          <t>1994-06-21</t>
        </is>
      </c>
      <c r="X920" t="inlineStr">
        <is>
          <t>1994-06-21</t>
        </is>
      </c>
      <c r="Y920" t="n">
        <v>1090</v>
      </c>
      <c r="Z920" t="n">
        <v>1069</v>
      </c>
      <c r="AA920" t="n">
        <v>1085</v>
      </c>
      <c r="AB920" t="n">
        <v>11</v>
      </c>
      <c r="AC920" t="n">
        <v>11</v>
      </c>
      <c r="AD920" t="n">
        <v>5</v>
      </c>
      <c r="AE920" t="n">
        <v>5</v>
      </c>
      <c r="AF920" t="n">
        <v>3</v>
      </c>
      <c r="AG920" t="n">
        <v>3</v>
      </c>
      <c r="AH920" t="n">
        <v>0</v>
      </c>
      <c r="AI920" t="n">
        <v>0</v>
      </c>
      <c r="AJ920" t="n">
        <v>2</v>
      </c>
      <c r="AK920" t="n">
        <v>2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HYPERLINK("https://creighton-primo.hosted.exlibrisgroup.com/primo-explore/search?tab=default_tab&amp;search_scope=EVERYTHING&amp;vid=01CRU&amp;lang=en_US&amp;offset=0&amp;query=any,contains,991000215969702656","Catalog Record")</f>
        <v/>
      </c>
      <c r="AT920">
        <f>HYPERLINK("http://www.worldcat.org/oclc/9557647","WorldCat Record")</f>
        <v/>
      </c>
      <c r="AU920" t="inlineStr">
        <is>
          <t>43038388:eng</t>
        </is>
      </c>
      <c r="AV920" t="inlineStr">
        <is>
          <t>9557647</t>
        </is>
      </c>
      <c r="AW920" t="inlineStr">
        <is>
          <t>991000215969702656</t>
        </is>
      </c>
      <c r="AX920" t="inlineStr">
        <is>
          <t>991000215969702656</t>
        </is>
      </c>
      <c r="AY920" t="inlineStr">
        <is>
          <t>2266871420002656</t>
        </is>
      </c>
      <c r="AZ920" t="inlineStr">
        <is>
          <t>BOOK</t>
        </is>
      </c>
      <c r="BB920" t="inlineStr">
        <is>
          <t>9780895771698</t>
        </is>
      </c>
      <c r="BC920" t="inlineStr">
        <is>
          <t>32285001916898</t>
        </is>
      </c>
      <c r="BD920" t="inlineStr">
        <is>
          <t>893877898</t>
        </is>
      </c>
    </row>
    <row r="921">
      <c r="A921" t="inlineStr">
        <is>
          <t>No</t>
        </is>
      </c>
      <c r="B921" t="inlineStr">
        <is>
          <t>QH45.5 .F68 1993</t>
        </is>
      </c>
      <c r="C921" t="inlineStr">
        <is>
          <t>0                      QH 0045500F  68          1993</t>
        </is>
      </c>
      <c r="D921" t="inlineStr">
        <is>
          <t>Jim Fowler's wildest places on earth.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Fowler, Jim, 1930-2019.</t>
        </is>
      </c>
      <c r="L921" t="inlineStr">
        <is>
          <t>Alexandria, Va. : Time-Life Books, [c1993]</t>
        </is>
      </c>
      <c r="M921" t="inlineStr">
        <is>
          <t>1993</t>
        </is>
      </c>
      <c r="O921" t="inlineStr">
        <is>
          <t>eng</t>
        </is>
      </c>
      <c r="P921" t="inlineStr">
        <is>
          <t>vau</t>
        </is>
      </c>
      <c r="R921" t="inlineStr">
        <is>
          <t xml:space="preserve">QH </t>
        </is>
      </c>
      <c r="S921" t="n">
        <v>1</v>
      </c>
      <c r="T921" t="n">
        <v>1</v>
      </c>
      <c r="U921" t="inlineStr">
        <is>
          <t>2001-04-05</t>
        </is>
      </c>
      <c r="V921" t="inlineStr">
        <is>
          <t>2001-04-05</t>
        </is>
      </c>
      <c r="W921" t="inlineStr">
        <is>
          <t>2001-04-05</t>
        </is>
      </c>
      <c r="X921" t="inlineStr">
        <is>
          <t>2001-04-05</t>
        </is>
      </c>
      <c r="Y921" t="n">
        <v>204</v>
      </c>
      <c r="Z921" t="n">
        <v>199</v>
      </c>
      <c r="AA921" t="n">
        <v>199</v>
      </c>
      <c r="AB921" t="n">
        <v>6</v>
      </c>
      <c r="AC921" t="n">
        <v>6</v>
      </c>
      <c r="AD921" t="n">
        <v>2</v>
      </c>
      <c r="AE921" t="n">
        <v>2</v>
      </c>
      <c r="AF921" t="n">
        <v>0</v>
      </c>
      <c r="AG921" t="n">
        <v>0</v>
      </c>
      <c r="AH921" t="n">
        <v>0</v>
      </c>
      <c r="AI921" t="n">
        <v>0</v>
      </c>
      <c r="AJ921" t="n">
        <v>1</v>
      </c>
      <c r="AK921" t="n">
        <v>1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HYPERLINK("https://creighton-primo.hosted.exlibrisgroup.com/primo-explore/search?tab=default_tab&amp;search_scope=EVERYTHING&amp;vid=01CRU&amp;lang=en_US&amp;offset=0&amp;query=any,contains,991003518179702656","Catalog Record")</f>
        <v/>
      </c>
      <c r="AT921">
        <f>HYPERLINK("http://www.worldcat.org/oclc/27935592","WorldCat Record")</f>
        <v/>
      </c>
      <c r="AU921" t="inlineStr">
        <is>
          <t>353169:eng</t>
        </is>
      </c>
      <c r="AV921" t="inlineStr">
        <is>
          <t>27935592</t>
        </is>
      </c>
      <c r="AW921" t="inlineStr">
        <is>
          <t>991003518179702656</t>
        </is>
      </c>
      <c r="AX921" t="inlineStr">
        <is>
          <t>991003518179702656</t>
        </is>
      </c>
      <c r="AY921" t="inlineStr">
        <is>
          <t>2258642650002656</t>
        </is>
      </c>
      <c r="AZ921" t="inlineStr">
        <is>
          <t>BOOK</t>
        </is>
      </c>
      <c r="BB921" t="inlineStr">
        <is>
          <t>9780809466887</t>
        </is>
      </c>
      <c r="BC921" t="inlineStr">
        <is>
          <t>32285004310198</t>
        </is>
      </c>
      <c r="BD921" t="inlineStr">
        <is>
          <t>893342647</t>
        </is>
      </c>
    </row>
    <row r="922">
      <c r="A922" t="inlineStr">
        <is>
          <t>No</t>
        </is>
      </c>
      <c r="B922" t="inlineStr">
        <is>
          <t>QH45.5 .G68 1995</t>
        </is>
      </c>
      <c r="C922" t="inlineStr">
        <is>
          <t>0                      QH 0045500G  68          1995</t>
        </is>
      </c>
      <c r="D922" t="inlineStr">
        <is>
          <t>Dinosaur in a haystack : reflections in natural history / Stephen Jay Gould.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Gould, Stephen Jay.</t>
        </is>
      </c>
      <c r="L922" t="inlineStr">
        <is>
          <t>New York : Harmony Books, c1995.</t>
        </is>
      </c>
      <c r="M922" t="inlineStr">
        <is>
          <t>1995</t>
        </is>
      </c>
      <c r="N922" t="inlineStr">
        <is>
          <t>1st ed.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QH </t>
        </is>
      </c>
      <c r="S922" t="n">
        <v>10</v>
      </c>
      <c r="T922" t="n">
        <v>10</v>
      </c>
      <c r="U922" t="inlineStr">
        <is>
          <t>1999-11-01</t>
        </is>
      </c>
      <c r="V922" t="inlineStr">
        <is>
          <t>1999-11-01</t>
        </is>
      </c>
      <c r="W922" t="inlineStr">
        <is>
          <t>1996-01-17</t>
        </is>
      </c>
      <c r="X922" t="inlineStr">
        <is>
          <t>1996-01-17</t>
        </is>
      </c>
      <c r="Y922" t="n">
        <v>1625</v>
      </c>
      <c r="Z922" t="n">
        <v>1520</v>
      </c>
      <c r="AA922" t="n">
        <v>2022</v>
      </c>
      <c r="AB922" t="n">
        <v>14</v>
      </c>
      <c r="AC922" t="n">
        <v>16</v>
      </c>
      <c r="AD922" t="n">
        <v>38</v>
      </c>
      <c r="AE922" t="n">
        <v>45</v>
      </c>
      <c r="AF922" t="n">
        <v>13</v>
      </c>
      <c r="AG922" t="n">
        <v>16</v>
      </c>
      <c r="AH922" t="n">
        <v>8</v>
      </c>
      <c r="AI922" t="n">
        <v>9</v>
      </c>
      <c r="AJ922" t="n">
        <v>19</v>
      </c>
      <c r="AK922" t="n">
        <v>22</v>
      </c>
      <c r="AL922" t="n">
        <v>6</v>
      </c>
      <c r="AM922" t="n">
        <v>8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HYPERLINK("http://catalog.hathitrust.org/Record/003028264","HathiTrust Record")</f>
        <v/>
      </c>
      <c r="AS922">
        <f>HYPERLINK("https://creighton-primo.hosted.exlibrisgroup.com/primo-explore/search?tab=default_tab&amp;search_scope=EVERYTHING&amp;vid=01CRU&amp;lang=en_US&amp;offset=0&amp;query=any,contains,991002585579702656","Catalog Record")</f>
        <v/>
      </c>
      <c r="AT922">
        <f>HYPERLINK("http://www.worldcat.org/oclc/33892123","WorldCat Record")</f>
        <v/>
      </c>
      <c r="AU922" t="inlineStr">
        <is>
          <t>9552618:eng</t>
        </is>
      </c>
      <c r="AV922" t="inlineStr">
        <is>
          <t>33892123</t>
        </is>
      </c>
      <c r="AW922" t="inlineStr">
        <is>
          <t>991002585579702656</t>
        </is>
      </c>
      <c r="AX922" t="inlineStr">
        <is>
          <t>991002585579702656</t>
        </is>
      </c>
      <c r="AY922" t="inlineStr">
        <is>
          <t>2257226270002656</t>
        </is>
      </c>
      <c r="AZ922" t="inlineStr">
        <is>
          <t>BOOK</t>
        </is>
      </c>
      <c r="BB922" t="inlineStr">
        <is>
          <t>9780517703939</t>
        </is>
      </c>
      <c r="BC922" t="inlineStr">
        <is>
          <t>32285002118486</t>
        </is>
      </c>
      <c r="BD922" t="inlineStr">
        <is>
          <t>893867416</t>
        </is>
      </c>
    </row>
    <row r="923">
      <c r="A923" t="inlineStr">
        <is>
          <t>No</t>
        </is>
      </c>
      <c r="B923" t="inlineStr">
        <is>
          <t>QH45.5 .G725 2002</t>
        </is>
      </c>
      <c r="C923" t="inlineStr">
        <is>
          <t>0                      QH 0045500G  725         2002</t>
        </is>
      </c>
      <c r="D923" t="inlineStr">
        <is>
          <t>I have landed : the end of a beginning in natural history / Stephen Jay Gould.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Gould, Stephen Jay.</t>
        </is>
      </c>
      <c r="L923" t="inlineStr">
        <is>
          <t>New York : Harmony Books, 2002.</t>
        </is>
      </c>
      <c r="M923" t="inlineStr">
        <is>
          <t>2002</t>
        </is>
      </c>
      <c r="N923" t="inlineStr">
        <is>
          <t>1st ed.</t>
        </is>
      </c>
      <c r="O923" t="inlineStr">
        <is>
          <t>eng</t>
        </is>
      </c>
      <c r="P923" t="inlineStr">
        <is>
          <t>nyu</t>
        </is>
      </c>
      <c r="R923" t="inlineStr">
        <is>
          <t xml:space="preserve">QH </t>
        </is>
      </c>
      <c r="S923" t="n">
        <v>2</v>
      </c>
      <c r="T923" t="n">
        <v>2</v>
      </c>
      <c r="U923" t="inlineStr">
        <is>
          <t>2002-05-20</t>
        </is>
      </c>
      <c r="V923" t="inlineStr">
        <is>
          <t>2002-05-20</t>
        </is>
      </c>
      <c r="W923" t="inlineStr">
        <is>
          <t>2002-05-13</t>
        </is>
      </c>
      <c r="X923" t="inlineStr">
        <is>
          <t>2002-05-13</t>
        </is>
      </c>
      <c r="Y923" t="n">
        <v>1386</v>
      </c>
      <c r="Z923" t="n">
        <v>1291</v>
      </c>
      <c r="AA923" t="n">
        <v>1672</v>
      </c>
      <c r="AB923" t="n">
        <v>12</v>
      </c>
      <c r="AC923" t="n">
        <v>16</v>
      </c>
      <c r="AD923" t="n">
        <v>39</v>
      </c>
      <c r="AE923" t="n">
        <v>44</v>
      </c>
      <c r="AF923" t="n">
        <v>18</v>
      </c>
      <c r="AG923" t="n">
        <v>19</v>
      </c>
      <c r="AH923" t="n">
        <v>6</v>
      </c>
      <c r="AI923" t="n">
        <v>6</v>
      </c>
      <c r="AJ923" t="n">
        <v>17</v>
      </c>
      <c r="AK923" t="n">
        <v>19</v>
      </c>
      <c r="AL923" t="n">
        <v>8</v>
      </c>
      <c r="AM923" t="n">
        <v>10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HYPERLINK("http://catalog.hathitrust.org/Record/004244761","HathiTrust Record")</f>
        <v/>
      </c>
      <c r="AS923">
        <f>HYPERLINK("https://creighton-primo.hosted.exlibrisgroup.com/primo-explore/search?tab=default_tab&amp;search_scope=EVERYTHING&amp;vid=01CRU&amp;lang=en_US&amp;offset=0&amp;query=any,contains,991003769709702656","Catalog Record")</f>
        <v/>
      </c>
      <c r="AT923">
        <f>HYPERLINK("http://www.worldcat.org/oclc/49421722","WorldCat Record")</f>
        <v/>
      </c>
      <c r="AU923" t="inlineStr">
        <is>
          <t>753341:eng</t>
        </is>
      </c>
      <c r="AV923" t="inlineStr">
        <is>
          <t>49421722</t>
        </is>
      </c>
      <c r="AW923" t="inlineStr">
        <is>
          <t>991003769709702656</t>
        </is>
      </c>
      <c r="AX923" t="inlineStr">
        <is>
          <t>991003769709702656</t>
        </is>
      </c>
      <c r="AY923" t="inlineStr">
        <is>
          <t>2255128970002656</t>
        </is>
      </c>
      <c r="AZ923" t="inlineStr">
        <is>
          <t>BOOK</t>
        </is>
      </c>
      <c r="BB923" t="inlineStr">
        <is>
          <t>9780609601433</t>
        </is>
      </c>
      <c r="BC923" t="inlineStr">
        <is>
          <t>32285004487095</t>
        </is>
      </c>
      <c r="BD923" t="inlineStr">
        <is>
          <t>893693133</t>
        </is>
      </c>
    </row>
    <row r="924">
      <c r="A924" t="inlineStr">
        <is>
          <t>No</t>
        </is>
      </c>
      <c r="B924" t="inlineStr">
        <is>
          <t>QH45.5 .J36 1994</t>
        </is>
      </c>
      <c r="C924" t="inlineStr">
        <is>
          <t>0                      QH 0045500J  36          1994</t>
        </is>
      </c>
      <c r="D924" t="inlineStr">
        <is>
          <t>Dunwoody Pond : reflections on the high plains wetlands and the cultivation of naturalists / John Janovy, Jr.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Janovy, John, Jr., 1937-</t>
        </is>
      </c>
      <c r="L924" t="inlineStr">
        <is>
          <t>New York : St. Martin's Press, c1994.</t>
        </is>
      </c>
      <c r="M924" t="inlineStr">
        <is>
          <t>1994</t>
        </is>
      </c>
      <c r="N924" t="inlineStr">
        <is>
          <t>1st ed.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QH </t>
        </is>
      </c>
      <c r="S924" t="n">
        <v>3</v>
      </c>
      <c r="T924" t="n">
        <v>3</v>
      </c>
      <c r="U924" t="inlineStr">
        <is>
          <t>2001-10-12</t>
        </is>
      </c>
      <c r="V924" t="inlineStr">
        <is>
          <t>2001-10-12</t>
        </is>
      </c>
      <c r="W924" t="inlineStr">
        <is>
          <t>2000-10-24</t>
        </is>
      </c>
      <c r="X924" t="inlineStr">
        <is>
          <t>2000-10-24</t>
        </is>
      </c>
      <c r="Y924" t="n">
        <v>165</v>
      </c>
      <c r="Z924" t="n">
        <v>157</v>
      </c>
      <c r="AA924" t="n">
        <v>202</v>
      </c>
      <c r="AB924" t="n">
        <v>14</v>
      </c>
      <c r="AC924" t="n">
        <v>24</v>
      </c>
      <c r="AD924" t="n">
        <v>11</v>
      </c>
      <c r="AE924" t="n">
        <v>14</v>
      </c>
      <c r="AF924" t="n">
        <v>0</v>
      </c>
      <c r="AG924" t="n">
        <v>0</v>
      </c>
      <c r="AH924" t="n">
        <v>1</v>
      </c>
      <c r="AI924" t="n">
        <v>2</v>
      </c>
      <c r="AJ924" t="n">
        <v>1</v>
      </c>
      <c r="AK924" t="n">
        <v>1</v>
      </c>
      <c r="AL924" t="n">
        <v>9</v>
      </c>
      <c r="AM924" t="n">
        <v>11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HYPERLINK("https://creighton-primo.hosted.exlibrisgroup.com/primo-explore/search?tab=default_tab&amp;search_scope=EVERYTHING&amp;vid=01CRU&amp;lang=en_US&amp;offset=0&amp;query=any,contains,991003311919702656","Catalog Record")</f>
        <v/>
      </c>
      <c r="AT924">
        <f>HYPERLINK("http://www.worldcat.org/oclc/31237740","WorldCat Record")</f>
        <v/>
      </c>
      <c r="AU924" t="inlineStr">
        <is>
          <t>1163002993:eng</t>
        </is>
      </c>
      <c r="AV924" t="inlineStr">
        <is>
          <t>31237740</t>
        </is>
      </c>
      <c r="AW924" t="inlineStr">
        <is>
          <t>991003311919702656</t>
        </is>
      </c>
      <c r="AX924" t="inlineStr">
        <is>
          <t>991003311919702656</t>
        </is>
      </c>
      <c r="AY924" t="inlineStr">
        <is>
          <t>2264697650002656</t>
        </is>
      </c>
      <c r="AZ924" t="inlineStr">
        <is>
          <t>BOOK</t>
        </is>
      </c>
      <c r="BB924" t="inlineStr">
        <is>
          <t>9780312114565</t>
        </is>
      </c>
      <c r="BC924" t="inlineStr">
        <is>
          <t>32285003769881</t>
        </is>
      </c>
      <c r="BD924" t="inlineStr">
        <is>
          <t>893793518</t>
        </is>
      </c>
    </row>
    <row r="925">
      <c r="A925" t="inlineStr">
        <is>
          <t>No</t>
        </is>
      </c>
      <c r="B925" t="inlineStr">
        <is>
          <t>QH450 .C48 1985</t>
        </is>
      </c>
      <c r="C925" t="inlineStr">
        <is>
          <t>0                      QH 0450000C  48          1985</t>
        </is>
      </c>
      <c r="D925" t="inlineStr">
        <is>
          <t>Changes in eukaryotic gene expression in response to environmental stress / edited by Burr G. Atkinson, David B. Walden.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Orlando : Academic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flu</t>
        </is>
      </c>
      <c r="Q925" t="inlineStr">
        <is>
          <t>Cell biology</t>
        </is>
      </c>
      <c r="R925" t="inlineStr">
        <is>
          <t xml:space="preserve">QH </t>
        </is>
      </c>
      <c r="S925" t="n">
        <v>1</v>
      </c>
      <c r="T925" t="n">
        <v>1</v>
      </c>
      <c r="U925" t="inlineStr">
        <is>
          <t>2002-02-26</t>
        </is>
      </c>
      <c r="V925" t="inlineStr">
        <is>
          <t>2002-02-26</t>
        </is>
      </c>
      <c r="W925" t="inlineStr">
        <is>
          <t>1992-11-01</t>
        </is>
      </c>
      <c r="X925" t="inlineStr">
        <is>
          <t>1992-11-01</t>
        </is>
      </c>
      <c r="Y925" t="n">
        <v>318</v>
      </c>
      <c r="Z925" t="n">
        <v>249</v>
      </c>
      <c r="AA925" t="n">
        <v>293</v>
      </c>
      <c r="AB925" t="n">
        <v>3</v>
      </c>
      <c r="AC925" t="n">
        <v>4</v>
      </c>
      <c r="AD925" t="n">
        <v>8</v>
      </c>
      <c r="AE925" t="n">
        <v>12</v>
      </c>
      <c r="AF925" t="n">
        <v>1</v>
      </c>
      <c r="AG925" t="n">
        <v>3</v>
      </c>
      <c r="AH925" t="n">
        <v>2</v>
      </c>
      <c r="AI925" t="n">
        <v>4</v>
      </c>
      <c r="AJ925" t="n">
        <v>5</v>
      </c>
      <c r="AK925" t="n">
        <v>5</v>
      </c>
      <c r="AL925" t="n">
        <v>2</v>
      </c>
      <c r="AM925" t="n">
        <v>3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HYPERLINK("http://catalog.hathitrust.org/Record/000413517","HathiTrust Record")</f>
        <v/>
      </c>
      <c r="AS925">
        <f>HYPERLINK("https://creighton-primo.hosted.exlibrisgroup.com/primo-explore/search?tab=default_tab&amp;search_scope=EVERYTHING&amp;vid=01CRU&amp;lang=en_US&amp;offset=0&amp;query=any,contains,991000464019702656","Catalog Record")</f>
        <v/>
      </c>
      <c r="AT925">
        <f>HYPERLINK("http://www.worldcat.org/oclc/10949529","WorldCat Record")</f>
        <v/>
      </c>
      <c r="AU925" t="inlineStr">
        <is>
          <t>350449242:eng</t>
        </is>
      </c>
      <c r="AV925" t="inlineStr">
        <is>
          <t>10949529</t>
        </is>
      </c>
      <c r="AW925" t="inlineStr">
        <is>
          <t>991000464019702656</t>
        </is>
      </c>
      <c r="AX925" t="inlineStr">
        <is>
          <t>991000464019702656</t>
        </is>
      </c>
      <c r="AY925" t="inlineStr">
        <is>
          <t>2271606670002656</t>
        </is>
      </c>
      <c r="AZ925" t="inlineStr">
        <is>
          <t>BOOK</t>
        </is>
      </c>
      <c r="BB925" t="inlineStr">
        <is>
          <t>9780120662906</t>
        </is>
      </c>
      <c r="BC925" t="inlineStr">
        <is>
          <t>32285001379774</t>
        </is>
      </c>
      <c r="BD925" t="inlineStr">
        <is>
          <t>893444324</t>
        </is>
      </c>
    </row>
    <row r="926">
      <c r="A926" t="inlineStr">
        <is>
          <t>No</t>
        </is>
      </c>
      <c r="B926" t="inlineStr">
        <is>
          <t>QH450 .D57 1990</t>
        </is>
      </c>
      <c r="C926" t="inlineStr">
        <is>
          <t>0                      QH 0450000D  57          1990</t>
        </is>
      </c>
      <c r="D926" t="inlineStr">
        <is>
          <t>DNA methylation and gene regulation : proceedings of a Royal Society discussion meeting held on 1 and 2 February 1989 / organized and edited by R. Holliday, Marilyn Monk, and J.E. Pugh.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: Royal Society, 1990.</t>
        </is>
      </c>
      <c r="M926" t="inlineStr">
        <is>
          <t>1990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QH </t>
        </is>
      </c>
      <c r="S926" t="n">
        <v>1</v>
      </c>
      <c r="T926" t="n">
        <v>1</v>
      </c>
      <c r="U926" t="inlineStr">
        <is>
          <t>1992-03-02</t>
        </is>
      </c>
      <c r="V926" t="inlineStr">
        <is>
          <t>1992-03-02</t>
        </is>
      </c>
      <c r="W926" t="inlineStr">
        <is>
          <t>1991-10-24</t>
        </is>
      </c>
      <c r="X926" t="inlineStr">
        <is>
          <t>1991-10-24</t>
        </is>
      </c>
      <c r="Y926" t="n">
        <v>54</v>
      </c>
      <c r="Z926" t="n">
        <v>27</v>
      </c>
      <c r="AA926" t="n">
        <v>34</v>
      </c>
      <c r="AB926" t="n">
        <v>1</v>
      </c>
      <c r="AC926" t="n">
        <v>1</v>
      </c>
      <c r="AD926" t="n">
        <v>3</v>
      </c>
      <c r="AE926" t="n">
        <v>3</v>
      </c>
      <c r="AF926" t="n">
        <v>0</v>
      </c>
      <c r="AG926" t="n">
        <v>0</v>
      </c>
      <c r="AH926" t="n">
        <v>2</v>
      </c>
      <c r="AI926" t="n">
        <v>2</v>
      </c>
      <c r="AJ926" t="n">
        <v>3</v>
      </c>
      <c r="AK926" t="n">
        <v>3</v>
      </c>
      <c r="AL926" t="n">
        <v>0</v>
      </c>
      <c r="AM926" t="n">
        <v>0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HYPERLINK("http://catalog.hathitrust.org/Record/002453136","HathiTrust Record")</f>
        <v/>
      </c>
      <c r="AS926">
        <f>HYPERLINK("https://creighton-primo.hosted.exlibrisgroup.com/primo-explore/search?tab=default_tab&amp;search_scope=EVERYTHING&amp;vid=01CRU&amp;lang=en_US&amp;offset=0&amp;query=any,contains,991001932129702656","Catalog Record")</f>
        <v/>
      </c>
      <c r="AT926">
        <f>HYPERLINK("http://www.worldcat.org/oclc/24379809","WorldCat Record")</f>
        <v/>
      </c>
      <c r="AU926" t="inlineStr">
        <is>
          <t>809699333:eng</t>
        </is>
      </c>
      <c r="AV926" t="inlineStr">
        <is>
          <t>24379809</t>
        </is>
      </c>
      <c r="AW926" t="inlineStr">
        <is>
          <t>991001932129702656</t>
        </is>
      </c>
      <c r="AX926" t="inlineStr">
        <is>
          <t>991001932129702656</t>
        </is>
      </c>
      <c r="AY926" t="inlineStr">
        <is>
          <t>2264505840002656</t>
        </is>
      </c>
      <c r="AZ926" t="inlineStr">
        <is>
          <t>BOOK</t>
        </is>
      </c>
      <c r="BB926" t="inlineStr">
        <is>
          <t>9780854033959</t>
        </is>
      </c>
      <c r="BC926" t="inlineStr">
        <is>
          <t>32285000728278</t>
        </is>
      </c>
      <c r="BD926" t="inlineStr">
        <is>
          <t>893615486</t>
        </is>
      </c>
    </row>
    <row r="927">
      <c r="A927" t="inlineStr">
        <is>
          <t>No</t>
        </is>
      </c>
      <c r="B927" t="inlineStr">
        <is>
          <t>QH450 .E93 1984</t>
        </is>
      </c>
      <c r="C927" t="inlineStr">
        <is>
          <t>0                      QH 0450000E  93          1984</t>
        </is>
      </c>
      <c r="D927" t="inlineStr">
        <is>
          <t>Eukaryotic gene expression / edited by Ajit Kumar.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L927" t="inlineStr">
        <is>
          <t>New York : Plenum Press, c1984.</t>
        </is>
      </c>
      <c r="M927" t="inlineStr">
        <is>
          <t>1984</t>
        </is>
      </c>
      <c r="O927" t="inlineStr">
        <is>
          <t>eng</t>
        </is>
      </c>
      <c r="P927" t="inlineStr">
        <is>
          <t>nyu</t>
        </is>
      </c>
      <c r="Q927" t="inlineStr">
        <is>
          <t>GWUMC Department of Biochemistry annual spring symposia</t>
        </is>
      </c>
      <c r="R927" t="inlineStr">
        <is>
          <t xml:space="preserve">QH </t>
        </is>
      </c>
      <c r="S927" t="n">
        <v>1</v>
      </c>
      <c r="T927" t="n">
        <v>1</v>
      </c>
      <c r="U927" t="inlineStr">
        <is>
          <t>2002-02-26</t>
        </is>
      </c>
      <c r="V927" t="inlineStr">
        <is>
          <t>2002-02-26</t>
        </is>
      </c>
      <c r="W927" t="inlineStr">
        <is>
          <t>1993-04-12</t>
        </is>
      </c>
      <c r="X927" t="inlineStr">
        <is>
          <t>1993-04-12</t>
        </is>
      </c>
      <c r="Y927" t="n">
        <v>293</v>
      </c>
      <c r="Z927" t="n">
        <v>229</v>
      </c>
      <c r="AA927" t="n">
        <v>231</v>
      </c>
      <c r="AB927" t="n">
        <v>1</v>
      </c>
      <c r="AC927" t="n">
        <v>1</v>
      </c>
      <c r="AD927" t="n">
        <v>6</v>
      </c>
      <c r="AE927" t="n">
        <v>6</v>
      </c>
      <c r="AF927" t="n">
        <v>2</v>
      </c>
      <c r="AG927" t="n">
        <v>2</v>
      </c>
      <c r="AH927" t="n">
        <v>4</v>
      </c>
      <c r="AI927" t="n">
        <v>4</v>
      </c>
      <c r="AJ927" t="n">
        <v>3</v>
      </c>
      <c r="AK927" t="n">
        <v>3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HYPERLINK("http://catalog.hathitrust.org/Record/000120551","HathiTrust Record")</f>
        <v/>
      </c>
      <c r="AS927">
        <f>HYPERLINK("https://creighton-primo.hosted.exlibrisgroup.com/primo-explore/search?tab=default_tab&amp;search_scope=EVERYTHING&amp;vid=01CRU&amp;lang=en_US&amp;offset=0&amp;query=any,contains,991000332839702656","Catalog Record")</f>
        <v/>
      </c>
      <c r="AT927">
        <f>HYPERLINK("http://www.worldcat.org/oclc/10208107","WorldCat Record")</f>
        <v/>
      </c>
      <c r="AU927" t="inlineStr">
        <is>
          <t>349949881:eng</t>
        </is>
      </c>
      <c r="AV927" t="inlineStr">
        <is>
          <t>10208107</t>
        </is>
      </c>
      <c r="AW927" t="inlineStr">
        <is>
          <t>991000332839702656</t>
        </is>
      </c>
      <c r="AX927" t="inlineStr">
        <is>
          <t>991000332839702656</t>
        </is>
      </c>
      <c r="AY927" t="inlineStr">
        <is>
          <t>2266391610002656</t>
        </is>
      </c>
      <c r="AZ927" t="inlineStr">
        <is>
          <t>BOOK</t>
        </is>
      </c>
      <c r="BB927" t="inlineStr">
        <is>
          <t>9780306415326</t>
        </is>
      </c>
      <c r="BC927" t="inlineStr">
        <is>
          <t>32285001640142</t>
        </is>
      </c>
      <c r="BD927" t="inlineStr">
        <is>
          <t>893351491</t>
        </is>
      </c>
    </row>
    <row r="928">
      <c r="A928" t="inlineStr">
        <is>
          <t>No</t>
        </is>
      </c>
      <c r="B928" t="inlineStr">
        <is>
          <t>QH450 .G461 1983</t>
        </is>
      </c>
      <c r="C928" t="inlineStr">
        <is>
          <t>0                      QH 0450000G  461         1983</t>
        </is>
      </c>
      <c r="D928" t="inlineStr">
        <is>
          <t>Genes, structure and expression / volume editor, A.M. Kroon.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Chichester ; New York : Wiley, c1983.</t>
        </is>
      </c>
      <c r="M928" t="inlineStr">
        <is>
          <t>1983</t>
        </is>
      </c>
      <c r="O928" t="inlineStr">
        <is>
          <t>eng</t>
        </is>
      </c>
      <c r="P928" t="inlineStr">
        <is>
          <t>enk</t>
        </is>
      </c>
      <c r="Q928" t="inlineStr">
        <is>
          <t>Horizons in biochemistry and biophysics ; v. 7</t>
        </is>
      </c>
      <c r="R928" t="inlineStr">
        <is>
          <t xml:space="preserve">QH </t>
        </is>
      </c>
      <c r="S928" t="n">
        <v>1</v>
      </c>
      <c r="T928" t="n">
        <v>1</v>
      </c>
      <c r="U928" t="inlineStr">
        <is>
          <t>2008-09-28</t>
        </is>
      </c>
      <c r="V928" t="inlineStr">
        <is>
          <t>2008-09-28</t>
        </is>
      </c>
      <c r="W928" t="inlineStr">
        <is>
          <t>1993-04-12</t>
        </is>
      </c>
      <c r="X928" t="inlineStr">
        <is>
          <t>1993-04-12</t>
        </is>
      </c>
      <c r="Y928" t="n">
        <v>219</v>
      </c>
      <c r="Z928" t="n">
        <v>159</v>
      </c>
      <c r="AA928" t="n">
        <v>160</v>
      </c>
      <c r="AB928" t="n">
        <v>1</v>
      </c>
      <c r="AC928" t="n">
        <v>1</v>
      </c>
      <c r="AD928" t="n">
        <v>5</v>
      </c>
      <c r="AE928" t="n">
        <v>5</v>
      </c>
      <c r="AF928" t="n">
        <v>1</v>
      </c>
      <c r="AG928" t="n">
        <v>1</v>
      </c>
      <c r="AH928" t="n">
        <v>2</v>
      </c>
      <c r="AI928" t="n">
        <v>2</v>
      </c>
      <c r="AJ928" t="n">
        <v>4</v>
      </c>
      <c r="AK928" t="n">
        <v>4</v>
      </c>
      <c r="AL928" t="n">
        <v>0</v>
      </c>
      <c r="AM928" t="n">
        <v>0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HYPERLINK("https://creighton-primo.hosted.exlibrisgroup.com/primo-explore/search?tab=default_tab&amp;search_scope=EVERYTHING&amp;vid=01CRU&amp;lang=en_US&amp;offset=0&amp;query=any,contains,991000231229702656","Catalog Record")</f>
        <v/>
      </c>
      <c r="AT928">
        <f>HYPERLINK("http://www.worldcat.org/oclc/9643598","WorldCat Record")</f>
        <v/>
      </c>
      <c r="AU928" t="inlineStr">
        <is>
          <t>365275429:eng</t>
        </is>
      </c>
      <c r="AV928" t="inlineStr">
        <is>
          <t>9643598</t>
        </is>
      </c>
      <c r="AW928" t="inlineStr">
        <is>
          <t>991000231229702656</t>
        </is>
      </c>
      <c r="AX928" t="inlineStr">
        <is>
          <t>991000231229702656</t>
        </is>
      </c>
      <c r="AY928" t="inlineStr">
        <is>
          <t>2270335380002656</t>
        </is>
      </c>
      <c r="AZ928" t="inlineStr">
        <is>
          <t>BOOK</t>
        </is>
      </c>
      <c r="BB928" t="inlineStr">
        <is>
          <t>9780471902645</t>
        </is>
      </c>
      <c r="BC928" t="inlineStr">
        <is>
          <t>32285001640183</t>
        </is>
      </c>
      <c r="BD928" t="inlineStr">
        <is>
          <t>893720618</t>
        </is>
      </c>
    </row>
    <row r="929">
      <c r="A929" t="inlineStr">
        <is>
          <t>No</t>
        </is>
      </c>
      <c r="B929" t="inlineStr">
        <is>
          <t>QH450 .G4619 1993</t>
        </is>
      </c>
      <c r="C929" t="inlineStr">
        <is>
          <t>0                      QH 0450000G  4619        1993</t>
        </is>
      </c>
      <c r="D929" t="inlineStr">
        <is>
          <t>Gene expression : general and cell-type-specific / Michael Karin, editor.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L929" t="inlineStr">
        <is>
          <t>Boston : Birkhäuser, c1993.</t>
        </is>
      </c>
      <c r="M929" t="inlineStr">
        <is>
          <t>1993</t>
        </is>
      </c>
      <c r="O929" t="inlineStr">
        <is>
          <t>eng</t>
        </is>
      </c>
      <c r="P929" t="inlineStr">
        <is>
          <t>mau</t>
        </is>
      </c>
      <c r="Q929" t="inlineStr">
        <is>
          <t>Progress in gene expression</t>
        </is>
      </c>
      <c r="R929" t="inlineStr">
        <is>
          <t xml:space="preserve">QH </t>
        </is>
      </c>
      <c r="S929" t="n">
        <v>1</v>
      </c>
      <c r="T929" t="n">
        <v>1</v>
      </c>
      <c r="U929" t="inlineStr">
        <is>
          <t>2008-09-28</t>
        </is>
      </c>
      <c r="V929" t="inlineStr">
        <is>
          <t>2008-09-28</t>
        </is>
      </c>
      <c r="W929" t="inlineStr">
        <is>
          <t>1994-05-17</t>
        </is>
      </c>
      <c r="X929" t="inlineStr">
        <is>
          <t>1994-05-17</t>
        </is>
      </c>
      <c r="Y929" t="n">
        <v>249</v>
      </c>
      <c r="Z929" t="n">
        <v>170</v>
      </c>
      <c r="AA929" t="n">
        <v>189</v>
      </c>
      <c r="AB929" t="n">
        <v>2</v>
      </c>
      <c r="AC929" t="n">
        <v>2</v>
      </c>
      <c r="AD929" t="n">
        <v>6</v>
      </c>
      <c r="AE929" t="n">
        <v>7</v>
      </c>
      <c r="AF929" t="n">
        <v>0</v>
      </c>
      <c r="AG929" t="n">
        <v>1</v>
      </c>
      <c r="AH929" t="n">
        <v>2</v>
      </c>
      <c r="AI929" t="n">
        <v>2</v>
      </c>
      <c r="AJ929" t="n">
        <v>5</v>
      </c>
      <c r="AK929" t="n">
        <v>6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HYPERLINK("http://catalog.hathitrust.org/Record/002724147","HathiTrust Record")</f>
        <v/>
      </c>
      <c r="AS929">
        <f>HYPERLINK("https://creighton-primo.hosted.exlibrisgroup.com/primo-explore/search?tab=default_tab&amp;search_scope=EVERYTHING&amp;vid=01CRU&amp;lang=en_US&amp;offset=0&amp;query=any,contains,991002173809702656","Catalog Record")</f>
        <v/>
      </c>
      <c r="AT929">
        <f>HYPERLINK("http://www.worldcat.org/oclc/27975733","WorldCat Record")</f>
        <v/>
      </c>
      <c r="AU929" t="inlineStr">
        <is>
          <t>897829960:eng</t>
        </is>
      </c>
      <c r="AV929" t="inlineStr">
        <is>
          <t>27975733</t>
        </is>
      </c>
      <c r="AW929" t="inlineStr">
        <is>
          <t>991002173809702656</t>
        </is>
      </c>
      <c r="AX929" t="inlineStr">
        <is>
          <t>991002173809702656</t>
        </is>
      </c>
      <c r="AY929" t="inlineStr">
        <is>
          <t>2262225170002656</t>
        </is>
      </c>
      <c r="AZ929" t="inlineStr">
        <is>
          <t>BOOK</t>
        </is>
      </c>
      <c r="BB929" t="inlineStr">
        <is>
          <t>9780817636050</t>
        </is>
      </c>
      <c r="BC929" t="inlineStr">
        <is>
          <t>32285001897122</t>
        </is>
      </c>
      <c r="BD929" t="inlineStr">
        <is>
          <t>893697440</t>
        </is>
      </c>
    </row>
    <row r="930">
      <c r="A930" t="inlineStr">
        <is>
          <t>No</t>
        </is>
      </c>
      <c r="B930" t="inlineStr">
        <is>
          <t>QH450 .G4625 1983</t>
        </is>
      </c>
      <c r="C930" t="inlineStr">
        <is>
          <t>0                      QH 0450000G  4625        1983</t>
        </is>
      </c>
      <c r="D930" t="inlineStr">
        <is>
          <t>Gene expression : proceedings of a Cetus-UCLA symposium held at Park City, Utah, March 26-April 1, 1983 / editors, Dean H. Hamer, Martin J. Rosenberg.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L930" t="inlineStr">
        <is>
          <t>New York : A.R. Liss, 1983.</t>
        </is>
      </c>
      <c r="M930" t="inlineStr">
        <is>
          <t>1983</t>
        </is>
      </c>
      <c r="O930" t="inlineStr">
        <is>
          <t>eng</t>
        </is>
      </c>
      <c r="P930" t="inlineStr">
        <is>
          <t>nyu</t>
        </is>
      </c>
      <c r="Q930" t="inlineStr">
        <is>
          <t>UCLA symposia on molecular and cellular biology ; new ser., v. 8</t>
        </is>
      </c>
      <c r="R930" t="inlineStr">
        <is>
          <t xml:space="preserve">QH </t>
        </is>
      </c>
      <c r="S930" t="n">
        <v>1</v>
      </c>
      <c r="T930" t="n">
        <v>1</v>
      </c>
      <c r="U930" t="inlineStr">
        <is>
          <t>2008-09-28</t>
        </is>
      </c>
      <c r="V930" t="inlineStr">
        <is>
          <t>2008-09-28</t>
        </is>
      </c>
      <c r="W930" t="inlineStr">
        <is>
          <t>1993-04-12</t>
        </is>
      </c>
      <c r="X930" t="inlineStr">
        <is>
          <t>1993-04-12</t>
        </is>
      </c>
      <c r="Y930" t="n">
        <v>203</v>
      </c>
      <c r="Z930" t="n">
        <v>161</v>
      </c>
      <c r="AA930" t="n">
        <v>163</v>
      </c>
      <c r="AB930" t="n">
        <v>1</v>
      </c>
      <c r="AC930" t="n">
        <v>1</v>
      </c>
      <c r="AD930" t="n">
        <v>5</v>
      </c>
      <c r="AE930" t="n">
        <v>5</v>
      </c>
      <c r="AF930" t="n">
        <v>0</v>
      </c>
      <c r="AG930" t="n">
        <v>0</v>
      </c>
      <c r="AH930" t="n">
        <v>4</v>
      </c>
      <c r="AI930" t="n">
        <v>4</v>
      </c>
      <c r="AJ930" t="n">
        <v>3</v>
      </c>
      <c r="AK930" t="n">
        <v>3</v>
      </c>
      <c r="AL930" t="n">
        <v>0</v>
      </c>
      <c r="AM930" t="n">
        <v>0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HYPERLINK("http://catalog.hathitrust.org/Record/000164406","HathiTrust Record")</f>
        <v/>
      </c>
      <c r="AS930">
        <f>HYPERLINK("https://creighton-primo.hosted.exlibrisgroup.com/primo-explore/search?tab=default_tab&amp;search_scope=EVERYTHING&amp;vid=01CRU&amp;lang=en_US&amp;offset=0&amp;query=any,contains,991000266629702656","Catalog Record")</f>
        <v/>
      </c>
      <c r="AT930">
        <f>HYPERLINK("http://www.worldcat.org/oclc/9830387","WorldCat Record")</f>
        <v/>
      </c>
      <c r="AU930" t="inlineStr">
        <is>
          <t>795556670:eng</t>
        </is>
      </c>
      <c r="AV930" t="inlineStr">
        <is>
          <t>9830387</t>
        </is>
      </c>
      <c r="AW930" t="inlineStr">
        <is>
          <t>991000266629702656</t>
        </is>
      </c>
      <c r="AX930" t="inlineStr">
        <is>
          <t>991000266629702656</t>
        </is>
      </c>
      <c r="AY930" t="inlineStr">
        <is>
          <t>2256501920002656</t>
        </is>
      </c>
      <c r="AZ930" t="inlineStr">
        <is>
          <t>BOOK</t>
        </is>
      </c>
      <c r="BB930" t="inlineStr">
        <is>
          <t>9780845126073</t>
        </is>
      </c>
      <c r="BC930" t="inlineStr">
        <is>
          <t>32285001640191</t>
        </is>
      </c>
      <c r="BD930" t="inlineStr">
        <is>
          <t>893230998</t>
        </is>
      </c>
    </row>
    <row r="931">
      <c r="A931" t="inlineStr">
        <is>
          <t>No</t>
        </is>
      </c>
      <c r="B931" t="inlineStr">
        <is>
          <t>QH450 .G467 1995</t>
        </is>
      </c>
      <c r="C931" t="inlineStr">
        <is>
          <t>0                      QH 0450000G  467         1995</t>
        </is>
      </c>
      <c r="D931" t="inlineStr">
        <is>
          <t>Genomic imprinting : causes and consequences / edited by R. Ohlsson, K. Hall, and M. Ritzen.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L931" t="inlineStr">
        <is>
          <t>Cambridge ; New York : Cambridge University Press, 1995.</t>
        </is>
      </c>
      <c r="M931" t="inlineStr">
        <is>
          <t>1995</t>
        </is>
      </c>
      <c r="O931" t="inlineStr">
        <is>
          <t>eng</t>
        </is>
      </c>
      <c r="P931" t="inlineStr">
        <is>
          <t>enk</t>
        </is>
      </c>
      <c r="R931" t="inlineStr">
        <is>
          <t xml:space="preserve">QH </t>
        </is>
      </c>
      <c r="S931" t="n">
        <v>6</v>
      </c>
      <c r="T931" t="n">
        <v>6</v>
      </c>
      <c r="U931" t="inlineStr">
        <is>
          <t>2008-09-28</t>
        </is>
      </c>
      <c r="V931" t="inlineStr">
        <is>
          <t>2008-09-28</t>
        </is>
      </c>
      <c r="W931" t="inlineStr">
        <is>
          <t>1996-04-25</t>
        </is>
      </c>
      <c r="X931" t="inlineStr">
        <is>
          <t>1996-04-25</t>
        </is>
      </c>
      <c r="Y931" t="n">
        <v>245</v>
      </c>
      <c r="Z931" t="n">
        <v>191</v>
      </c>
      <c r="AA931" t="n">
        <v>196</v>
      </c>
      <c r="AB931" t="n">
        <v>3</v>
      </c>
      <c r="AC931" t="n">
        <v>3</v>
      </c>
      <c r="AD931" t="n">
        <v>9</v>
      </c>
      <c r="AE931" t="n">
        <v>9</v>
      </c>
      <c r="AF931" t="n">
        <v>2</v>
      </c>
      <c r="AG931" t="n">
        <v>2</v>
      </c>
      <c r="AH931" t="n">
        <v>2</v>
      </c>
      <c r="AI931" t="n">
        <v>2</v>
      </c>
      <c r="AJ931" t="n">
        <v>6</v>
      </c>
      <c r="AK931" t="n">
        <v>6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HYPERLINK("https://creighton-primo.hosted.exlibrisgroup.com/primo-explore/search?tab=default_tab&amp;search_scope=EVERYTHING&amp;vid=01CRU&amp;lang=en_US&amp;offset=0&amp;query=any,contains,991002442819702656","Catalog Record")</f>
        <v/>
      </c>
      <c r="AT931">
        <f>HYPERLINK("http://www.worldcat.org/oclc/31865836","WorldCat Record")</f>
        <v/>
      </c>
      <c r="AU931" t="inlineStr">
        <is>
          <t>836982741:eng</t>
        </is>
      </c>
      <c r="AV931" t="inlineStr">
        <is>
          <t>31865836</t>
        </is>
      </c>
      <c r="AW931" t="inlineStr">
        <is>
          <t>991002442819702656</t>
        </is>
      </c>
      <c r="AX931" t="inlineStr">
        <is>
          <t>991002442819702656</t>
        </is>
      </c>
      <c r="AY931" t="inlineStr">
        <is>
          <t>2259502090002656</t>
        </is>
      </c>
      <c r="AZ931" t="inlineStr">
        <is>
          <t>BOOK</t>
        </is>
      </c>
      <c r="BB931" t="inlineStr">
        <is>
          <t>9780521472432</t>
        </is>
      </c>
      <c r="BC931" t="inlineStr">
        <is>
          <t>32285002157401</t>
        </is>
      </c>
      <c r="BD931" t="inlineStr">
        <is>
          <t>893335318</t>
        </is>
      </c>
    </row>
    <row r="932">
      <c r="A932" t="inlineStr">
        <is>
          <t>No</t>
        </is>
      </c>
      <c r="B932" t="inlineStr">
        <is>
          <t>QH450 .H39 1991</t>
        </is>
      </c>
      <c r="C932" t="inlineStr">
        <is>
          <t>0                      QH 0450000H  39          1991</t>
        </is>
      </c>
      <c r="D932" t="inlineStr">
        <is>
          <t>Gene structure and expression / John D. Hawkins.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Hawkins, John D.</t>
        </is>
      </c>
      <c r="L932" t="inlineStr">
        <is>
          <t>Cambridge ; New York : Cambridge University Press, 1991.</t>
        </is>
      </c>
      <c r="M932" t="inlineStr">
        <is>
          <t>1991</t>
        </is>
      </c>
      <c r="N932" t="inlineStr">
        <is>
          <t>2nd ed.</t>
        </is>
      </c>
      <c r="O932" t="inlineStr">
        <is>
          <t>eng</t>
        </is>
      </c>
      <c r="P932" t="inlineStr">
        <is>
          <t>enk</t>
        </is>
      </c>
      <c r="R932" t="inlineStr">
        <is>
          <t xml:space="preserve">QH </t>
        </is>
      </c>
      <c r="S932" t="n">
        <v>4</v>
      </c>
      <c r="T932" t="n">
        <v>4</v>
      </c>
      <c r="U932" t="inlineStr">
        <is>
          <t>2008-09-28</t>
        </is>
      </c>
      <c r="V932" t="inlineStr">
        <is>
          <t>2008-09-28</t>
        </is>
      </c>
      <c r="W932" t="inlineStr">
        <is>
          <t>1991-05-15</t>
        </is>
      </c>
      <c r="X932" t="inlineStr">
        <is>
          <t>1991-05-15</t>
        </is>
      </c>
      <c r="Y932" t="n">
        <v>328</v>
      </c>
      <c r="Z932" t="n">
        <v>243</v>
      </c>
      <c r="AA932" t="n">
        <v>504</v>
      </c>
      <c r="AB932" t="n">
        <v>2</v>
      </c>
      <c r="AC932" t="n">
        <v>3</v>
      </c>
      <c r="AD932" t="n">
        <v>10</v>
      </c>
      <c r="AE932" t="n">
        <v>22</v>
      </c>
      <c r="AF932" t="n">
        <v>4</v>
      </c>
      <c r="AG932" t="n">
        <v>9</v>
      </c>
      <c r="AH932" t="n">
        <v>2</v>
      </c>
      <c r="AI932" t="n">
        <v>5</v>
      </c>
      <c r="AJ932" t="n">
        <v>5</v>
      </c>
      <c r="AK932" t="n">
        <v>13</v>
      </c>
      <c r="AL932" t="n">
        <v>1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HYPERLINK("https://creighton-primo.hosted.exlibrisgroup.com/primo-explore/search?tab=default_tab&amp;search_scope=EVERYTHING&amp;vid=01CRU&amp;lang=en_US&amp;offset=0&amp;query=any,contains,991001744429702656","Catalog Record")</f>
        <v/>
      </c>
      <c r="AT932">
        <f>HYPERLINK("http://www.worldcat.org/oclc/22110394","WorldCat Record")</f>
        <v/>
      </c>
      <c r="AU932" t="inlineStr">
        <is>
          <t>4095186:eng</t>
        </is>
      </c>
      <c r="AV932" t="inlineStr">
        <is>
          <t>22110394</t>
        </is>
      </c>
      <c r="AW932" t="inlineStr">
        <is>
          <t>991001744429702656</t>
        </is>
      </c>
      <c r="AX932" t="inlineStr">
        <is>
          <t>991001744429702656</t>
        </is>
      </c>
      <c r="AY932" t="inlineStr">
        <is>
          <t>2265652510002656</t>
        </is>
      </c>
      <c r="AZ932" t="inlineStr">
        <is>
          <t>BOOK</t>
        </is>
      </c>
      <c r="BB932" t="inlineStr">
        <is>
          <t>9780521398558</t>
        </is>
      </c>
      <c r="BC932" t="inlineStr">
        <is>
          <t>32285000573369</t>
        </is>
      </c>
      <c r="BD932" t="inlineStr">
        <is>
          <t>893621580</t>
        </is>
      </c>
    </row>
    <row r="933">
      <c r="A933" t="inlineStr">
        <is>
          <t>No</t>
        </is>
      </c>
      <c r="B933" t="inlineStr">
        <is>
          <t>QH450 .H57 1984</t>
        </is>
      </c>
      <c r="C933" t="inlineStr">
        <is>
          <t>0                      QH 0450000H  57          1984</t>
        </is>
      </c>
      <c r="D933" t="inlineStr">
        <is>
          <t>Histone genes : structure, organization, and regulation / edited by Gary S. Stein, Janet L. Stein, William F. Marzluff.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New York : Wiley, c1984.</t>
        </is>
      </c>
      <c r="M933" t="inlineStr">
        <is>
          <t>1984</t>
        </is>
      </c>
      <c r="O933" t="inlineStr">
        <is>
          <t>eng</t>
        </is>
      </c>
      <c r="P933" t="inlineStr">
        <is>
          <t>nyu</t>
        </is>
      </c>
      <c r="R933" t="inlineStr">
        <is>
          <t xml:space="preserve">QH </t>
        </is>
      </c>
      <c r="S933" t="n">
        <v>5</v>
      </c>
      <c r="T933" t="n">
        <v>5</v>
      </c>
      <c r="U933" t="inlineStr">
        <is>
          <t>2008-10-11</t>
        </is>
      </c>
      <c r="V933" t="inlineStr">
        <is>
          <t>2008-10-11</t>
        </is>
      </c>
      <c r="W933" t="inlineStr">
        <is>
          <t>1993-04-12</t>
        </is>
      </c>
      <c r="X933" t="inlineStr">
        <is>
          <t>1993-04-12</t>
        </is>
      </c>
      <c r="Y933" t="n">
        <v>321</v>
      </c>
      <c r="Z933" t="n">
        <v>263</v>
      </c>
      <c r="AA933" t="n">
        <v>265</v>
      </c>
      <c r="AB933" t="n">
        <v>2</v>
      </c>
      <c r="AC933" t="n">
        <v>2</v>
      </c>
      <c r="AD933" t="n">
        <v>9</v>
      </c>
      <c r="AE933" t="n">
        <v>9</v>
      </c>
      <c r="AF933" t="n">
        <v>2</v>
      </c>
      <c r="AG933" t="n">
        <v>2</v>
      </c>
      <c r="AH933" t="n">
        <v>5</v>
      </c>
      <c r="AI933" t="n">
        <v>5</v>
      </c>
      <c r="AJ933" t="n">
        <v>4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HYPERLINK("http://catalog.hathitrust.org/Record/000122864","HathiTrust Record")</f>
        <v/>
      </c>
      <c r="AS933">
        <f>HYPERLINK("https://creighton-primo.hosted.exlibrisgroup.com/primo-explore/search?tab=default_tab&amp;search_scope=EVERYTHING&amp;vid=01CRU&amp;lang=en_US&amp;offset=0&amp;query=any,contains,991000324159702656","Catalog Record")</f>
        <v/>
      </c>
      <c r="AT933">
        <f>HYPERLINK("http://www.worldcat.org/oclc/10162829","WorldCat Record")</f>
        <v/>
      </c>
      <c r="AU933" t="inlineStr">
        <is>
          <t>796049012:eng</t>
        </is>
      </c>
      <c r="AV933" t="inlineStr">
        <is>
          <t>10162829</t>
        </is>
      </c>
      <c r="AW933" t="inlineStr">
        <is>
          <t>991000324159702656</t>
        </is>
      </c>
      <c r="AX933" t="inlineStr">
        <is>
          <t>991000324159702656</t>
        </is>
      </c>
      <c r="AY933" t="inlineStr">
        <is>
          <t>2268059140002656</t>
        </is>
      </c>
      <c r="AZ933" t="inlineStr">
        <is>
          <t>BOOK</t>
        </is>
      </c>
      <c r="BB933" t="inlineStr">
        <is>
          <t>9780471896159</t>
        </is>
      </c>
      <c r="BC933" t="inlineStr">
        <is>
          <t>32285001640225</t>
        </is>
      </c>
      <c r="BD933" t="inlineStr">
        <is>
          <t>893515184</t>
        </is>
      </c>
    </row>
    <row r="934">
      <c r="A934" t="inlineStr">
        <is>
          <t>No</t>
        </is>
      </c>
      <c r="B934" t="inlineStr">
        <is>
          <t>QH450 .I57 1971</t>
        </is>
      </c>
      <c r="C934" t="inlineStr">
        <is>
          <t>0                      QH 0450000I  57          1971</t>
        </is>
      </c>
      <c r="D934" t="inlineStr">
        <is>
          <t>Gene expression and its regulation; proceedings. Edited by Francis T. Kenney [and others]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International Symposium on Gene Expression and Its Regulation (1971 : Universidad de La Plata)</t>
        </is>
      </c>
      <c r="L934" t="inlineStr">
        <is>
          <t>New York, Plenum Press, 1973.</t>
        </is>
      </c>
      <c r="M934" t="inlineStr">
        <is>
          <t>1973</t>
        </is>
      </c>
      <c r="O934" t="inlineStr">
        <is>
          <t>eng</t>
        </is>
      </c>
      <c r="P934" t="inlineStr">
        <is>
          <t>nyu</t>
        </is>
      </c>
      <c r="Q934" t="inlineStr">
        <is>
          <t>Basic life sciences ; v. 1</t>
        </is>
      </c>
      <c r="R934" t="inlineStr">
        <is>
          <t xml:space="preserve">QH </t>
        </is>
      </c>
      <c r="S934" t="n">
        <v>1</v>
      </c>
      <c r="T934" t="n">
        <v>1</v>
      </c>
      <c r="U934" t="inlineStr">
        <is>
          <t>2008-09-28</t>
        </is>
      </c>
      <c r="V934" t="inlineStr">
        <is>
          <t>2008-09-28</t>
        </is>
      </c>
      <c r="W934" t="inlineStr">
        <is>
          <t>1997-07-02</t>
        </is>
      </c>
      <c r="X934" t="inlineStr">
        <is>
          <t>1997-07-02</t>
        </is>
      </c>
      <c r="Y934" t="n">
        <v>366</v>
      </c>
      <c r="Z934" t="n">
        <v>292</v>
      </c>
      <c r="AA934" t="n">
        <v>294</v>
      </c>
      <c r="AB934" t="n">
        <v>3</v>
      </c>
      <c r="AC934" t="n">
        <v>3</v>
      </c>
      <c r="AD934" t="n">
        <v>9</v>
      </c>
      <c r="AE934" t="n">
        <v>9</v>
      </c>
      <c r="AF934" t="n">
        <v>1</v>
      </c>
      <c r="AG934" t="n">
        <v>1</v>
      </c>
      <c r="AH934" t="n">
        <v>1</v>
      </c>
      <c r="AI934" t="n">
        <v>1</v>
      </c>
      <c r="AJ934" t="n">
        <v>6</v>
      </c>
      <c r="AK934" t="n">
        <v>6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HYPERLINK("http://catalog.hathitrust.org/Record/001492453","HathiTrust Record")</f>
        <v/>
      </c>
      <c r="AS934">
        <f>HYPERLINK("https://creighton-primo.hosted.exlibrisgroup.com/primo-explore/search?tab=default_tab&amp;search_scope=EVERYTHING&amp;vid=01CRU&amp;lang=en_US&amp;offset=0&amp;query=any,contains,991003112289702656","Catalog Record")</f>
        <v/>
      </c>
      <c r="AT934">
        <f>HYPERLINK("http://www.worldcat.org/oclc/657696","WorldCat Record")</f>
        <v/>
      </c>
      <c r="AU934" t="inlineStr">
        <is>
          <t>5616866721:eng</t>
        </is>
      </c>
      <c r="AV934" t="inlineStr">
        <is>
          <t>657696</t>
        </is>
      </c>
      <c r="AW934" t="inlineStr">
        <is>
          <t>991003112289702656</t>
        </is>
      </c>
      <c r="AX934" t="inlineStr">
        <is>
          <t>991003112289702656</t>
        </is>
      </c>
      <c r="AY934" t="inlineStr">
        <is>
          <t>2259832890002656</t>
        </is>
      </c>
      <c r="AZ934" t="inlineStr">
        <is>
          <t>BOOK</t>
        </is>
      </c>
      <c r="BB934" t="inlineStr">
        <is>
          <t>9780306365010</t>
        </is>
      </c>
      <c r="BC934" t="inlineStr">
        <is>
          <t>32285002911740</t>
        </is>
      </c>
      <c r="BD934" t="inlineStr">
        <is>
          <t>893893387</t>
        </is>
      </c>
    </row>
    <row r="935">
      <c r="A935" t="inlineStr">
        <is>
          <t>No</t>
        </is>
      </c>
      <c r="B935" t="inlineStr">
        <is>
          <t>QH450 .L48 1980</t>
        </is>
      </c>
      <c r="C935" t="inlineStr">
        <is>
          <t>0                      QH 0450000L  48          1980</t>
        </is>
      </c>
      <c r="D935" t="inlineStr">
        <is>
          <t>Gene expression / Benjamin Lewin.</t>
        </is>
      </c>
      <c r="E935" t="inlineStr">
        <is>
          <t>V.2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Lewin, Benjamin.</t>
        </is>
      </c>
      <c r="L935" t="inlineStr">
        <is>
          <t>New York : Wiley, 1980-</t>
        </is>
      </c>
      <c r="M935" t="inlineStr">
        <is>
          <t>1980</t>
        </is>
      </c>
      <c r="N935" t="inlineStr">
        <is>
          <t>2d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QH </t>
        </is>
      </c>
      <c r="S935" t="n">
        <v>1</v>
      </c>
      <c r="T935" t="n">
        <v>1</v>
      </c>
      <c r="U935" t="inlineStr">
        <is>
          <t>2008-09-28</t>
        </is>
      </c>
      <c r="V935" t="inlineStr">
        <is>
          <t>2008-09-28</t>
        </is>
      </c>
      <c r="W935" t="inlineStr">
        <is>
          <t>1993-04-12</t>
        </is>
      </c>
      <c r="X935" t="inlineStr">
        <is>
          <t>1993-04-12</t>
        </is>
      </c>
      <c r="Y935" t="n">
        <v>496</v>
      </c>
      <c r="Z935" t="n">
        <v>411</v>
      </c>
      <c r="AA935" t="n">
        <v>414</v>
      </c>
      <c r="AB935" t="n">
        <v>5</v>
      </c>
      <c r="AC935" t="n">
        <v>5</v>
      </c>
      <c r="AD935" t="n">
        <v>18</v>
      </c>
      <c r="AE935" t="n">
        <v>18</v>
      </c>
      <c r="AF935" t="n">
        <v>4</v>
      </c>
      <c r="AG935" t="n">
        <v>4</v>
      </c>
      <c r="AH935" t="n">
        <v>6</v>
      </c>
      <c r="AI935" t="n">
        <v>6</v>
      </c>
      <c r="AJ935" t="n">
        <v>9</v>
      </c>
      <c r="AK935" t="n">
        <v>9</v>
      </c>
      <c r="AL935" t="n">
        <v>4</v>
      </c>
      <c r="AM935" t="n">
        <v>4</v>
      </c>
      <c r="AN935" t="n">
        <v>0</v>
      </c>
      <c r="AO935" t="n">
        <v>0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HYPERLINK("http://catalog.hathitrust.org/Record/000700100","HathiTrust Record")</f>
        <v/>
      </c>
      <c r="AS935">
        <f>HYPERLINK("https://creighton-primo.hosted.exlibrisgroup.com/primo-explore/search?tab=default_tab&amp;search_scope=EVERYTHING&amp;vid=01CRU&amp;lang=en_US&amp;offset=0&amp;query=any,contains,991004916589702656","Catalog Record")</f>
        <v/>
      </c>
      <c r="AT935">
        <f>HYPERLINK("http://www.worldcat.org/oclc/6016629","WorldCat Record")</f>
        <v/>
      </c>
      <c r="AU935" t="inlineStr">
        <is>
          <t>4918871602:eng</t>
        </is>
      </c>
      <c r="AV935" t="inlineStr">
        <is>
          <t>6016629</t>
        </is>
      </c>
      <c r="AW935" t="inlineStr">
        <is>
          <t>991004916589702656</t>
        </is>
      </c>
      <c r="AX935" t="inlineStr">
        <is>
          <t>991004916589702656</t>
        </is>
      </c>
      <c r="AY935" t="inlineStr">
        <is>
          <t>2270660910002656</t>
        </is>
      </c>
      <c r="AZ935" t="inlineStr">
        <is>
          <t>BOOK</t>
        </is>
      </c>
      <c r="BB935" t="inlineStr">
        <is>
          <t>9780471019763</t>
        </is>
      </c>
      <c r="BC935" t="inlineStr">
        <is>
          <t>32285001640233</t>
        </is>
      </c>
      <c r="BD935" t="inlineStr">
        <is>
          <t>893713208</t>
        </is>
      </c>
    </row>
    <row r="936">
      <c r="A936" t="inlineStr">
        <is>
          <t>No</t>
        </is>
      </c>
      <c r="B936" t="inlineStr">
        <is>
          <t>QH450 .O47 1973</t>
        </is>
      </c>
      <c r="C936" t="inlineStr">
        <is>
          <t>0                      QH 0450000O  47          1973</t>
        </is>
      </c>
      <c r="D936" t="inlineStr">
        <is>
          <t>Control of gene expression; [proceedings] Edited by Alexander Kohn and Adam Shatkay.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"Oholo" Biological Conference on Strategies for the Control of Gene Expression (18th : 1973 : Zikhron Yaʻaḳov, Israel)</t>
        </is>
      </c>
      <c r="L936" t="inlineStr">
        <is>
          <t>New York, Plenum Press [1974]</t>
        </is>
      </c>
      <c r="M936" t="inlineStr">
        <is>
          <t>1974</t>
        </is>
      </c>
      <c r="O936" t="inlineStr">
        <is>
          <t>eng</t>
        </is>
      </c>
      <c r="P936" t="inlineStr">
        <is>
          <t>nyu</t>
        </is>
      </c>
      <c r="Q936" t="inlineStr">
        <is>
          <t>Advances in experimental medicine and biology ; v. 44</t>
        </is>
      </c>
      <c r="R936" t="inlineStr">
        <is>
          <t xml:space="preserve">QH </t>
        </is>
      </c>
      <c r="S936" t="n">
        <v>1</v>
      </c>
      <c r="T936" t="n">
        <v>1</v>
      </c>
      <c r="U936" t="inlineStr">
        <is>
          <t>2008-09-28</t>
        </is>
      </c>
      <c r="V936" t="inlineStr">
        <is>
          <t>2008-09-28</t>
        </is>
      </c>
      <c r="W936" t="inlineStr">
        <is>
          <t>1997-07-02</t>
        </is>
      </c>
      <c r="X936" t="inlineStr">
        <is>
          <t>1997-07-02</t>
        </is>
      </c>
      <c r="Y936" t="n">
        <v>292</v>
      </c>
      <c r="Z936" t="n">
        <v>230</v>
      </c>
      <c r="AA936" t="n">
        <v>238</v>
      </c>
      <c r="AB936" t="n">
        <v>3</v>
      </c>
      <c r="AC936" t="n">
        <v>3</v>
      </c>
      <c r="AD936" t="n">
        <v>9</v>
      </c>
      <c r="AE936" t="n">
        <v>9</v>
      </c>
      <c r="AF936" t="n">
        <v>2</v>
      </c>
      <c r="AG936" t="n">
        <v>2</v>
      </c>
      <c r="AH936" t="n">
        <v>3</v>
      </c>
      <c r="AI936" t="n">
        <v>3</v>
      </c>
      <c r="AJ936" t="n">
        <v>4</v>
      </c>
      <c r="AK936" t="n">
        <v>4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HYPERLINK("http://catalog.hathitrust.org/Record/000281097","HathiTrust Record")</f>
        <v/>
      </c>
      <c r="AS936">
        <f>HYPERLINK("https://creighton-primo.hosted.exlibrisgroup.com/primo-explore/search?tab=default_tab&amp;search_scope=EVERYTHING&amp;vid=01CRU&amp;lang=en_US&amp;offset=0&amp;query=any,contains,991003311839702656","Catalog Record")</f>
        <v/>
      </c>
      <c r="AT936">
        <f>HYPERLINK("http://www.worldcat.org/oclc/835198","WorldCat Record")</f>
        <v/>
      </c>
      <c r="AU936" t="inlineStr">
        <is>
          <t>180713393:eng</t>
        </is>
      </c>
      <c r="AV936" t="inlineStr">
        <is>
          <t>835198</t>
        </is>
      </c>
      <c r="AW936" t="inlineStr">
        <is>
          <t>991003311839702656</t>
        </is>
      </c>
      <c r="AX936" t="inlineStr">
        <is>
          <t>991003311839702656</t>
        </is>
      </c>
      <c r="AY936" t="inlineStr">
        <is>
          <t>2270360570002656</t>
        </is>
      </c>
      <c r="AZ936" t="inlineStr">
        <is>
          <t>BOOK</t>
        </is>
      </c>
      <c r="BB936" t="inlineStr">
        <is>
          <t>9780306390449</t>
        </is>
      </c>
      <c r="BC936" t="inlineStr">
        <is>
          <t>32285002911765</t>
        </is>
      </c>
      <c r="BD936" t="inlineStr">
        <is>
          <t>893904328</t>
        </is>
      </c>
    </row>
    <row r="937">
      <c r="A937" t="inlineStr">
        <is>
          <t>No</t>
        </is>
      </c>
      <c r="B937" t="inlineStr">
        <is>
          <t>QH450.2 .B44 1988</t>
        </is>
      </c>
      <c r="C937" t="inlineStr">
        <is>
          <t>0                      QH 0450200B  44          1988</t>
        </is>
      </c>
      <c r="D937" t="inlineStr">
        <is>
          <t>Gene structure and transcription / Trevor Beebee and Julian Burke.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Beebee, Trevor J. C. (Trevor John Clark)</t>
        </is>
      </c>
      <c r="L937" t="inlineStr">
        <is>
          <t>Oxford, England ; Washington, DC : IRL Press, 1988.</t>
        </is>
      </c>
      <c r="M937" t="inlineStr">
        <is>
          <t>1988</t>
        </is>
      </c>
      <c r="O937" t="inlineStr">
        <is>
          <t>eng</t>
        </is>
      </c>
      <c r="P937" t="inlineStr">
        <is>
          <t>enk</t>
        </is>
      </c>
      <c r="Q937" t="inlineStr">
        <is>
          <t>In focus</t>
        </is>
      </c>
      <c r="R937" t="inlineStr">
        <is>
          <t xml:space="preserve">QH </t>
        </is>
      </c>
      <c r="S937" t="n">
        <v>4</v>
      </c>
      <c r="T937" t="n">
        <v>4</v>
      </c>
      <c r="U937" t="inlineStr">
        <is>
          <t>2008-09-28</t>
        </is>
      </c>
      <c r="V937" t="inlineStr">
        <is>
          <t>2008-09-28</t>
        </is>
      </c>
      <c r="W937" t="inlineStr">
        <is>
          <t>1993-04-12</t>
        </is>
      </c>
      <c r="X937" t="inlineStr">
        <is>
          <t>1993-04-12</t>
        </is>
      </c>
      <c r="Y937" t="n">
        <v>270</v>
      </c>
      <c r="Z937" t="n">
        <v>164</v>
      </c>
      <c r="AA937" t="n">
        <v>259</v>
      </c>
      <c r="AB937" t="n">
        <v>1</v>
      </c>
      <c r="AC937" t="n">
        <v>2</v>
      </c>
      <c r="AD937" t="n">
        <v>4</v>
      </c>
      <c r="AE937" t="n">
        <v>12</v>
      </c>
      <c r="AF937" t="n">
        <v>1</v>
      </c>
      <c r="AG937" t="n">
        <v>4</v>
      </c>
      <c r="AH937" t="n">
        <v>1</v>
      </c>
      <c r="AI937" t="n">
        <v>3</v>
      </c>
      <c r="AJ937" t="n">
        <v>3</v>
      </c>
      <c r="AK937" t="n">
        <v>8</v>
      </c>
      <c r="AL937" t="n">
        <v>0</v>
      </c>
      <c r="AM937" t="n">
        <v>1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HYPERLINK("http://catalog.hathitrust.org/Record/001291230","HathiTrust Record")</f>
        <v/>
      </c>
      <c r="AS937">
        <f>HYPERLINK("https://creighton-primo.hosted.exlibrisgroup.com/primo-explore/search?tab=default_tab&amp;search_scope=EVERYTHING&amp;vid=01CRU&amp;lang=en_US&amp;offset=0&amp;query=any,contains,991001317539702656","Catalog Record")</f>
        <v/>
      </c>
      <c r="AT937">
        <f>HYPERLINK("http://www.worldcat.org/oclc/18191546","WorldCat Record")</f>
        <v/>
      </c>
      <c r="AU937" t="inlineStr">
        <is>
          <t>17090163:eng</t>
        </is>
      </c>
      <c r="AV937" t="inlineStr">
        <is>
          <t>18191546</t>
        </is>
      </c>
      <c r="AW937" t="inlineStr">
        <is>
          <t>991001317539702656</t>
        </is>
      </c>
      <c r="AX937" t="inlineStr">
        <is>
          <t>991001317539702656</t>
        </is>
      </c>
      <c r="AY937" t="inlineStr">
        <is>
          <t>2269176990002656</t>
        </is>
      </c>
      <c r="AZ937" t="inlineStr">
        <is>
          <t>BOOK</t>
        </is>
      </c>
      <c r="BB937" t="inlineStr">
        <is>
          <t>9781852210144</t>
        </is>
      </c>
      <c r="BC937" t="inlineStr">
        <is>
          <t>32285001640266</t>
        </is>
      </c>
      <c r="BD937" t="inlineStr">
        <is>
          <t>893516115</t>
        </is>
      </c>
    </row>
    <row r="938">
      <c r="A938" t="inlineStr">
        <is>
          <t>No</t>
        </is>
      </c>
      <c r="B938" t="inlineStr">
        <is>
          <t>QH450.2 .E84 1996</t>
        </is>
      </c>
      <c r="C938" t="inlineStr">
        <is>
          <t>0                      QH 0450200E  84          1996</t>
        </is>
      </c>
      <c r="D938" t="inlineStr">
        <is>
          <t>Eukaryotic gene transcription / edited by Stephen Goodbourn.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Oxford ; New York : IRL Press at Oxford University Press, c1996.</t>
        </is>
      </c>
      <c r="M938" t="inlineStr">
        <is>
          <t>1996</t>
        </is>
      </c>
      <c r="O938" t="inlineStr">
        <is>
          <t>eng</t>
        </is>
      </c>
      <c r="P938" t="inlineStr">
        <is>
          <t>enk</t>
        </is>
      </c>
      <c r="Q938" t="inlineStr">
        <is>
          <t>Frontiers in molecular biology ; 12</t>
        </is>
      </c>
      <c r="R938" t="inlineStr">
        <is>
          <t xml:space="preserve">QH </t>
        </is>
      </c>
      <c r="S938" t="n">
        <v>2</v>
      </c>
      <c r="T938" t="n">
        <v>2</v>
      </c>
      <c r="U938" t="inlineStr">
        <is>
          <t>1997-01-03</t>
        </is>
      </c>
      <c r="V938" t="inlineStr">
        <is>
          <t>1997-01-03</t>
        </is>
      </c>
      <c r="W938" t="inlineStr">
        <is>
          <t>1996-11-27</t>
        </is>
      </c>
      <c r="X938" t="inlineStr">
        <is>
          <t>1996-11-27</t>
        </is>
      </c>
      <c r="Y938" t="n">
        <v>264</v>
      </c>
      <c r="Z938" t="n">
        <v>170</v>
      </c>
      <c r="AA938" t="n">
        <v>170</v>
      </c>
      <c r="AB938" t="n">
        <v>2</v>
      </c>
      <c r="AC938" t="n">
        <v>2</v>
      </c>
      <c r="AD938" t="n">
        <v>9</v>
      </c>
      <c r="AE938" t="n">
        <v>9</v>
      </c>
      <c r="AF938" t="n">
        <v>3</v>
      </c>
      <c r="AG938" t="n">
        <v>3</v>
      </c>
      <c r="AH938" t="n">
        <v>3</v>
      </c>
      <c r="AI938" t="n">
        <v>3</v>
      </c>
      <c r="AJ938" t="n">
        <v>5</v>
      </c>
      <c r="AK938" t="n">
        <v>5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HYPERLINK("https://creighton-primo.hosted.exlibrisgroup.com/primo-explore/search?tab=default_tab&amp;search_scope=EVERYTHING&amp;vid=01CRU&amp;lang=en_US&amp;offset=0&amp;query=any,contains,991002528969702656","Catalog Record")</f>
        <v/>
      </c>
      <c r="AT938">
        <f>HYPERLINK("http://www.worldcat.org/oclc/32860826","WorldCat Record")</f>
        <v/>
      </c>
      <c r="AU938" t="inlineStr">
        <is>
          <t>37382522:eng</t>
        </is>
      </c>
      <c r="AV938" t="inlineStr">
        <is>
          <t>32860826</t>
        </is>
      </c>
      <c r="AW938" t="inlineStr">
        <is>
          <t>991002528969702656</t>
        </is>
      </c>
      <c r="AX938" t="inlineStr">
        <is>
          <t>991002528969702656</t>
        </is>
      </c>
      <c r="AY938" t="inlineStr">
        <is>
          <t>2259349520002656</t>
        </is>
      </c>
      <c r="AZ938" t="inlineStr">
        <is>
          <t>BOOK</t>
        </is>
      </c>
      <c r="BB938" t="inlineStr">
        <is>
          <t>9780199634866</t>
        </is>
      </c>
      <c r="BC938" t="inlineStr">
        <is>
          <t>32285002386729</t>
        </is>
      </c>
      <c r="BD938" t="inlineStr">
        <is>
          <t>893892675</t>
        </is>
      </c>
    </row>
    <row r="939">
      <c r="A939" t="inlineStr">
        <is>
          <t>No</t>
        </is>
      </c>
      <c r="B939" t="inlineStr">
        <is>
          <t>QH450.2 .G46 1993</t>
        </is>
      </c>
      <c r="C939" t="inlineStr">
        <is>
          <t>0                      QH 0450200G  46          1993</t>
        </is>
      </c>
      <c r="D939" t="inlineStr">
        <is>
          <t>Gene transcription : a practical approach / edited by B. David Hames and Steven J. Higgins.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Oxford ; New York : IRL Press at Oxford University Press, c1993.</t>
        </is>
      </c>
      <c r="M939" t="inlineStr">
        <is>
          <t>1993</t>
        </is>
      </c>
      <c r="O939" t="inlineStr">
        <is>
          <t>eng</t>
        </is>
      </c>
      <c r="P939" t="inlineStr">
        <is>
          <t>enk</t>
        </is>
      </c>
      <c r="Q939" t="inlineStr">
        <is>
          <t>Practical approach series ; 117</t>
        </is>
      </c>
      <c r="R939" t="inlineStr">
        <is>
          <t xml:space="preserve">QH </t>
        </is>
      </c>
      <c r="S939" t="n">
        <v>12</v>
      </c>
      <c r="T939" t="n">
        <v>12</v>
      </c>
      <c r="U939" t="inlineStr">
        <is>
          <t>2003-05-08</t>
        </is>
      </c>
      <c r="V939" t="inlineStr">
        <is>
          <t>2003-05-08</t>
        </is>
      </c>
      <c r="W939" t="inlineStr">
        <is>
          <t>1994-06-27</t>
        </is>
      </c>
      <c r="X939" t="inlineStr">
        <is>
          <t>1994-06-27</t>
        </is>
      </c>
      <c r="Y939" t="n">
        <v>276</v>
      </c>
      <c r="Z939" t="n">
        <v>181</v>
      </c>
      <c r="AA939" t="n">
        <v>189</v>
      </c>
      <c r="AB939" t="n">
        <v>1</v>
      </c>
      <c r="AC939" t="n">
        <v>1</v>
      </c>
      <c r="AD939" t="n">
        <v>8</v>
      </c>
      <c r="AE939" t="n">
        <v>8</v>
      </c>
      <c r="AF939" t="n">
        <v>4</v>
      </c>
      <c r="AG939" t="n">
        <v>4</v>
      </c>
      <c r="AH939" t="n">
        <v>2</v>
      </c>
      <c r="AI939" t="n">
        <v>2</v>
      </c>
      <c r="AJ939" t="n">
        <v>5</v>
      </c>
      <c r="AK939" t="n">
        <v>5</v>
      </c>
      <c r="AL939" t="n">
        <v>0</v>
      </c>
      <c r="AM939" t="n">
        <v>0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HYPERLINK("http://catalog.hathitrust.org/Record/002650335","HathiTrust Record")</f>
        <v/>
      </c>
      <c r="AS939">
        <f>HYPERLINK("https://creighton-primo.hosted.exlibrisgroup.com/primo-explore/search?tab=default_tab&amp;search_scope=EVERYTHING&amp;vid=01CRU&amp;lang=en_US&amp;offset=0&amp;query=any,contains,991002115499702656","Catalog Record")</f>
        <v/>
      </c>
      <c r="AT939">
        <f>HYPERLINK("http://www.worldcat.org/oclc/27108346","WorldCat Record")</f>
        <v/>
      </c>
      <c r="AU939" t="inlineStr">
        <is>
          <t>807191565:eng</t>
        </is>
      </c>
      <c r="AV939" t="inlineStr">
        <is>
          <t>27108346</t>
        </is>
      </c>
      <c r="AW939" t="inlineStr">
        <is>
          <t>991002115499702656</t>
        </is>
      </c>
      <c r="AX939" t="inlineStr">
        <is>
          <t>991002115499702656</t>
        </is>
      </c>
      <c r="AY939" t="inlineStr">
        <is>
          <t>2261743430002656</t>
        </is>
      </c>
      <c r="AZ939" t="inlineStr">
        <is>
          <t>BOOK</t>
        </is>
      </c>
      <c r="BB939" t="inlineStr">
        <is>
          <t>9780199632916</t>
        </is>
      </c>
      <c r="BC939" t="inlineStr">
        <is>
          <t>32285001924587</t>
        </is>
      </c>
      <c r="BD939" t="inlineStr">
        <is>
          <t>893885864</t>
        </is>
      </c>
    </row>
    <row r="940">
      <c r="A940" t="inlineStr">
        <is>
          <t>No</t>
        </is>
      </c>
      <c r="B940" t="inlineStr">
        <is>
          <t>QH450.2 .H67 1991</t>
        </is>
      </c>
      <c r="C940" t="inlineStr">
        <is>
          <t>0                      QH 0450200H  67          1991</t>
        </is>
      </c>
      <c r="D940" t="inlineStr">
        <is>
          <t>The Hormonal control of gene transcription / edited by Philip Cohen and J. Gordon Foulkes.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L940" t="inlineStr">
        <is>
          <t>Amsterdam ; New York : Elsevier, 1991.</t>
        </is>
      </c>
      <c r="M940" t="inlineStr">
        <is>
          <t>1991</t>
        </is>
      </c>
      <c r="O940" t="inlineStr">
        <is>
          <t>eng</t>
        </is>
      </c>
      <c r="P940" t="inlineStr">
        <is>
          <t xml:space="preserve">ne </t>
        </is>
      </c>
      <c r="Q940" t="inlineStr">
        <is>
          <t>Molecular aspects of cellular regulation ; v. 6</t>
        </is>
      </c>
      <c r="R940" t="inlineStr">
        <is>
          <t xml:space="preserve">QH </t>
        </is>
      </c>
      <c r="S940" t="n">
        <v>6</v>
      </c>
      <c r="T940" t="n">
        <v>6</v>
      </c>
      <c r="U940" t="inlineStr">
        <is>
          <t>1998-04-07</t>
        </is>
      </c>
      <c r="V940" t="inlineStr">
        <is>
          <t>1998-04-07</t>
        </is>
      </c>
      <c r="W940" t="inlineStr">
        <is>
          <t>1993-01-19</t>
        </is>
      </c>
      <c r="X940" t="inlineStr">
        <is>
          <t>1993-01-19</t>
        </is>
      </c>
      <c r="Y940" t="n">
        <v>161</v>
      </c>
      <c r="Z940" t="n">
        <v>107</v>
      </c>
      <c r="AA940" t="n">
        <v>158</v>
      </c>
      <c r="AB940" t="n">
        <v>2</v>
      </c>
      <c r="AC940" t="n">
        <v>3</v>
      </c>
      <c r="AD940" t="n">
        <v>5</v>
      </c>
      <c r="AE940" t="n">
        <v>8</v>
      </c>
      <c r="AF940" t="n">
        <v>0</v>
      </c>
      <c r="AG940" t="n">
        <v>1</v>
      </c>
      <c r="AH940" t="n">
        <v>2</v>
      </c>
      <c r="AI940" t="n">
        <v>3</v>
      </c>
      <c r="AJ940" t="n">
        <v>4</v>
      </c>
      <c r="AK940" t="n">
        <v>4</v>
      </c>
      <c r="AL940" t="n">
        <v>1</v>
      </c>
      <c r="AM940" t="n">
        <v>2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HYPERLINK("http://catalog.hathitrust.org/Record/002457073","HathiTrust Record")</f>
        <v/>
      </c>
      <c r="AS940">
        <f>HYPERLINK("https://creighton-primo.hosted.exlibrisgroup.com/primo-explore/search?tab=default_tab&amp;search_scope=EVERYTHING&amp;vid=01CRU&amp;lang=en_US&amp;offset=0&amp;query=any,contains,991001852439702656","Catalog Record")</f>
        <v/>
      </c>
      <c r="AT940">
        <f>HYPERLINK("http://www.worldcat.org/oclc/23252947","WorldCat Record")</f>
        <v/>
      </c>
      <c r="AU940" t="inlineStr">
        <is>
          <t>350315203:eng</t>
        </is>
      </c>
      <c r="AV940" t="inlineStr">
        <is>
          <t>23252947</t>
        </is>
      </c>
      <c r="AW940" t="inlineStr">
        <is>
          <t>991001852439702656</t>
        </is>
      </c>
      <c r="AX940" t="inlineStr">
        <is>
          <t>991001852439702656</t>
        </is>
      </c>
      <c r="AY940" t="inlineStr">
        <is>
          <t>2263062080002656</t>
        </is>
      </c>
      <c r="AZ940" t="inlineStr">
        <is>
          <t>BOOK</t>
        </is>
      </c>
      <c r="BB940" t="inlineStr">
        <is>
          <t>9780444813824</t>
        </is>
      </c>
      <c r="BC940" t="inlineStr">
        <is>
          <t>32285001446896</t>
        </is>
      </c>
      <c r="BD940" t="inlineStr">
        <is>
          <t>893803955</t>
        </is>
      </c>
    </row>
    <row r="941">
      <c r="A941" t="inlineStr">
        <is>
          <t>No</t>
        </is>
      </c>
      <c r="B941" t="inlineStr">
        <is>
          <t>QH450.2 .K39 2000</t>
        </is>
      </c>
      <c r="C941" t="inlineStr">
        <is>
          <t>0                      QH 0450200K  39          2000</t>
        </is>
      </c>
      <c r="D941" t="inlineStr">
        <is>
          <t>Who wrote the book of life? : a history of the genetic code / Lily E. Kay.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Kay, Lily E.</t>
        </is>
      </c>
      <c r="L941" t="inlineStr">
        <is>
          <t>Stanford, Calif. : Stanford University Press, c2000.</t>
        </is>
      </c>
      <c r="M941" t="inlineStr">
        <is>
          <t>2000</t>
        </is>
      </c>
      <c r="O941" t="inlineStr">
        <is>
          <t>eng</t>
        </is>
      </c>
      <c r="P941" t="inlineStr">
        <is>
          <t>cau</t>
        </is>
      </c>
      <c r="Q941" t="inlineStr">
        <is>
          <t>Writing science</t>
        </is>
      </c>
      <c r="R941" t="inlineStr">
        <is>
          <t xml:space="preserve">QH </t>
        </is>
      </c>
      <c r="S941" t="n">
        <v>5</v>
      </c>
      <c r="T941" t="n">
        <v>5</v>
      </c>
      <c r="U941" t="inlineStr">
        <is>
          <t>2001-11-04</t>
        </is>
      </c>
      <c r="V941" t="inlineStr">
        <is>
          <t>2001-11-04</t>
        </is>
      </c>
      <c r="W941" t="inlineStr">
        <is>
          <t>2000-09-05</t>
        </is>
      </c>
      <c r="X941" t="inlineStr">
        <is>
          <t>2000-09-05</t>
        </is>
      </c>
      <c r="Y941" t="n">
        <v>997</v>
      </c>
      <c r="Z941" t="n">
        <v>830</v>
      </c>
      <c r="AA941" t="n">
        <v>831</v>
      </c>
      <c r="AB941" t="n">
        <v>6</v>
      </c>
      <c r="AC941" t="n">
        <v>6</v>
      </c>
      <c r="AD941" t="n">
        <v>36</v>
      </c>
      <c r="AE941" t="n">
        <v>36</v>
      </c>
      <c r="AF941" t="n">
        <v>14</v>
      </c>
      <c r="AG941" t="n">
        <v>14</v>
      </c>
      <c r="AH941" t="n">
        <v>8</v>
      </c>
      <c r="AI941" t="n">
        <v>8</v>
      </c>
      <c r="AJ941" t="n">
        <v>16</v>
      </c>
      <c r="AK941" t="n">
        <v>16</v>
      </c>
      <c r="AL941" t="n">
        <v>5</v>
      </c>
      <c r="AM941" t="n">
        <v>5</v>
      </c>
      <c r="AN941" t="n">
        <v>1</v>
      </c>
      <c r="AO941" t="n">
        <v>1</v>
      </c>
      <c r="AP941" t="inlineStr">
        <is>
          <t>No</t>
        </is>
      </c>
      <c r="AQ941" t="inlineStr">
        <is>
          <t>No</t>
        </is>
      </c>
      <c r="AS941">
        <f>HYPERLINK("https://creighton-primo.hosted.exlibrisgroup.com/primo-explore/search?tab=default_tab&amp;search_scope=EVERYTHING&amp;vid=01CRU&amp;lang=en_US&amp;offset=0&amp;query=any,contains,991003232929702656","Catalog Record")</f>
        <v/>
      </c>
      <c r="AT941">
        <f>HYPERLINK("http://www.worldcat.org/oclc/41967065","WorldCat Record")</f>
        <v/>
      </c>
      <c r="AU941" t="inlineStr">
        <is>
          <t>837044802:eng</t>
        </is>
      </c>
      <c r="AV941" t="inlineStr">
        <is>
          <t>41967065</t>
        </is>
      </c>
      <c r="AW941" t="inlineStr">
        <is>
          <t>991003232929702656</t>
        </is>
      </c>
      <c r="AX941" t="inlineStr">
        <is>
          <t>991003232929702656</t>
        </is>
      </c>
      <c r="AY941" t="inlineStr">
        <is>
          <t>2269297100002656</t>
        </is>
      </c>
      <c r="AZ941" t="inlineStr">
        <is>
          <t>BOOK</t>
        </is>
      </c>
      <c r="BB941" t="inlineStr">
        <is>
          <t>9780804733847</t>
        </is>
      </c>
      <c r="BC941" t="inlineStr">
        <is>
          <t>32285003749867</t>
        </is>
      </c>
      <c r="BD941" t="inlineStr">
        <is>
          <t>893787092</t>
        </is>
      </c>
    </row>
    <row r="942">
      <c r="A942" t="inlineStr">
        <is>
          <t>No</t>
        </is>
      </c>
      <c r="B942" t="inlineStr">
        <is>
          <t>QH450.2 .L37 1995</t>
        </is>
      </c>
      <c r="C942" t="inlineStr">
        <is>
          <t>0                      QH 0450200L  37          1995</t>
        </is>
      </c>
      <c r="D942" t="inlineStr">
        <is>
          <t>Gene regulation : a eukaryotic perspective / David Latchman.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Latchman, David S.</t>
        </is>
      </c>
      <c r="L942" t="inlineStr">
        <is>
          <t>London ; New York : Chapman &amp; Hall, 1995.</t>
        </is>
      </c>
      <c r="M942" t="inlineStr">
        <is>
          <t>1995</t>
        </is>
      </c>
      <c r="N942" t="inlineStr">
        <is>
          <t>2nd ed.</t>
        </is>
      </c>
      <c r="O942" t="inlineStr">
        <is>
          <t>eng</t>
        </is>
      </c>
      <c r="P942" t="inlineStr">
        <is>
          <t>enk</t>
        </is>
      </c>
      <c r="R942" t="inlineStr">
        <is>
          <t xml:space="preserve">QH </t>
        </is>
      </c>
      <c r="S942" t="n">
        <v>10</v>
      </c>
      <c r="T942" t="n">
        <v>10</v>
      </c>
      <c r="U942" t="inlineStr">
        <is>
          <t>1999-04-27</t>
        </is>
      </c>
      <c r="V942" t="inlineStr">
        <is>
          <t>1999-04-27</t>
        </is>
      </c>
      <c r="W942" t="inlineStr">
        <is>
          <t>1996-10-30</t>
        </is>
      </c>
      <c r="X942" t="inlineStr">
        <is>
          <t>1996-10-30</t>
        </is>
      </c>
      <c r="Y942" t="n">
        <v>227</v>
      </c>
      <c r="Z942" t="n">
        <v>110</v>
      </c>
      <c r="AA942" t="n">
        <v>339</v>
      </c>
      <c r="AB942" t="n">
        <v>1</v>
      </c>
      <c r="AC942" t="n">
        <v>5</v>
      </c>
      <c r="AD942" t="n">
        <v>4</v>
      </c>
      <c r="AE942" t="n">
        <v>17</v>
      </c>
      <c r="AF942" t="n">
        <v>0</v>
      </c>
      <c r="AG942" t="n">
        <v>3</v>
      </c>
      <c r="AH942" t="n">
        <v>2</v>
      </c>
      <c r="AI942" t="n">
        <v>5</v>
      </c>
      <c r="AJ942" t="n">
        <v>4</v>
      </c>
      <c r="AK942" t="n">
        <v>10</v>
      </c>
      <c r="AL942" t="n">
        <v>0</v>
      </c>
      <c r="AM942" t="n">
        <v>4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HYPERLINK("http://catalog.hathitrust.org/Record/003971868","HathiTrust Record")</f>
        <v/>
      </c>
      <c r="AS942">
        <f>HYPERLINK("https://creighton-primo.hosted.exlibrisgroup.com/primo-explore/search?tab=default_tab&amp;search_scope=EVERYTHING&amp;vid=01CRU&amp;lang=en_US&amp;offset=0&amp;query=any,contains,991002448839702656","Catalog Record")</f>
        <v/>
      </c>
      <c r="AT942">
        <f>HYPERLINK("http://www.worldcat.org/oclc/31934689","WorldCat Record")</f>
        <v/>
      </c>
      <c r="AU942" t="inlineStr">
        <is>
          <t>2648281:eng</t>
        </is>
      </c>
      <c r="AV942" t="inlineStr">
        <is>
          <t>31934689</t>
        </is>
      </c>
      <c r="AW942" t="inlineStr">
        <is>
          <t>991002448839702656</t>
        </is>
      </c>
      <c r="AX942" t="inlineStr">
        <is>
          <t>991002448839702656</t>
        </is>
      </c>
      <c r="AY942" t="inlineStr">
        <is>
          <t>2255201680002656</t>
        </is>
      </c>
      <c r="AZ942" t="inlineStr">
        <is>
          <t>BOOK</t>
        </is>
      </c>
      <c r="BB942" t="inlineStr">
        <is>
          <t>9780412602009</t>
        </is>
      </c>
      <c r="BC942" t="inlineStr">
        <is>
          <t>32285002379237</t>
        </is>
      </c>
      <c r="BD942" t="inlineStr">
        <is>
          <t>893622298</t>
        </is>
      </c>
    </row>
    <row r="943">
      <c r="A943" t="inlineStr">
        <is>
          <t>No</t>
        </is>
      </c>
      <c r="B943" t="inlineStr">
        <is>
          <t>QH450.2 .T67 1988</t>
        </is>
      </c>
      <c r="C943" t="inlineStr">
        <is>
          <t>0                      QH 0450200T  67          1988</t>
        </is>
      </c>
      <c r="D943" t="inlineStr">
        <is>
          <t>Transcription and splicing / edited by B.D. Hames and D.M. Glover.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Oxford, England ; Washington, DC : IRL Press, 1988.</t>
        </is>
      </c>
      <c r="M943" t="inlineStr">
        <is>
          <t>1988</t>
        </is>
      </c>
      <c r="O943" t="inlineStr">
        <is>
          <t>eng</t>
        </is>
      </c>
      <c r="P943" t="inlineStr">
        <is>
          <t>enk</t>
        </is>
      </c>
      <c r="Q943" t="inlineStr">
        <is>
          <t>Frontiers in molecular biology</t>
        </is>
      </c>
      <c r="R943" t="inlineStr">
        <is>
          <t xml:space="preserve">QH </t>
        </is>
      </c>
      <c r="S943" t="n">
        <v>6</v>
      </c>
      <c r="T943" t="n">
        <v>6</v>
      </c>
      <c r="U943" t="inlineStr">
        <is>
          <t>2006-10-08</t>
        </is>
      </c>
      <c r="V943" t="inlineStr">
        <is>
          <t>2006-10-08</t>
        </is>
      </c>
      <c r="W943" t="inlineStr">
        <is>
          <t>1991-12-13</t>
        </is>
      </c>
      <c r="X943" t="inlineStr">
        <is>
          <t>1991-12-13</t>
        </is>
      </c>
      <c r="Y943" t="n">
        <v>279</v>
      </c>
      <c r="Z943" t="n">
        <v>167</v>
      </c>
      <c r="AA943" t="n">
        <v>168</v>
      </c>
      <c r="AB943" t="n">
        <v>1</v>
      </c>
      <c r="AC943" t="n">
        <v>1</v>
      </c>
      <c r="AD943" t="n">
        <v>5</v>
      </c>
      <c r="AE943" t="n">
        <v>5</v>
      </c>
      <c r="AF943" t="n">
        <v>3</v>
      </c>
      <c r="AG943" t="n">
        <v>3</v>
      </c>
      <c r="AH943" t="n">
        <v>3</v>
      </c>
      <c r="AI943" t="n">
        <v>3</v>
      </c>
      <c r="AJ943" t="n">
        <v>3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HYPERLINK("http://catalog.hathitrust.org/Record/000945158","HathiTrust Record")</f>
        <v/>
      </c>
      <c r="AS943">
        <f>HYPERLINK("https://creighton-primo.hosted.exlibrisgroup.com/primo-explore/search?tab=default_tab&amp;search_scope=EVERYTHING&amp;vid=01CRU&amp;lang=en_US&amp;offset=0&amp;query=any,contains,991001340749702656","Catalog Record")</f>
        <v/>
      </c>
      <c r="AT943">
        <f>HYPERLINK("http://www.worldcat.org/oclc/18382256","WorldCat Record")</f>
        <v/>
      </c>
      <c r="AU943" t="inlineStr">
        <is>
          <t>349962686:eng</t>
        </is>
      </c>
      <c r="AV943" t="inlineStr">
        <is>
          <t>18382256</t>
        </is>
      </c>
      <c r="AW943" t="inlineStr">
        <is>
          <t>991001340749702656</t>
        </is>
      </c>
      <c r="AX943" t="inlineStr">
        <is>
          <t>991001340749702656</t>
        </is>
      </c>
      <c r="AY943" t="inlineStr">
        <is>
          <t>2256421060002656</t>
        </is>
      </c>
      <c r="AZ943" t="inlineStr">
        <is>
          <t>BOOK</t>
        </is>
      </c>
      <c r="BB943" t="inlineStr">
        <is>
          <t>9781852210809</t>
        </is>
      </c>
      <c r="BC943" t="inlineStr">
        <is>
          <t>32285000905280</t>
        </is>
      </c>
      <c r="BD943" t="inlineStr">
        <is>
          <t>893690544</t>
        </is>
      </c>
    </row>
    <row r="944">
      <c r="A944" t="inlineStr">
        <is>
          <t>No</t>
        </is>
      </c>
      <c r="B944" t="inlineStr">
        <is>
          <t>QH450.2 .T695 1992</t>
        </is>
      </c>
      <c r="C944" t="inlineStr">
        <is>
          <t>0                      QH 0450200T  695         1992</t>
        </is>
      </c>
      <c r="D944" t="inlineStr">
        <is>
          <t>Transcriptional regulation / edited by Steven L. McKnight, Keith R. Yamamoto.</t>
        </is>
      </c>
      <c r="E944" t="inlineStr">
        <is>
          <t>V.1</t>
        </is>
      </c>
      <c r="F944" t="inlineStr">
        <is>
          <t>Yes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Plainview, N.Y. : Cold Spring Harbor Laboratory Press, 1992.</t>
        </is>
      </c>
      <c r="M944" t="inlineStr">
        <is>
          <t>1992</t>
        </is>
      </c>
      <c r="O944" t="inlineStr">
        <is>
          <t>eng</t>
        </is>
      </c>
      <c r="P944" t="inlineStr">
        <is>
          <t>nyu</t>
        </is>
      </c>
      <c r="Q944" t="inlineStr">
        <is>
          <t>Cold Spring Harbor monograph series ; 22</t>
        </is>
      </c>
      <c r="R944" t="inlineStr">
        <is>
          <t xml:space="preserve">QH </t>
        </is>
      </c>
      <c r="S944" t="n">
        <v>10</v>
      </c>
      <c r="T944" t="n">
        <v>15</v>
      </c>
      <c r="U944" t="inlineStr">
        <is>
          <t>1999-10-09</t>
        </is>
      </c>
      <c r="V944" t="inlineStr">
        <is>
          <t>1999-10-09</t>
        </is>
      </c>
      <c r="W944" t="inlineStr">
        <is>
          <t>1994-04-21</t>
        </is>
      </c>
      <c r="X944" t="inlineStr">
        <is>
          <t>1994-04-21</t>
        </is>
      </c>
      <c r="Y944" t="n">
        <v>299</v>
      </c>
      <c r="Z944" t="n">
        <v>224</v>
      </c>
      <c r="AA944" t="n">
        <v>234</v>
      </c>
      <c r="AB944" t="n">
        <v>1</v>
      </c>
      <c r="AC944" t="n">
        <v>1</v>
      </c>
      <c r="AD944" t="n">
        <v>9</v>
      </c>
      <c r="AE944" t="n">
        <v>10</v>
      </c>
      <c r="AF944" t="n">
        <v>2</v>
      </c>
      <c r="AG944" t="n">
        <v>2</v>
      </c>
      <c r="AH944" t="n">
        <v>3</v>
      </c>
      <c r="AI944" t="n">
        <v>4</v>
      </c>
      <c r="AJ944" t="n">
        <v>6</v>
      </c>
      <c r="AK944" t="n">
        <v>7</v>
      </c>
      <c r="AL944" t="n">
        <v>0</v>
      </c>
      <c r="AM944" t="n">
        <v>0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HYPERLINK("http://catalog.hathitrust.org/Record/002610233","HathiTrust Record")</f>
        <v/>
      </c>
      <c r="AS944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4">
        <f>HYPERLINK("http://www.worldcat.org/oclc/26395966","WorldCat Record")</f>
        <v/>
      </c>
      <c r="AU944" t="inlineStr">
        <is>
          <t>365274861:eng</t>
        </is>
      </c>
      <c r="AV944" t="inlineStr">
        <is>
          <t>26395966</t>
        </is>
      </c>
      <c r="AW944" t="inlineStr">
        <is>
          <t>991002061789702656</t>
        </is>
      </c>
      <c r="AX944" t="inlineStr">
        <is>
          <t>991002061789702656</t>
        </is>
      </c>
      <c r="AY944" t="inlineStr">
        <is>
          <t>2255294470002656</t>
        </is>
      </c>
      <c r="AZ944" t="inlineStr">
        <is>
          <t>BOOK</t>
        </is>
      </c>
      <c r="BB944" t="inlineStr">
        <is>
          <t>9780879694104</t>
        </is>
      </c>
      <c r="BC944" t="inlineStr">
        <is>
          <t>32285001877025</t>
        </is>
      </c>
      <c r="BD944" t="inlineStr">
        <is>
          <t>893615653</t>
        </is>
      </c>
    </row>
    <row r="945">
      <c r="A945" t="inlineStr">
        <is>
          <t>No</t>
        </is>
      </c>
      <c r="B945" t="inlineStr">
        <is>
          <t>QH450.2 .T695 1992</t>
        </is>
      </c>
      <c r="C945" t="inlineStr">
        <is>
          <t>0                      QH 0450200T  695         1992</t>
        </is>
      </c>
      <c r="D945" t="inlineStr">
        <is>
          <t>Transcriptional regulation / edited by Steven L. McKnight, Keith R. Yamamoto.</t>
        </is>
      </c>
      <c r="E945" t="inlineStr">
        <is>
          <t>V.2</t>
        </is>
      </c>
      <c r="F945" t="inlineStr">
        <is>
          <t>Yes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Plainview, N.Y. : Cold Spring Harbor Laboratory Press, 1992.</t>
        </is>
      </c>
      <c r="M945" t="inlineStr">
        <is>
          <t>1992</t>
        </is>
      </c>
      <c r="O945" t="inlineStr">
        <is>
          <t>eng</t>
        </is>
      </c>
      <c r="P945" t="inlineStr">
        <is>
          <t>nyu</t>
        </is>
      </c>
      <c r="Q945" t="inlineStr">
        <is>
          <t>Cold Spring Harbor monograph series ; 22</t>
        </is>
      </c>
      <c r="R945" t="inlineStr">
        <is>
          <t xml:space="preserve">QH </t>
        </is>
      </c>
      <c r="S945" t="n">
        <v>5</v>
      </c>
      <c r="T945" t="n">
        <v>15</v>
      </c>
      <c r="U945" t="inlineStr">
        <is>
          <t>1996-01-25</t>
        </is>
      </c>
      <c r="V945" t="inlineStr">
        <is>
          <t>1999-10-09</t>
        </is>
      </c>
      <c r="W945" t="inlineStr">
        <is>
          <t>1994-04-21</t>
        </is>
      </c>
      <c r="X945" t="inlineStr">
        <is>
          <t>1994-04-21</t>
        </is>
      </c>
      <c r="Y945" t="n">
        <v>299</v>
      </c>
      <c r="Z945" t="n">
        <v>224</v>
      </c>
      <c r="AA945" t="n">
        <v>234</v>
      </c>
      <c r="AB945" t="n">
        <v>1</v>
      </c>
      <c r="AC945" t="n">
        <v>1</v>
      </c>
      <c r="AD945" t="n">
        <v>9</v>
      </c>
      <c r="AE945" t="n">
        <v>10</v>
      </c>
      <c r="AF945" t="n">
        <v>2</v>
      </c>
      <c r="AG945" t="n">
        <v>2</v>
      </c>
      <c r="AH945" t="n">
        <v>3</v>
      </c>
      <c r="AI945" t="n">
        <v>4</v>
      </c>
      <c r="AJ945" t="n">
        <v>6</v>
      </c>
      <c r="AK945" t="n">
        <v>7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HYPERLINK("http://catalog.hathitrust.org/Record/002610233","HathiTrust Record")</f>
        <v/>
      </c>
      <c r="AS945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5">
        <f>HYPERLINK("http://www.worldcat.org/oclc/26395966","WorldCat Record")</f>
        <v/>
      </c>
      <c r="AU945" t="inlineStr">
        <is>
          <t>365274861:eng</t>
        </is>
      </c>
      <c r="AV945" t="inlineStr">
        <is>
          <t>26395966</t>
        </is>
      </c>
      <c r="AW945" t="inlineStr">
        <is>
          <t>991002061789702656</t>
        </is>
      </c>
      <c r="AX945" t="inlineStr">
        <is>
          <t>991002061789702656</t>
        </is>
      </c>
      <c r="AY945" t="inlineStr">
        <is>
          <t>2255294470002656</t>
        </is>
      </c>
      <c r="AZ945" t="inlineStr">
        <is>
          <t>BOOK</t>
        </is>
      </c>
      <c r="BB945" t="inlineStr">
        <is>
          <t>9780879694104</t>
        </is>
      </c>
      <c r="BC945" t="inlineStr">
        <is>
          <t>32285001877033</t>
        </is>
      </c>
      <c r="BD945" t="inlineStr">
        <is>
          <t>893603159</t>
        </is>
      </c>
    </row>
    <row r="946">
      <c r="A946" t="inlineStr">
        <is>
          <t>No</t>
        </is>
      </c>
      <c r="B946" t="inlineStr">
        <is>
          <t>QH450.2 .W37 1998</t>
        </is>
      </c>
      <c r="C946" t="inlineStr">
        <is>
          <t>0                      QH 0450200W  37          1998</t>
        </is>
      </c>
      <c r="D946" t="inlineStr">
        <is>
          <t>The double helix : a personal account of the discovery of the structure of DNA / James D. Watson.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Yes</t>
        </is>
      </c>
      <c r="J946" t="inlineStr">
        <is>
          <t>0</t>
        </is>
      </c>
      <c r="K946" t="inlineStr">
        <is>
          <t>Watson, James D., 1928-</t>
        </is>
      </c>
      <c r="L946" t="inlineStr">
        <is>
          <t>New York : Scribner, 1998.</t>
        </is>
      </c>
      <c r="M946" t="inlineStr">
        <is>
          <t>1998</t>
        </is>
      </c>
      <c r="N946" t="inlineStr">
        <is>
          <t>1st Scribner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QH </t>
        </is>
      </c>
      <c r="S946" t="n">
        <v>4</v>
      </c>
      <c r="T946" t="n">
        <v>4</v>
      </c>
      <c r="U946" t="inlineStr">
        <is>
          <t>2008-09-05</t>
        </is>
      </c>
      <c r="V946" t="inlineStr">
        <is>
          <t>2008-09-05</t>
        </is>
      </c>
      <c r="W946" t="inlineStr">
        <is>
          <t>2000-08-07</t>
        </is>
      </c>
      <c r="X946" t="inlineStr">
        <is>
          <t>2000-08-07</t>
        </is>
      </c>
      <c r="Y946" t="n">
        <v>509</v>
      </c>
      <c r="Z946" t="n">
        <v>479</v>
      </c>
      <c r="AA946" t="n">
        <v>3457</v>
      </c>
      <c r="AB946" t="n">
        <v>7</v>
      </c>
      <c r="AC946" t="n">
        <v>27</v>
      </c>
      <c r="AD946" t="n">
        <v>9</v>
      </c>
      <c r="AE946" t="n">
        <v>70</v>
      </c>
      <c r="AF946" t="n">
        <v>3</v>
      </c>
      <c r="AG946" t="n">
        <v>29</v>
      </c>
      <c r="AH946" t="n">
        <v>1</v>
      </c>
      <c r="AI946" t="n">
        <v>11</v>
      </c>
      <c r="AJ946" t="n">
        <v>3</v>
      </c>
      <c r="AK946" t="n">
        <v>28</v>
      </c>
      <c r="AL946" t="n">
        <v>5</v>
      </c>
      <c r="AM946" t="n">
        <v>16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HYPERLINK("https://creighton-primo.hosted.exlibrisgroup.com/primo-explore/search?tab=default_tab&amp;search_scope=EVERYTHING&amp;vid=01CRU&amp;lang=en_US&amp;offset=0&amp;query=any,contains,991003248939702656","Catalog Record")</f>
        <v/>
      </c>
      <c r="AT946">
        <f>HYPERLINK("http://www.worldcat.org/oclc/38949529","WorldCat Record")</f>
        <v/>
      </c>
      <c r="AU946" t="inlineStr">
        <is>
          <t>439031:eng</t>
        </is>
      </c>
      <c r="AV946" t="inlineStr">
        <is>
          <t>38949529</t>
        </is>
      </c>
      <c r="AW946" t="inlineStr">
        <is>
          <t>991003248939702656</t>
        </is>
      </c>
      <c r="AX946" t="inlineStr">
        <is>
          <t>991003248939702656</t>
        </is>
      </c>
      <c r="AY946" t="inlineStr">
        <is>
          <t>2264345540002656</t>
        </is>
      </c>
      <c r="AZ946" t="inlineStr">
        <is>
          <t>BOOK</t>
        </is>
      </c>
      <c r="BB946" t="inlineStr">
        <is>
          <t>9780684852799</t>
        </is>
      </c>
      <c r="BC946" t="inlineStr">
        <is>
          <t>32285003756045</t>
        </is>
      </c>
      <c r="BD946" t="inlineStr">
        <is>
          <t>893422348</t>
        </is>
      </c>
    </row>
    <row r="947">
      <c r="A947" t="inlineStr">
        <is>
          <t>No</t>
        </is>
      </c>
      <c r="B947" t="inlineStr">
        <is>
          <t>QH450.5 .T67 1991</t>
        </is>
      </c>
      <c r="C947" t="inlineStr">
        <is>
          <t>0                      QH 0450500T  67          1991</t>
        </is>
      </c>
      <c r="D947" t="inlineStr">
        <is>
          <t>Translation in eukaryotes / edited by Hans Trachsel.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Boca Raton, Fla. : CRC Press, c1991.</t>
        </is>
      </c>
      <c r="M947" t="inlineStr">
        <is>
          <t>1991</t>
        </is>
      </c>
      <c r="O947" t="inlineStr">
        <is>
          <t>eng</t>
        </is>
      </c>
      <c r="P947" t="inlineStr">
        <is>
          <t>flu</t>
        </is>
      </c>
      <c r="R947" t="inlineStr">
        <is>
          <t xml:space="preserve">QH </t>
        </is>
      </c>
      <c r="S947" t="n">
        <v>7</v>
      </c>
      <c r="T947" t="n">
        <v>7</v>
      </c>
      <c r="U947" t="inlineStr">
        <is>
          <t>1998-03-10</t>
        </is>
      </c>
      <c r="V947" t="inlineStr">
        <is>
          <t>1998-03-10</t>
        </is>
      </c>
      <c r="W947" t="inlineStr">
        <is>
          <t>1992-11-02</t>
        </is>
      </c>
      <c r="X947" t="inlineStr">
        <is>
          <t>1992-11-02</t>
        </is>
      </c>
      <c r="Y947" t="n">
        <v>163</v>
      </c>
      <c r="Z947" t="n">
        <v>128</v>
      </c>
      <c r="AA947" t="n">
        <v>133</v>
      </c>
      <c r="AB947" t="n">
        <v>2</v>
      </c>
      <c r="AC947" t="n">
        <v>2</v>
      </c>
      <c r="AD947" t="n">
        <v>7</v>
      </c>
      <c r="AE947" t="n">
        <v>7</v>
      </c>
      <c r="AF947" t="n">
        <v>2</v>
      </c>
      <c r="AG947" t="n">
        <v>2</v>
      </c>
      <c r="AH947" t="n">
        <v>2</v>
      </c>
      <c r="AI947" t="n">
        <v>2</v>
      </c>
      <c r="AJ947" t="n">
        <v>6</v>
      </c>
      <c r="AK947" t="n">
        <v>6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HYPERLINK("https://creighton-primo.hosted.exlibrisgroup.com/primo-explore/search?tab=default_tab&amp;search_scope=EVERYTHING&amp;vid=01CRU&amp;lang=en_US&amp;offset=0&amp;query=any,contains,991001919319702656","Catalog Record")</f>
        <v/>
      </c>
      <c r="AT947">
        <f>HYPERLINK("http://www.worldcat.org/oclc/25872022","WorldCat Record")</f>
        <v/>
      </c>
      <c r="AU947" t="inlineStr">
        <is>
          <t>28636234:eng</t>
        </is>
      </c>
      <c r="AV947" t="inlineStr">
        <is>
          <t>25872022</t>
        </is>
      </c>
      <c r="AW947" t="inlineStr">
        <is>
          <t>991001919319702656</t>
        </is>
      </c>
      <c r="AX947" t="inlineStr">
        <is>
          <t>991001919319702656</t>
        </is>
      </c>
      <c r="AY947" t="inlineStr">
        <is>
          <t>2255569970002656</t>
        </is>
      </c>
      <c r="AZ947" t="inlineStr">
        <is>
          <t>BOOK</t>
        </is>
      </c>
      <c r="BB947" t="inlineStr">
        <is>
          <t>9780849388163</t>
        </is>
      </c>
      <c r="BC947" t="inlineStr">
        <is>
          <t>32285001387884</t>
        </is>
      </c>
      <c r="BD947" t="inlineStr">
        <is>
          <t>893709639</t>
        </is>
      </c>
    </row>
    <row r="948">
      <c r="A948" t="inlineStr">
        <is>
          <t>No</t>
        </is>
      </c>
      <c r="B948" t="inlineStr">
        <is>
          <t>QH450.5 .T726 1996</t>
        </is>
      </c>
      <c r="C948" t="inlineStr">
        <is>
          <t>0                      QH 0450500T  726         1996</t>
        </is>
      </c>
      <c r="D948" t="inlineStr">
        <is>
          <t>Translational control / edited by John W.B. Hershey, Michael B. Mathews, Nahum Sonenberg.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Plainview, NY : Cold Spring Harbor Laboratory, 1996.</t>
        </is>
      </c>
      <c r="M948" t="inlineStr">
        <is>
          <t>1996</t>
        </is>
      </c>
      <c r="O948" t="inlineStr">
        <is>
          <t>eng</t>
        </is>
      </c>
      <c r="P948" t="inlineStr">
        <is>
          <t>nyu</t>
        </is>
      </c>
      <c r="Q948" t="inlineStr">
        <is>
          <t>Cold Spring Harbor monograph series, 0270-1847 ; 30</t>
        </is>
      </c>
      <c r="R948" t="inlineStr">
        <is>
          <t xml:space="preserve">QH </t>
        </is>
      </c>
      <c r="S948" t="n">
        <v>12</v>
      </c>
      <c r="T948" t="n">
        <v>12</v>
      </c>
      <c r="U948" t="inlineStr">
        <is>
          <t>2003-03-22</t>
        </is>
      </c>
      <c r="V948" t="inlineStr">
        <is>
          <t>2003-03-22</t>
        </is>
      </c>
      <c r="W948" t="inlineStr">
        <is>
          <t>1996-02-21</t>
        </is>
      </c>
      <c r="X948" t="inlineStr">
        <is>
          <t>1996-02-21</t>
        </is>
      </c>
      <c r="Y948" t="n">
        <v>255</v>
      </c>
      <c r="Z948" t="n">
        <v>182</v>
      </c>
      <c r="AA948" t="n">
        <v>277</v>
      </c>
      <c r="AB948" t="n">
        <v>2</v>
      </c>
      <c r="AC948" t="n">
        <v>2</v>
      </c>
      <c r="AD948" t="n">
        <v>6</v>
      </c>
      <c r="AE948" t="n">
        <v>10</v>
      </c>
      <c r="AF948" t="n">
        <v>1</v>
      </c>
      <c r="AG948" t="n">
        <v>1</v>
      </c>
      <c r="AH948" t="n">
        <v>3</v>
      </c>
      <c r="AI948" t="n">
        <v>5</v>
      </c>
      <c r="AJ948" t="n">
        <v>4</v>
      </c>
      <c r="AK948" t="n">
        <v>6</v>
      </c>
      <c r="AL948" t="n">
        <v>1</v>
      </c>
      <c r="AM948" t="n">
        <v>1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HYPERLINK("https://creighton-primo.hosted.exlibrisgroup.com/primo-explore/search?tab=default_tab&amp;search_scope=EVERYTHING&amp;vid=01CRU&amp;lang=en_US&amp;offset=0&amp;query=any,contains,991002605599702656","Catalog Record")</f>
        <v/>
      </c>
      <c r="AT948">
        <f>HYPERLINK("http://www.worldcat.org/oclc/34126009","WorldCat Record")</f>
        <v/>
      </c>
      <c r="AU948" t="inlineStr">
        <is>
          <t>350433977:eng</t>
        </is>
      </c>
      <c r="AV948" t="inlineStr">
        <is>
          <t>34126009</t>
        </is>
      </c>
      <c r="AW948" t="inlineStr">
        <is>
          <t>991002605599702656</t>
        </is>
      </c>
      <c r="AX948" t="inlineStr">
        <is>
          <t>991002605599702656</t>
        </is>
      </c>
      <c r="AY948" t="inlineStr">
        <is>
          <t>2271437440002656</t>
        </is>
      </c>
      <c r="AZ948" t="inlineStr">
        <is>
          <t>BOOK</t>
        </is>
      </c>
      <c r="BB948" t="inlineStr">
        <is>
          <t>9780879694586</t>
        </is>
      </c>
      <c r="BC948" t="inlineStr">
        <is>
          <t>32285002136983</t>
        </is>
      </c>
      <c r="BD948" t="inlineStr">
        <is>
          <t>893233165</t>
        </is>
      </c>
    </row>
    <row r="949">
      <c r="A949" t="inlineStr">
        <is>
          <t>No</t>
        </is>
      </c>
      <c r="B949" t="inlineStr">
        <is>
          <t>QH450.5 .T73 1987</t>
        </is>
      </c>
      <c r="C949" t="inlineStr">
        <is>
          <t>0                      QH 0450500T  73          1987</t>
        </is>
      </c>
      <c r="D949" t="inlineStr">
        <is>
          <t>Translational regulation of gene expression / edited by Joseph Ilan.</t>
        </is>
      </c>
      <c r="F949" t="inlineStr">
        <is>
          <t>No</t>
        </is>
      </c>
      <c r="G949" t="inlineStr">
        <is>
          <t>1</t>
        </is>
      </c>
      <c r="H949" t="inlineStr">
        <is>
          <t>Yes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Plenum Press, c1987.</t>
        </is>
      </c>
      <c r="M949" t="inlineStr">
        <is>
          <t>1987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QH </t>
        </is>
      </c>
      <c r="S949" t="n">
        <v>0</v>
      </c>
      <c r="T949" t="n">
        <v>5</v>
      </c>
      <c r="V949" t="inlineStr">
        <is>
          <t>1992-11-30</t>
        </is>
      </c>
      <c r="W949" t="inlineStr">
        <is>
          <t>1993-03-31</t>
        </is>
      </c>
      <c r="X949" t="inlineStr">
        <is>
          <t>1993-03-31</t>
        </is>
      </c>
      <c r="Y949" t="n">
        <v>309</v>
      </c>
      <c r="Z949" t="n">
        <v>226</v>
      </c>
      <c r="AA949" t="n">
        <v>243</v>
      </c>
      <c r="AB949" t="n">
        <v>3</v>
      </c>
      <c r="AC949" t="n">
        <v>3</v>
      </c>
      <c r="AD949" t="n">
        <v>9</v>
      </c>
      <c r="AE949" t="n">
        <v>10</v>
      </c>
      <c r="AF949" t="n">
        <v>1</v>
      </c>
      <c r="AG949" t="n">
        <v>2</v>
      </c>
      <c r="AH949" t="n">
        <v>2</v>
      </c>
      <c r="AI949" t="n">
        <v>2</v>
      </c>
      <c r="AJ949" t="n">
        <v>6</v>
      </c>
      <c r="AK949" t="n">
        <v>7</v>
      </c>
      <c r="AL949" t="n">
        <v>1</v>
      </c>
      <c r="AM949" t="n">
        <v>1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HYPERLINK("http://catalog.hathitrust.org/Record/000886653","HathiTrust Record")</f>
        <v/>
      </c>
      <c r="AS949">
        <f>HYPERLINK("https://creighton-primo.hosted.exlibrisgroup.com/primo-explore/search?tab=default_tab&amp;search_scope=EVERYTHING&amp;vid=01CRU&amp;lang=en_US&amp;offset=0&amp;query=any,contains,991001788699702656","Catalog Record")</f>
        <v/>
      </c>
      <c r="AT949">
        <f>HYPERLINK("http://www.worldcat.org/oclc/16090755","WorldCat Record")</f>
        <v/>
      </c>
      <c r="AU949" t="inlineStr">
        <is>
          <t>11757387:eng</t>
        </is>
      </c>
      <c r="AV949" t="inlineStr">
        <is>
          <t>16090755</t>
        </is>
      </c>
      <c r="AW949" t="inlineStr">
        <is>
          <t>991001788699702656</t>
        </is>
      </c>
      <c r="AX949" t="inlineStr">
        <is>
          <t>991001788699702656</t>
        </is>
      </c>
      <c r="AY949" t="inlineStr">
        <is>
          <t>2262435060002656</t>
        </is>
      </c>
      <c r="AZ949" t="inlineStr">
        <is>
          <t>BOOK</t>
        </is>
      </c>
      <c r="BB949" t="inlineStr">
        <is>
          <t>9780306426407</t>
        </is>
      </c>
      <c r="BC949" t="inlineStr">
        <is>
          <t>32285001596815</t>
        </is>
      </c>
      <c r="BD949" t="inlineStr">
        <is>
          <t>893596734</t>
        </is>
      </c>
    </row>
    <row r="950">
      <c r="A950" t="inlineStr">
        <is>
          <t>No</t>
        </is>
      </c>
      <c r="B950" t="inlineStr">
        <is>
          <t>QH450.5 .T733 1993</t>
        </is>
      </c>
      <c r="C950" t="inlineStr">
        <is>
          <t>0                      QH 0450500T  733         1993</t>
        </is>
      </c>
      <c r="D950" t="inlineStr">
        <is>
          <t>Translational regulation of gene expression 2 / edited by Joseph Ilan.</t>
        </is>
      </c>
      <c r="F950" t="inlineStr">
        <is>
          <t>No</t>
        </is>
      </c>
      <c r="G950" t="inlineStr">
        <is>
          <t>1</t>
        </is>
      </c>
      <c r="H950" t="inlineStr">
        <is>
          <t>Yes</t>
        </is>
      </c>
      <c r="I950" t="inlineStr">
        <is>
          <t>No</t>
        </is>
      </c>
      <c r="J950" t="inlineStr">
        <is>
          <t>0</t>
        </is>
      </c>
      <c r="L950" t="inlineStr">
        <is>
          <t>New York : Plenum Press, c1993.</t>
        </is>
      </c>
      <c r="M950" t="inlineStr">
        <is>
          <t>1993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QH </t>
        </is>
      </c>
      <c r="S950" t="n">
        <v>9</v>
      </c>
      <c r="T950" t="n">
        <v>14</v>
      </c>
      <c r="U950" t="inlineStr">
        <is>
          <t>2000-03-14</t>
        </is>
      </c>
      <c r="V950" t="inlineStr">
        <is>
          <t>2000-03-14</t>
        </is>
      </c>
      <c r="W950" t="inlineStr">
        <is>
          <t>1994-04-13</t>
        </is>
      </c>
      <c r="X950" t="inlineStr">
        <is>
          <t>1994-09-13</t>
        </is>
      </c>
      <c r="Y950" t="n">
        <v>176</v>
      </c>
      <c r="Z950" t="n">
        <v>143</v>
      </c>
      <c r="AA950" t="n">
        <v>145</v>
      </c>
      <c r="AB950" t="n">
        <v>3</v>
      </c>
      <c r="AC950" t="n">
        <v>3</v>
      </c>
      <c r="AD950" t="n">
        <v>7</v>
      </c>
      <c r="AE950" t="n">
        <v>7</v>
      </c>
      <c r="AF950" t="n">
        <v>1</v>
      </c>
      <c r="AG950" t="n">
        <v>1</v>
      </c>
      <c r="AH950" t="n">
        <v>3</v>
      </c>
      <c r="AI950" t="n">
        <v>3</v>
      </c>
      <c r="AJ950" t="n">
        <v>4</v>
      </c>
      <c r="AK950" t="n">
        <v>4</v>
      </c>
      <c r="AL950" t="n">
        <v>1</v>
      </c>
      <c r="AM950" t="n">
        <v>1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HYPERLINK("http://catalog.hathitrust.org/Record/002722305","HathiTrust Record")</f>
        <v/>
      </c>
      <c r="AS950">
        <f>HYPERLINK("https://creighton-primo.hosted.exlibrisgroup.com/primo-explore/search?tab=default_tab&amp;search_scope=EVERYTHING&amp;vid=01CRU&amp;lang=en_US&amp;offset=0&amp;query=any,contains,991001754809702656","Catalog Record")</f>
        <v/>
      </c>
      <c r="AT950">
        <f>HYPERLINK("http://www.worldcat.org/oclc/28112750","WorldCat Record")</f>
        <v/>
      </c>
      <c r="AU950" t="inlineStr">
        <is>
          <t>4202476721:eng</t>
        </is>
      </c>
      <c r="AV950" t="inlineStr">
        <is>
          <t>28112750</t>
        </is>
      </c>
      <c r="AW950" t="inlineStr">
        <is>
          <t>991001754809702656</t>
        </is>
      </c>
      <c r="AX950" t="inlineStr">
        <is>
          <t>991001754809702656</t>
        </is>
      </c>
      <c r="AY950" t="inlineStr">
        <is>
          <t>2259031900002656</t>
        </is>
      </c>
      <c r="AZ950" t="inlineStr">
        <is>
          <t>BOOK</t>
        </is>
      </c>
      <c r="BB950" t="inlineStr">
        <is>
          <t>9780306443749</t>
        </is>
      </c>
      <c r="BC950" t="inlineStr">
        <is>
          <t>32285001859916</t>
        </is>
      </c>
      <c r="BD950" t="inlineStr">
        <is>
          <t>893250467</t>
        </is>
      </c>
    </row>
    <row r="951">
      <c r="A951" t="inlineStr">
        <is>
          <t>No</t>
        </is>
      </c>
      <c r="B951" t="inlineStr">
        <is>
          <t>QH452 .G537 1994</t>
        </is>
      </c>
      <c r="C951" t="inlineStr">
        <is>
          <t>0                      QH 0452000G  537         1994</t>
        </is>
      </c>
      <c r="D951" t="inlineStr">
        <is>
          <t>Organelle genes and genomes / Nicholas W. Gillham.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Gillham, Nicholas W.</t>
        </is>
      </c>
      <c r="L951" t="inlineStr">
        <is>
          <t>New York : Oxford University Press, 1994.</t>
        </is>
      </c>
      <c r="M951" t="inlineStr">
        <is>
          <t>1994</t>
        </is>
      </c>
      <c r="O951" t="inlineStr">
        <is>
          <t>eng</t>
        </is>
      </c>
      <c r="P951" t="inlineStr">
        <is>
          <t>nyu</t>
        </is>
      </c>
      <c r="R951" t="inlineStr">
        <is>
          <t xml:space="preserve">QH </t>
        </is>
      </c>
      <c r="S951" t="n">
        <v>8</v>
      </c>
      <c r="T951" t="n">
        <v>8</v>
      </c>
      <c r="U951" t="inlineStr">
        <is>
          <t>2000-01-22</t>
        </is>
      </c>
      <c r="V951" t="inlineStr">
        <is>
          <t>2000-01-22</t>
        </is>
      </c>
      <c r="W951" t="inlineStr">
        <is>
          <t>1995-03-21</t>
        </is>
      </c>
      <c r="X951" t="inlineStr">
        <is>
          <t>1995-03-21</t>
        </is>
      </c>
      <c r="Y951" t="n">
        <v>358</v>
      </c>
      <c r="Z951" t="n">
        <v>267</v>
      </c>
      <c r="AA951" t="n">
        <v>272</v>
      </c>
      <c r="AB951" t="n">
        <v>3</v>
      </c>
      <c r="AC951" t="n">
        <v>3</v>
      </c>
      <c r="AD951" t="n">
        <v>14</v>
      </c>
      <c r="AE951" t="n">
        <v>14</v>
      </c>
      <c r="AF951" t="n">
        <v>2</v>
      </c>
      <c r="AG951" t="n">
        <v>2</v>
      </c>
      <c r="AH951" t="n">
        <v>4</v>
      </c>
      <c r="AI951" t="n">
        <v>4</v>
      </c>
      <c r="AJ951" t="n">
        <v>9</v>
      </c>
      <c r="AK951" t="n">
        <v>9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HYPERLINK("https://creighton-primo.hosted.exlibrisgroup.com/primo-explore/search?tab=default_tab&amp;search_scope=EVERYTHING&amp;vid=01CRU&amp;lang=en_US&amp;offset=0&amp;query=any,contains,991002242899702656","Catalog Record")</f>
        <v/>
      </c>
      <c r="AT951">
        <f>HYPERLINK("http://www.worldcat.org/oclc/28927893","WorldCat Record")</f>
        <v/>
      </c>
      <c r="AU951" t="inlineStr">
        <is>
          <t>31311174:eng</t>
        </is>
      </c>
      <c r="AV951" t="inlineStr">
        <is>
          <t>28927893</t>
        </is>
      </c>
      <c r="AW951" t="inlineStr">
        <is>
          <t>991002242899702656</t>
        </is>
      </c>
      <c r="AX951" t="inlineStr">
        <is>
          <t>991002242899702656</t>
        </is>
      </c>
      <c r="AY951" t="inlineStr">
        <is>
          <t>2270396940002656</t>
        </is>
      </c>
      <c r="AZ951" t="inlineStr">
        <is>
          <t>BOOK</t>
        </is>
      </c>
      <c r="BB951" t="inlineStr">
        <is>
          <t>9780195082470</t>
        </is>
      </c>
      <c r="BC951" t="inlineStr">
        <is>
          <t>32285002003720</t>
        </is>
      </c>
      <c r="BD951" t="inlineStr">
        <is>
          <t>893529735</t>
        </is>
      </c>
    </row>
    <row r="952">
      <c r="A952" t="inlineStr">
        <is>
          <t>No</t>
        </is>
      </c>
      <c r="B952" t="inlineStr">
        <is>
          <t>QH452 .G54</t>
        </is>
      </c>
      <c r="C952" t="inlineStr">
        <is>
          <t>0                      QH 0452000G  54</t>
        </is>
      </c>
      <c r="D952" t="inlineStr">
        <is>
          <t>Organelle heredity / Nicholas W. Gillham. --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Gillham, Nicholas W.</t>
        </is>
      </c>
      <c r="L952" t="inlineStr">
        <is>
          <t>New York : Raven Press, c1978.</t>
        </is>
      </c>
      <c r="M952" t="inlineStr">
        <is>
          <t>1978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QH </t>
        </is>
      </c>
      <c r="S952" t="n">
        <v>3</v>
      </c>
      <c r="T952" t="n">
        <v>3</v>
      </c>
      <c r="U952" t="inlineStr">
        <is>
          <t>1994-09-07</t>
        </is>
      </c>
      <c r="V952" t="inlineStr">
        <is>
          <t>1994-09-07</t>
        </is>
      </c>
      <c r="W952" t="inlineStr">
        <is>
          <t>1993-04-12</t>
        </is>
      </c>
      <c r="X952" t="inlineStr">
        <is>
          <t>1993-04-12</t>
        </is>
      </c>
      <c r="Y952" t="n">
        <v>398</v>
      </c>
      <c r="Z952" t="n">
        <v>283</v>
      </c>
      <c r="AA952" t="n">
        <v>285</v>
      </c>
      <c r="AB952" t="n">
        <v>2</v>
      </c>
      <c r="AC952" t="n">
        <v>2</v>
      </c>
      <c r="AD952" t="n">
        <v>9</v>
      </c>
      <c r="AE952" t="n">
        <v>9</v>
      </c>
      <c r="AF952" t="n">
        <v>1</v>
      </c>
      <c r="AG952" t="n">
        <v>1</v>
      </c>
      <c r="AH952" t="n">
        <v>3</v>
      </c>
      <c r="AI952" t="n">
        <v>3</v>
      </c>
      <c r="AJ952" t="n">
        <v>6</v>
      </c>
      <c r="AK952" t="n">
        <v>6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HYPERLINK("http://catalog.hathitrust.org/Record/000177992","HathiTrust Record")</f>
        <v/>
      </c>
      <c r="AS952">
        <f>HYPERLINK("https://creighton-primo.hosted.exlibrisgroup.com/primo-explore/search?tab=default_tab&amp;search_scope=EVERYTHING&amp;vid=01CRU&amp;lang=en_US&amp;offset=0&amp;query=any,contains,991004575819702656","Catalog Record")</f>
        <v/>
      </c>
      <c r="AT952">
        <f>HYPERLINK("http://www.worldcat.org/oclc/4037936","WorldCat Record")</f>
        <v/>
      </c>
      <c r="AU952" t="inlineStr">
        <is>
          <t>14291825:eng</t>
        </is>
      </c>
      <c r="AV952" t="inlineStr">
        <is>
          <t>4037936</t>
        </is>
      </c>
      <c r="AW952" t="inlineStr">
        <is>
          <t>991004575819702656</t>
        </is>
      </c>
      <c r="AX952" t="inlineStr">
        <is>
          <t>991004575819702656</t>
        </is>
      </c>
      <c r="AY952" t="inlineStr">
        <is>
          <t>2268895060002656</t>
        </is>
      </c>
      <c r="AZ952" t="inlineStr">
        <is>
          <t>BOOK</t>
        </is>
      </c>
      <c r="BB952" t="inlineStr">
        <is>
          <t>9780890041024</t>
        </is>
      </c>
      <c r="BC952" t="inlineStr">
        <is>
          <t>32285001640282</t>
        </is>
      </c>
      <c r="BD952" t="inlineStr">
        <is>
          <t>893612514</t>
        </is>
      </c>
    </row>
    <row r="953">
      <c r="A953" t="inlineStr">
        <is>
          <t>No</t>
        </is>
      </c>
      <c r="B953" t="inlineStr">
        <is>
          <t>QH452 .G78</t>
        </is>
      </c>
      <c r="C953" t="inlineStr">
        <is>
          <t>0                      QH 0452000G  78</t>
        </is>
      </c>
      <c r="D953" t="inlineStr">
        <is>
          <t>Cytoplasmic genetics and evolution / Paul Grun.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Grun, Paul, 1923-</t>
        </is>
      </c>
      <c r="L953" t="inlineStr">
        <is>
          <t>New York : Columbia University Press, 1976.</t>
        </is>
      </c>
      <c r="M953" t="inlineStr">
        <is>
          <t>1976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QH </t>
        </is>
      </c>
      <c r="S953" t="n">
        <v>3</v>
      </c>
      <c r="T953" t="n">
        <v>3</v>
      </c>
      <c r="U953" t="inlineStr">
        <is>
          <t>1994-09-07</t>
        </is>
      </c>
      <c r="V953" t="inlineStr">
        <is>
          <t>1994-09-07</t>
        </is>
      </c>
      <c r="W953" t="inlineStr">
        <is>
          <t>1993-04-12</t>
        </is>
      </c>
      <c r="X953" t="inlineStr">
        <is>
          <t>1993-04-12</t>
        </is>
      </c>
      <c r="Y953" t="n">
        <v>439</v>
      </c>
      <c r="Z953" t="n">
        <v>343</v>
      </c>
      <c r="AA953" t="n">
        <v>348</v>
      </c>
      <c r="AB953" t="n">
        <v>4</v>
      </c>
      <c r="AC953" t="n">
        <v>4</v>
      </c>
      <c r="AD953" t="n">
        <v>13</v>
      </c>
      <c r="AE953" t="n">
        <v>13</v>
      </c>
      <c r="AF953" t="n">
        <v>0</v>
      </c>
      <c r="AG953" t="n">
        <v>0</v>
      </c>
      <c r="AH953" t="n">
        <v>4</v>
      </c>
      <c r="AI953" t="n">
        <v>4</v>
      </c>
      <c r="AJ953" t="n">
        <v>8</v>
      </c>
      <c r="AK953" t="n">
        <v>8</v>
      </c>
      <c r="AL953" t="n">
        <v>3</v>
      </c>
      <c r="AM953" t="n">
        <v>3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HYPERLINK("https://creighton-primo.hosted.exlibrisgroup.com/primo-explore/search?tab=default_tab&amp;search_scope=EVERYTHING&amp;vid=01CRU&amp;lang=en_US&amp;offset=0&amp;query=any,contains,991003961589702656","Catalog Record")</f>
        <v/>
      </c>
      <c r="AT953">
        <f>HYPERLINK("http://www.worldcat.org/oclc/1975314","WorldCat Record")</f>
        <v/>
      </c>
      <c r="AU953" t="inlineStr">
        <is>
          <t>419922:eng</t>
        </is>
      </c>
      <c r="AV953" t="inlineStr">
        <is>
          <t>1975314</t>
        </is>
      </c>
      <c r="AW953" t="inlineStr">
        <is>
          <t>991003961589702656</t>
        </is>
      </c>
      <c r="AX953" t="inlineStr">
        <is>
          <t>991003961589702656</t>
        </is>
      </c>
      <c r="AY953" t="inlineStr">
        <is>
          <t>2266849570002656</t>
        </is>
      </c>
      <c r="AZ953" t="inlineStr">
        <is>
          <t>BOOK</t>
        </is>
      </c>
      <c r="BB953" t="inlineStr">
        <is>
          <t>9780231039758</t>
        </is>
      </c>
      <c r="BC953" t="inlineStr">
        <is>
          <t>32285001640290</t>
        </is>
      </c>
      <c r="BD953" t="inlineStr">
        <is>
          <t>893624177</t>
        </is>
      </c>
    </row>
    <row r="954">
      <c r="A954" t="inlineStr">
        <is>
          <t>No</t>
        </is>
      </c>
      <c r="B954" t="inlineStr">
        <is>
          <t>QH452.2 .M53 1999</t>
        </is>
      </c>
      <c r="C954" t="inlineStr">
        <is>
          <t>0                      QH 0452200M  53          1999</t>
        </is>
      </c>
      <c r="D954" t="inlineStr">
        <is>
          <t>Microsatellites : evolution and applications / edited by David B. Goldstein and Christian Schlötterer.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L954" t="inlineStr">
        <is>
          <t>Oxford ; New York : Oxford University Press, 1999.</t>
        </is>
      </c>
      <c r="M954" t="inlineStr">
        <is>
          <t>1999</t>
        </is>
      </c>
      <c r="O954" t="inlineStr">
        <is>
          <t>eng</t>
        </is>
      </c>
      <c r="P954" t="inlineStr">
        <is>
          <t>enk</t>
        </is>
      </c>
      <c r="R954" t="inlineStr">
        <is>
          <t xml:space="preserve">QH </t>
        </is>
      </c>
      <c r="S954" t="n">
        <v>18</v>
      </c>
      <c r="T954" t="n">
        <v>18</v>
      </c>
      <c r="U954" t="inlineStr">
        <is>
          <t>2009-09-27</t>
        </is>
      </c>
      <c r="V954" t="inlineStr">
        <is>
          <t>2009-09-27</t>
        </is>
      </c>
      <c r="W954" t="inlineStr">
        <is>
          <t>2000-07-31</t>
        </is>
      </c>
      <c r="X954" t="inlineStr">
        <is>
          <t>2000-07-31</t>
        </is>
      </c>
      <c r="Y954" t="n">
        <v>372</v>
      </c>
      <c r="Z954" t="n">
        <v>243</v>
      </c>
      <c r="AA954" t="n">
        <v>248</v>
      </c>
      <c r="AB954" t="n">
        <v>3</v>
      </c>
      <c r="AC954" t="n">
        <v>3</v>
      </c>
      <c r="AD954" t="n">
        <v>12</v>
      </c>
      <c r="AE954" t="n">
        <v>12</v>
      </c>
      <c r="AF954" t="n">
        <v>4</v>
      </c>
      <c r="AG954" t="n">
        <v>4</v>
      </c>
      <c r="AH954" t="n">
        <v>2</v>
      </c>
      <c r="AI954" t="n">
        <v>2</v>
      </c>
      <c r="AJ954" t="n">
        <v>7</v>
      </c>
      <c r="AK954" t="n">
        <v>7</v>
      </c>
      <c r="AL954" t="n">
        <v>2</v>
      </c>
      <c r="AM954" t="n">
        <v>2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HYPERLINK("https://creighton-primo.hosted.exlibrisgroup.com/primo-explore/search?tab=default_tab&amp;search_scope=EVERYTHING&amp;vid=01CRU&amp;lang=en_US&amp;offset=0&amp;query=any,contains,991003227959702656","Catalog Record")</f>
        <v/>
      </c>
      <c r="AT954">
        <f>HYPERLINK("http://www.worldcat.org/oclc/40339375","WorldCat Record")</f>
        <v/>
      </c>
      <c r="AU954" t="inlineStr">
        <is>
          <t>837017985:eng</t>
        </is>
      </c>
      <c r="AV954" t="inlineStr">
        <is>
          <t>40339375</t>
        </is>
      </c>
      <c r="AW954" t="inlineStr">
        <is>
          <t>991003227959702656</t>
        </is>
      </c>
      <c r="AX954" t="inlineStr">
        <is>
          <t>991003227959702656</t>
        </is>
      </c>
      <c r="AY954" t="inlineStr">
        <is>
          <t>2261915550002656</t>
        </is>
      </c>
      <c r="AZ954" t="inlineStr">
        <is>
          <t>BOOK</t>
        </is>
      </c>
      <c r="BB954" t="inlineStr">
        <is>
          <t>9780198504078</t>
        </is>
      </c>
      <c r="BC954" t="inlineStr">
        <is>
          <t>32285003744025</t>
        </is>
      </c>
      <c r="BD954" t="inlineStr">
        <is>
          <t>893530971</t>
        </is>
      </c>
    </row>
    <row r="955">
      <c r="A955" t="inlineStr">
        <is>
          <t>No</t>
        </is>
      </c>
      <c r="B955" t="inlineStr">
        <is>
          <t>QH452.3 .M63 1989</t>
        </is>
      </c>
      <c r="C955" t="inlineStr">
        <is>
          <t>0                      QH 0452300M  63          1989</t>
        </is>
      </c>
      <c r="D955" t="inlineStr">
        <is>
          <t>Mobile DNA / editors, Douglas E. Berg and Martha M. Howe.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Washington, D.C. : American Society for Microbiology, c1989.</t>
        </is>
      </c>
      <c r="M955" t="inlineStr">
        <is>
          <t>1989</t>
        </is>
      </c>
      <c r="O955" t="inlineStr">
        <is>
          <t>eng</t>
        </is>
      </c>
      <c r="P955" t="inlineStr">
        <is>
          <t>dcu</t>
        </is>
      </c>
      <c r="R955" t="inlineStr">
        <is>
          <t xml:space="preserve">QH </t>
        </is>
      </c>
      <c r="S955" t="n">
        <v>7</v>
      </c>
      <c r="T955" t="n">
        <v>7</v>
      </c>
      <c r="U955" t="inlineStr">
        <is>
          <t>1994-03-29</t>
        </is>
      </c>
      <c r="V955" t="inlineStr">
        <is>
          <t>1994-03-29</t>
        </is>
      </c>
      <c r="W955" t="inlineStr">
        <is>
          <t>1989-10-19</t>
        </is>
      </c>
      <c r="X955" t="inlineStr">
        <is>
          <t>1989-10-19</t>
        </is>
      </c>
      <c r="Y955" t="n">
        <v>434</v>
      </c>
      <c r="Z955" t="n">
        <v>284</v>
      </c>
      <c r="AA955" t="n">
        <v>284</v>
      </c>
      <c r="AB955" t="n">
        <v>2</v>
      </c>
      <c r="AC955" t="n">
        <v>2</v>
      </c>
      <c r="AD955" t="n">
        <v>11</v>
      </c>
      <c r="AE955" t="n">
        <v>11</v>
      </c>
      <c r="AF955" t="n">
        <v>2</v>
      </c>
      <c r="AG955" t="n">
        <v>2</v>
      </c>
      <c r="AH955" t="n">
        <v>4</v>
      </c>
      <c r="AI955" t="n">
        <v>4</v>
      </c>
      <c r="AJ955" t="n">
        <v>8</v>
      </c>
      <c r="AK955" t="n">
        <v>8</v>
      </c>
      <c r="AL955" t="n">
        <v>1</v>
      </c>
      <c r="AM955" t="n">
        <v>1</v>
      </c>
      <c r="AN955" t="n">
        <v>0</v>
      </c>
      <c r="AO955" t="n">
        <v>0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HYPERLINK("https://creighton-primo.hosted.exlibrisgroup.com/primo-explore/search?tab=default_tab&amp;search_scope=EVERYTHING&amp;vid=01CRU&amp;lang=en_US&amp;offset=0&amp;query=any,contains,991001419419702656","Catalog Record")</f>
        <v/>
      </c>
      <c r="AT955">
        <f>HYPERLINK("http://www.worldcat.org/oclc/18961743","WorldCat Record")</f>
        <v/>
      </c>
      <c r="AU955" t="inlineStr">
        <is>
          <t>350258700:eng</t>
        </is>
      </c>
      <c r="AV955" t="inlineStr">
        <is>
          <t>18961743</t>
        </is>
      </c>
      <c r="AW955" t="inlineStr">
        <is>
          <t>991001419419702656</t>
        </is>
      </c>
      <c r="AX955" t="inlineStr">
        <is>
          <t>991001419419702656</t>
        </is>
      </c>
      <c r="AY955" t="inlineStr">
        <is>
          <t>2261878400002656</t>
        </is>
      </c>
      <c r="AZ955" t="inlineStr">
        <is>
          <t>BOOK</t>
        </is>
      </c>
      <c r="BB955" t="inlineStr">
        <is>
          <t>9781555810054</t>
        </is>
      </c>
      <c r="BC955" t="inlineStr">
        <is>
          <t>32285000000272</t>
        </is>
      </c>
      <c r="BD955" t="inlineStr">
        <is>
          <t>893528933</t>
        </is>
      </c>
    </row>
    <row r="956">
      <c r="A956" t="inlineStr">
        <is>
          <t>No</t>
        </is>
      </c>
      <c r="B956" t="inlineStr">
        <is>
          <t>QH452.3 .T73 1993</t>
        </is>
      </c>
      <c r="C956" t="inlineStr">
        <is>
          <t>0                      QH 0452300T  73          1993</t>
        </is>
      </c>
      <c r="D956" t="inlineStr">
        <is>
          <t>Transposable elements and evolution / edited by J.F. McDonald.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Dordrecht ; Boston : Kluwer, c1993.</t>
        </is>
      </c>
      <c r="M956" t="inlineStr">
        <is>
          <t>1993</t>
        </is>
      </c>
      <c r="O956" t="inlineStr">
        <is>
          <t>eng</t>
        </is>
      </c>
      <c r="P956" t="inlineStr">
        <is>
          <t xml:space="preserve">ne </t>
        </is>
      </c>
      <c r="Q956" t="inlineStr">
        <is>
          <t>Contemporary issues in genetics and evolution ; v. 1</t>
        </is>
      </c>
      <c r="R956" t="inlineStr">
        <is>
          <t xml:space="preserve">QH </t>
        </is>
      </c>
      <c r="S956" t="n">
        <v>2</v>
      </c>
      <c r="T956" t="n">
        <v>2</v>
      </c>
      <c r="U956" t="inlineStr">
        <is>
          <t>1998-07-24</t>
        </is>
      </c>
      <c r="V956" t="inlineStr">
        <is>
          <t>1998-07-24</t>
        </is>
      </c>
      <c r="W956" t="inlineStr">
        <is>
          <t>1994-07-12</t>
        </is>
      </c>
      <c r="X956" t="inlineStr">
        <is>
          <t>1994-07-12</t>
        </is>
      </c>
      <c r="Y956" t="n">
        <v>88</v>
      </c>
      <c r="Z956" t="n">
        <v>49</v>
      </c>
      <c r="AA956" t="n">
        <v>53</v>
      </c>
      <c r="AB956" t="n">
        <v>1</v>
      </c>
      <c r="AC956" t="n">
        <v>1</v>
      </c>
      <c r="AD956" t="n">
        <v>3</v>
      </c>
      <c r="AE956" t="n">
        <v>3</v>
      </c>
      <c r="AF956" t="n">
        <v>0</v>
      </c>
      <c r="AG956" t="n">
        <v>0</v>
      </c>
      <c r="AH956" t="n">
        <v>0</v>
      </c>
      <c r="AI956" t="n">
        <v>0</v>
      </c>
      <c r="AJ956" t="n">
        <v>3</v>
      </c>
      <c r="AK956" t="n">
        <v>3</v>
      </c>
      <c r="AL956" t="n">
        <v>0</v>
      </c>
      <c r="AM956" t="n">
        <v>0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HYPERLINK("https://creighton-primo.hosted.exlibrisgroup.com/primo-explore/search?tab=default_tab&amp;search_scope=EVERYTHING&amp;vid=01CRU&amp;lang=en_US&amp;offset=0&amp;query=any,contains,991002177919702656","Catalog Record")</f>
        <v/>
      </c>
      <c r="AT956">
        <f>HYPERLINK("http://www.worldcat.org/oclc/28026885","WorldCat Record")</f>
        <v/>
      </c>
      <c r="AU956" t="inlineStr">
        <is>
          <t>3857339430:eng</t>
        </is>
      </c>
      <c r="AV956" t="inlineStr">
        <is>
          <t>28026885</t>
        </is>
      </c>
      <c r="AW956" t="inlineStr">
        <is>
          <t>991002177919702656</t>
        </is>
      </c>
      <c r="AX956" t="inlineStr">
        <is>
          <t>991002177919702656</t>
        </is>
      </c>
      <c r="AY956" t="inlineStr">
        <is>
          <t>2262838700002656</t>
        </is>
      </c>
      <c r="AZ956" t="inlineStr">
        <is>
          <t>BOOK</t>
        </is>
      </c>
      <c r="BB956" t="inlineStr">
        <is>
          <t>9780792323389</t>
        </is>
      </c>
      <c r="BC956" t="inlineStr">
        <is>
          <t>32285001931657</t>
        </is>
      </c>
      <c r="BD956" t="inlineStr">
        <is>
          <t>893504097</t>
        </is>
      </c>
    </row>
    <row r="957">
      <c r="A957" t="inlineStr">
        <is>
          <t>No</t>
        </is>
      </c>
      <c r="B957" t="inlineStr">
        <is>
          <t>QH452.7 .B43 1984</t>
        </is>
      </c>
      <c r="C957" t="inlineStr">
        <is>
          <t>0                      QH 0452700B  43          1984</t>
        </is>
      </c>
      <c r="D957" t="inlineStr">
        <is>
          <t>Manual of quantitative genetics / Walter A. Becker.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Becker, Walter A. (Walter Alvin), 1920-</t>
        </is>
      </c>
      <c r="L957" t="inlineStr">
        <is>
          <t>Pullman, Wash. : Academic Enterprises, c1984, 1985 printing.</t>
        </is>
      </c>
      <c r="M957" t="inlineStr">
        <is>
          <t>1984</t>
        </is>
      </c>
      <c r="N957" t="inlineStr">
        <is>
          <t>4th ed.</t>
        </is>
      </c>
      <c r="O957" t="inlineStr">
        <is>
          <t>eng</t>
        </is>
      </c>
      <c r="P957" t="inlineStr">
        <is>
          <t>wau</t>
        </is>
      </c>
      <c r="R957" t="inlineStr">
        <is>
          <t xml:space="preserve">QH </t>
        </is>
      </c>
      <c r="S957" t="n">
        <v>2</v>
      </c>
      <c r="T957" t="n">
        <v>2</v>
      </c>
      <c r="U957" t="inlineStr">
        <is>
          <t>2000-11-02</t>
        </is>
      </c>
      <c r="V957" t="inlineStr">
        <is>
          <t>2000-11-02</t>
        </is>
      </c>
      <c r="W957" t="inlineStr">
        <is>
          <t>1993-04-12</t>
        </is>
      </c>
      <c r="X957" t="inlineStr">
        <is>
          <t>1993-04-12</t>
        </is>
      </c>
      <c r="Y957" t="n">
        <v>139</v>
      </c>
      <c r="Z957" t="n">
        <v>93</v>
      </c>
      <c r="AA957" t="n">
        <v>122</v>
      </c>
      <c r="AB957" t="n">
        <v>2</v>
      </c>
      <c r="AC957" t="n">
        <v>3</v>
      </c>
      <c r="AD957" t="n">
        <v>1</v>
      </c>
      <c r="AE957" t="n">
        <v>2</v>
      </c>
      <c r="AF957" t="n">
        <v>0</v>
      </c>
      <c r="AG957" t="n">
        <v>0</v>
      </c>
      <c r="AH957" t="n">
        <v>0</v>
      </c>
      <c r="AI957" t="n">
        <v>0</v>
      </c>
      <c r="AJ957" t="n">
        <v>1</v>
      </c>
      <c r="AK957" t="n">
        <v>1</v>
      </c>
      <c r="AL957" t="n">
        <v>0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HYPERLINK("http://catalog.hathitrust.org/Record/000349831","HathiTrust Record")</f>
        <v/>
      </c>
      <c r="AS957">
        <f>HYPERLINK("https://creighton-primo.hosted.exlibrisgroup.com/primo-explore/search?tab=default_tab&amp;search_scope=EVERYTHING&amp;vid=01CRU&amp;lang=en_US&amp;offset=0&amp;query=any,contains,991000495759702656","Catalog Record")</f>
        <v/>
      </c>
      <c r="AT957">
        <f>HYPERLINK("http://www.worldcat.org/oclc/11134274","WorldCat Record")</f>
        <v/>
      </c>
      <c r="AU957" t="inlineStr">
        <is>
          <t>2540406:eng</t>
        </is>
      </c>
      <c r="AV957" t="inlineStr">
        <is>
          <t>11134274</t>
        </is>
      </c>
      <c r="AW957" t="inlineStr">
        <is>
          <t>991000495759702656</t>
        </is>
      </c>
      <c r="AX957" t="inlineStr">
        <is>
          <t>991000495759702656</t>
        </is>
      </c>
      <c r="AY957" t="inlineStr">
        <is>
          <t>2254993450002656</t>
        </is>
      </c>
      <c r="AZ957" t="inlineStr">
        <is>
          <t>BOOK</t>
        </is>
      </c>
      <c r="BB957" t="inlineStr">
        <is>
          <t>9780931399008</t>
        </is>
      </c>
      <c r="BC957" t="inlineStr">
        <is>
          <t>32285001640316</t>
        </is>
      </c>
      <c r="BD957" t="inlineStr">
        <is>
          <t>893626335</t>
        </is>
      </c>
    </row>
    <row r="958">
      <c r="A958" t="inlineStr">
        <is>
          <t>No</t>
        </is>
      </c>
      <c r="B958" t="inlineStr">
        <is>
          <t>QH452.7 .B84 1980</t>
        </is>
      </c>
      <c r="C958" t="inlineStr">
        <is>
          <t>0                      QH 0452700B  84          1980</t>
        </is>
      </c>
      <c r="D958" t="inlineStr">
        <is>
          <t>The mathematical theory of quantitative genetics / M.G. Bulmer.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Bulmer, M. G.</t>
        </is>
      </c>
      <c r="L958" t="inlineStr">
        <is>
          <t>Oxford : Clarendon Press ; New York : Oxford University Press, 1980.</t>
        </is>
      </c>
      <c r="M958" t="inlineStr">
        <is>
          <t>1980</t>
        </is>
      </c>
      <c r="O958" t="inlineStr">
        <is>
          <t>eng</t>
        </is>
      </c>
      <c r="P958" t="inlineStr">
        <is>
          <t>enk</t>
        </is>
      </c>
      <c r="R958" t="inlineStr">
        <is>
          <t xml:space="preserve">QH </t>
        </is>
      </c>
      <c r="S958" t="n">
        <v>15</v>
      </c>
      <c r="T958" t="n">
        <v>15</v>
      </c>
      <c r="U958" t="inlineStr">
        <is>
          <t>2007-03-27</t>
        </is>
      </c>
      <c r="V958" t="inlineStr">
        <is>
          <t>2007-03-27</t>
        </is>
      </c>
      <c r="W958" t="inlineStr">
        <is>
          <t>1993-04-12</t>
        </is>
      </c>
      <c r="X958" t="inlineStr">
        <is>
          <t>1993-04-12</t>
        </is>
      </c>
      <c r="Y958" t="n">
        <v>289</v>
      </c>
      <c r="Z958" t="n">
        <v>167</v>
      </c>
      <c r="AA958" t="n">
        <v>183</v>
      </c>
      <c r="AB958" t="n">
        <v>2</v>
      </c>
      <c r="AC958" t="n">
        <v>2</v>
      </c>
      <c r="AD958" t="n">
        <v>3</v>
      </c>
      <c r="AE958" t="n">
        <v>3</v>
      </c>
      <c r="AF958" t="n">
        <v>0</v>
      </c>
      <c r="AG958" t="n">
        <v>0</v>
      </c>
      <c r="AH958" t="n">
        <v>1</v>
      </c>
      <c r="AI958" t="n">
        <v>1</v>
      </c>
      <c r="AJ958" t="n">
        <v>2</v>
      </c>
      <c r="AK958" t="n">
        <v>2</v>
      </c>
      <c r="AL958" t="n">
        <v>1</v>
      </c>
      <c r="AM958" t="n">
        <v>1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HYPERLINK("http://catalog.hathitrust.org/Record/000684910","HathiTrust Record")</f>
        <v/>
      </c>
      <c r="AS958">
        <f>HYPERLINK("https://creighton-primo.hosted.exlibrisgroup.com/primo-explore/search?tab=default_tab&amp;search_scope=EVERYTHING&amp;vid=01CRU&amp;lang=en_US&amp;offset=0&amp;query=any,contains,991004981939702656","Catalog Record")</f>
        <v/>
      </c>
      <c r="AT958">
        <f>HYPERLINK("http://www.worldcat.org/oclc/6423598","WorldCat Record")</f>
        <v/>
      </c>
      <c r="AU958" t="inlineStr">
        <is>
          <t>416376:eng</t>
        </is>
      </c>
      <c r="AV958" t="inlineStr">
        <is>
          <t>6423598</t>
        </is>
      </c>
      <c r="AW958" t="inlineStr">
        <is>
          <t>991004981939702656</t>
        </is>
      </c>
      <c r="AX958" t="inlineStr">
        <is>
          <t>991004981939702656</t>
        </is>
      </c>
      <c r="AY958" t="inlineStr">
        <is>
          <t>2269331430002656</t>
        </is>
      </c>
      <c r="AZ958" t="inlineStr">
        <is>
          <t>BOOK</t>
        </is>
      </c>
      <c r="BC958" t="inlineStr">
        <is>
          <t>32285001640324</t>
        </is>
      </c>
      <c r="BD958" t="inlineStr">
        <is>
          <t>893424410</t>
        </is>
      </c>
    </row>
    <row r="959">
      <c r="A959" t="inlineStr">
        <is>
          <t>No</t>
        </is>
      </c>
      <c r="B959" t="inlineStr">
        <is>
          <t>QH452.7 .F34 1961</t>
        </is>
      </c>
      <c r="C959" t="inlineStr">
        <is>
          <t>0                      QH 0452700F  34          1961</t>
        </is>
      </c>
      <c r="D959" t="inlineStr">
        <is>
          <t>Introduction to quantitative genetics / D.S. Falconer.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Yes</t>
        </is>
      </c>
      <c r="J959" t="inlineStr">
        <is>
          <t>0</t>
        </is>
      </c>
      <c r="K959" t="inlineStr">
        <is>
          <t>Falconer, D. S. (Douglas Scott)</t>
        </is>
      </c>
      <c r="L959" t="inlineStr">
        <is>
          <t>New York : Ronald Press Co. [1961]</t>
        </is>
      </c>
      <c r="M959" t="inlineStr">
        <is>
          <t>1960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QH </t>
        </is>
      </c>
      <c r="S959" t="n">
        <v>1</v>
      </c>
      <c r="T959" t="n">
        <v>1</v>
      </c>
      <c r="U959" t="inlineStr">
        <is>
          <t>2001-03-12</t>
        </is>
      </c>
      <c r="V959" t="inlineStr">
        <is>
          <t>2001-03-12</t>
        </is>
      </c>
      <c r="W959" t="inlineStr">
        <is>
          <t>1993-04-12</t>
        </is>
      </c>
      <c r="X959" t="inlineStr">
        <is>
          <t>1993-04-12</t>
        </is>
      </c>
      <c r="Y959" t="n">
        <v>431</v>
      </c>
      <c r="Z959" t="n">
        <v>397</v>
      </c>
      <c r="AA959" t="n">
        <v>770</v>
      </c>
      <c r="AB959" t="n">
        <v>3</v>
      </c>
      <c r="AC959" t="n">
        <v>5</v>
      </c>
      <c r="AD959" t="n">
        <v>20</v>
      </c>
      <c r="AE959" t="n">
        <v>36</v>
      </c>
      <c r="AF959" t="n">
        <v>9</v>
      </c>
      <c r="AG959" t="n">
        <v>17</v>
      </c>
      <c r="AH959" t="n">
        <v>3</v>
      </c>
      <c r="AI959" t="n">
        <v>6</v>
      </c>
      <c r="AJ959" t="n">
        <v>10</v>
      </c>
      <c r="AK959" t="n">
        <v>21</v>
      </c>
      <c r="AL959" t="n">
        <v>2</v>
      </c>
      <c r="AM959" t="n">
        <v>3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R959">
        <f>HYPERLINK("http://catalog.hathitrust.org/Record/010299648","HathiTrust Record")</f>
        <v/>
      </c>
      <c r="AS959">
        <f>HYPERLINK("https://creighton-primo.hosted.exlibrisgroup.com/primo-explore/search?tab=default_tab&amp;search_scope=EVERYTHING&amp;vid=01CRU&amp;lang=en_US&amp;offset=0&amp;query=any,contains,991002976249702656","Catalog Record")</f>
        <v/>
      </c>
      <c r="AT959">
        <f>HYPERLINK("http://www.worldcat.org/oclc/551819","WorldCat Record")</f>
        <v/>
      </c>
      <c r="AU959" t="inlineStr">
        <is>
          <t>1301053:eng</t>
        </is>
      </c>
      <c r="AV959" t="inlineStr">
        <is>
          <t>551819</t>
        </is>
      </c>
      <c r="AW959" t="inlineStr">
        <is>
          <t>991002976249702656</t>
        </is>
      </c>
      <c r="AX959" t="inlineStr">
        <is>
          <t>991002976249702656</t>
        </is>
      </c>
      <c r="AY959" t="inlineStr">
        <is>
          <t>2257652980002656</t>
        </is>
      </c>
      <c r="AZ959" t="inlineStr">
        <is>
          <t>BOOK</t>
        </is>
      </c>
      <c r="BC959" t="inlineStr">
        <is>
          <t>32285001640332</t>
        </is>
      </c>
      <c r="BD959" t="inlineStr">
        <is>
          <t>893710919</t>
        </is>
      </c>
    </row>
    <row r="960">
      <c r="A960" t="inlineStr">
        <is>
          <t>No</t>
        </is>
      </c>
      <c r="B960" t="inlineStr">
        <is>
          <t>QH452.7 .F34 1981</t>
        </is>
      </c>
      <c r="C960" t="inlineStr">
        <is>
          <t>0                      QH 0452700F  34          1981</t>
        </is>
      </c>
      <c r="D960" t="inlineStr">
        <is>
          <t>Introduction to quantitative genetics / D. S. Falconer.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Yes</t>
        </is>
      </c>
      <c r="J960" t="inlineStr">
        <is>
          <t>0</t>
        </is>
      </c>
      <c r="K960" t="inlineStr">
        <is>
          <t>Falconer, D. S. (Douglas Scott)</t>
        </is>
      </c>
      <c r="L960" t="inlineStr">
        <is>
          <t>London ; New York : Longman, 1981.</t>
        </is>
      </c>
      <c r="M960" t="inlineStr">
        <is>
          <t>1981</t>
        </is>
      </c>
      <c r="N960" t="inlineStr">
        <is>
          <t>2d ed.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QH </t>
        </is>
      </c>
      <c r="S960" t="n">
        <v>17</v>
      </c>
      <c r="T960" t="n">
        <v>17</v>
      </c>
      <c r="U960" t="inlineStr">
        <is>
          <t>2006-09-18</t>
        </is>
      </c>
      <c r="V960" t="inlineStr">
        <is>
          <t>2006-09-18</t>
        </is>
      </c>
      <c r="W960" t="inlineStr">
        <is>
          <t>1993-10-26</t>
        </is>
      </c>
      <c r="X960" t="inlineStr">
        <is>
          <t>1993-10-26</t>
        </is>
      </c>
      <c r="Y960" t="n">
        <v>301</v>
      </c>
      <c r="Z960" t="n">
        <v>200</v>
      </c>
      <c r="AA960" t="n">
        <v>770</v>
      </c>
      <c r="AB960" t="n">
        <v>2</v>
      </c>
      <c r="AC960" t="n">
        <v>5</v>
      </c>
      <c r="AD960" t="n">
        <v>4</v>
      </c>
      <c r="AE960" t="n">
        <v>36</v>
      </c>
      <c r="AF960" t="n">
        <v>0</v>
      </c>
      <c r="AG960" t="n">
        <v>17</v>
      </c>
      <c r="AH960" t="n">
        <v>1</v>
      </c>
      <c r="AI960" t="n">
        <v>6</v>
      </c>
      <c r="AJ960" t="n">
        <v>2</v>
      </c>
      <c r="AK960" t="n">
        <v>21</v>
      </c>
      <c r="AL960" t="n">
        <v>1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HYPERLINK("https://creighton-primo.hosted.exlibrisgroup.com/primo-explore/search?tab=default_tab&amp;search_scope=EVERYTHING&amp;vid=01CRU&amp;lang=en_US&amp;offset=0&amp;query=any,contains,991005011129702656","Catalog Record")</f>
        <v/>
      </c>
      <c r="AT960">
        <f>HYPERLINK("http://www.worldcat.org/oclc/6602840","WorldCat Record")</f>
        <v/>
      </c>
      <c r="AU960" t="inlineStr">
        <is>
          <t>1301053:eng</t>
        </is>
      </c>
      <c r="AV960" t="inlineStr">
        <is>
          <t>6602840</t>
        </is>
      </c>
      <c r="AW960" t="inlineStr">
        <is>
          <t>991005011129702656</t>
        </is>
      </c>
      <c r="AX960" t="inlineStr">
        <is>
          <t>991005011129702656</t>
        </is>
      </c>
      <c r="AY960" t="inlineStr">
        <is>
          <t>2255570520002656</t>
        </is>
      </c>
      <c r="AZ960" t="inlineStr">
        <is>
          <t>BOOK</t>
        </is>
      </c>
      <c r="BB960" t="inlineStr">
        <is>
          <t>9780582441958</t>
        </is>
      </c>
      <c r="BC960" t="inlineStr">
        <is>
          <t>32285001794881</t>
        </is>
      </c>
      <c r="BD960" t="inlineStr">
        <is>
          <t>893801590</t>
        </is>
      </c>
    </row>
    <row r="961">
      <c r="A961" t="inlineStr">
        <is>
          <t>No</t>
        </is>
      </c>
      <c r="B961" t="inlineStr">
        <is>
          <t>QH452.8 .I61 1994</t>
        </is>
      </c>
      <c r="C961" t="inlineStr">
        <is>
          <t>0                      QH 0452800I  61          1994</t>
        </is>
      </c>
      <c r="D961" t="inlineStr">
        <is>
          <t>In situ hybridization : a practical guide / A.R. Leitch ... [et al.].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Oxford [England] : BIOS Scientific Publishers in association with the Royal Microscopical Society, 1994.</t>
        </is>
      </c>
      <c r="M961" t="inlineStr">
        <is>
          <t>1994</t>
        </is>
      </c>
      <c r="O961" t="inlineStr">
        <is>
          <t>eng</t>
        </is>
      </c>
      <c r="P961" t="inlineStr">
        <is>
          <t>enk</t>
        </is>
      </c>
      <c r="Q961" t="inlineStr">
        <is>
          <t>Microscopy handbooks ; 27</t>
        </is>
      </c>
      <c r="R961" t="inlineStr">
        <is>
          <t xml:space="preserve">QH </t>
        </is>
      </c>
      <c r="S961" t="n">
        <v>1</v>
      </c>
      <c r="T961" t="n">
        <v>1</v>
      </c>
      <c r="U961" t="inlineStr">
        <is>
          <t>2007-11-11</t>
        </is>
      </c>
      <c r="V961" t="inlineStr">
        <is>
          <t>2007-11-11</t>
        </is>
      </c>
      <c r="W961" t="inlineStr">
        <is>
          <t>1996-06-20</t>
        </is>
      </c>
      <c r="X961" t="inlineStr">
        <is>
          <t>1996-06-20</t>
        </is>
      </c>
      <c r="Y961" t="n">
        <v>176</v>
      </c>
      <c r="Z961" t="n">
        <v>95</v>
      </c>
      <c r="AA961" t="n">
        <v>96</v>
      </c>
      <c r="AB961" t="n">
        <v>1</v>
      </c>
      <c r="AC961" t="n">
        <v>1</v>
      </c>
      <c r="AD961" t="n">
        <v>3</v>
      </c>
      <c r="AE961" t="n">
        <v>3</v>
      </c>
      <c r="AF961" t="n">
        <v>2</v>
      </c>
      <c r="AG961" t="n">
        <v>2</v>
      </c>
      <c r="AH961" t="n">
        <v>1</v>
      </c>
      <c r="AI961" t="n">
        <v>1</v>
      </c>
      <c r="AJ961" t="n">
        <v>1</v>
      </c>
      <c r="AK961" t="n">
        <v>1</v>
      </c>
      <c r="AL961" t="n">
        <v>0</v>
      </c>
      <c r="AM961" t="n">
        <v>0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HYPERLINK("http://catalog.hathitrust.org/Record/002913989","HathiTrust Record")</f>
        <v/>
      </c>
      <c r="AS961">
        <f>HYPERLINK("https://creighton-primo.hosted.exlibrisgroup.com/primo-explore/search?tab=default_tab&amp;search_scope=EVERYTHING&amp;vid=01CRU&amp;lang=en_US&amp;offset=0&amp;query=any,contains,991002301529702656","Catalog Record")</f>
        <v/>
      </c>
      <c r="AT961">
        <f>HYPERLINK("http://www.worldcat.org/oclc/29851529","WorldCat Record")</f>
        <v/>
      </c>
      <c r="AU961" t="inlineStr">
        <is>
          <t>2280898455:eng</t>
        </is>
      </c>
      <c r="AV961" t="inlineStr">
        <is>
          <t>29851529</t>
        </is>
      </c>
      <c r="AW961" t="inlineStr">
        <is>
          <t>991002301529702656</t>
        </is>
      </c>
      <c r="AX961" t="inlineStr">
        <is>
          <t>991002301529702656</t>
        </is>
      </c>
      <c r="AY961" t="inlineStr">
        <is>
          <t>2268914990002656</t>
        </is>
      </c>
      <c r="AZ961" t="inlineStr">
        <is>
          <t>BOOK</t>
        </is>
      </c>
      <c r="BB961" t="inlineStr">
        <is>
          <t>9781872748481</t>
        </is>
      </c>
      <c r="BC961" t="inlineStr">
        <is>
          <t>32285002170917</t>
        </is>
      </c>
      <c r="BD961" t="inlineStr">
        <is>
          <t>893785987</t>
        </is>
      </c>
    </row>
    <row r="962">
      <c r="A962" t="inlineStr">
        <is>
          <t>No</t>
        </is>
      </c>
      <c r="B962" t="inlineStr">
        <is>
          <t>QH453 .D38 1986</t>
        </is>
      </c>
      <c r="C962" t="inlineStr">
        <is>
          <t>0                      QH 0453000D  38          1986</t>
        </is>
      </c>
      <c r="D962" t="inlineStr">
        <is>
          <t>Gene activity in early development / Eric H. Davidson.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Davidson, Eric H., 1937-2015.</t>
        </is>
      </c>
      <c r="L962" t="inlineStr">
        <is>
          <t>Orlando : Academic Press, 1986.</t>
        </is>
      </c>
      <c r="M962" t="inlineStr">
        <is>
          <t>1986</t>
        </is>
      </c>
      <c r="N962" t="inlineStr">
        <is>
          <t>3rd ed.</t>
        </is>
      </c>
      <c r="O962" t="inlineStr">
        <is>
          <t>eng</t>
        </is>
      </c>
      <c r="P962" t="inlineStr">
        <is>
          <t>flu</t>
        </is>
      </c>
      <c r="R962" t="inlineStr">
        <is>
          <t xml:space="preserve">QH </t>
        </is>
      </c>
      <c r="S962" t="n">
        <v>2</v>
      </c>
      <c r="T962" t="n">
        <v>2</v>
      </c>
      <c r="U962" t="inlineStr">
        <is>
          <t>2006-09-06</t>
        </is>
      </c>
      <c r="V962" t="inlineStr">
        <is>
          <t>2006-09-06</t>
        </is>
      </c>
      <c r="W962" t="inlineStr">
        <is>
          <t>1993-04-12</t>
        </is>
      </c>
      <c r="X962" t="inlineStr">
        <is>
          <t>1993-04-12</t>
        </is>
      </c>
      <c r="Y962" t="n">
        <v>501</v>
      </c>
      <c r="Z962" t="n">
        <v>393</v>
      </c>
      <c r="AA962" t="n">
        <v>822</v>
      </c>
      <c r="AB962" t="n">
        <v>3</v>
      </c>
      <c r="AC962" t="n">
        <v>7</v>
      </c>
      <c r="AD962" t="n">
        <v>14</v>
      </c>
      <c r="AE962" t="n">
        <v>36</v>
      </c>
      <c r="AF962" t="n">
        <v>2</v>
      </c>
      <c r="AG962" t="n">
        <v>12</v>
      </c>
      <c r="AH962" t="n">
        <v>4</v>
      </c>
      <c r="AI962" t="n">
        <v>7</v>
      </c>
      <c r="AJ962" t="n">
        <v>8</v>
      </c>
      <c r="AK962" t="n">
        <v>18</v>
      </c>
      <c r="AL962" t="n">
        <v>2</v>
      </c>
      <c r="AM962" t="n">
        <v>6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HYPERLINK("http://catalog.hathitrust.org/Record/000596000","HathiTrust Record")</f>
        <v/>
      </c>
      <c r="AS962">
        <f>HYPERLINK("https://creighton-primo.hosted.exlibrisgroup.com/primo-explore/search?tab=default_tab&amp;search_scope=EVERYTHING&amp;vid=01CRU&amp;lang=en_US&amp;offset=0&amp;query=any,contains,991000892499702656","Catalog Record")</f>
        <v/>
      </c>
      <c r="AT962">
        <f>HYPERLINK("http://www.worldcat.org/oclc/13945811","WorldCat Record")</f>
        <v/>
      </c>
      <c r="AU962" t="inlineStr">
        <is>
          <t>408831:eng</t>
        </is>
      </c>
      <c r="AV962" t="inlineStr">
        <is>
          <t>13945811</t>
        </is>
      </c>
      <c r="AW962" t="inlineStr">
        <is>
          <t>991000892499702656</t>
        </is>
      </c>
      <c r="AX962" t="inlineStr">
        <is>
          <t>991000892499702656</t>
        </is>
      </c>
      <c r="AY962" t="inlineStr">
        <is>
          <t>2259055540002656</t>
        </is>
      </c>
      <c r="AZ962" t="inlineStr">
        <is>
          <t>BOOK</t>
        </is>
      </c>
      <c r="BB962" t="inlineStr">
        <is>
          <t>9780122051616</t>
        </is>
      </c>
      <c r="BC962" t="inlineStr">
        <is>
          <t>32285001640357</t>
        </is>
      </c>
      <c r="BD962" t="inlineStr">
        <is>
          <t>893903198</t>
        </is>
      </c>
    </row>
    <row r="963">
      <c r="A963" t="inlineStr">
        <is>
          <t>No</t>
        </is>
      </c>
      <c r="B963" t="inlineStr">
        <is>
          <t>QH453 .D4 1985</t>
        </is>
      </c>
      <c r="C963" t="inlineStr">
        <is>
          <t>0                      QH 0453000D  4           1985</t>
        </is>
      </c>
      <c r="D963" t="inlineStr">
        <is>
          <t>From gene to animal : an introduction to the molecular biology of animal development / David de Pomerai.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 Pomerai, David, 1950-</t>
        </is>
      </c>
      <c r="L963" t="inlineStr">
        <is>
          <t>Cambridge [Cambridgeshire] ; New York : Cambridge University Press, 1985.</t>
        </is>
      </c>
      <c r="M963" t="inlineStr">
        <is>
          <t>1985</t>
        </is>
      </c>
      <c r="O963" t="inlineStr">
        <is>
          <t>eng</t>
        </is>
      </c>
      <c r="P963" t="inlineStr">
        <is>
          <t>enk</t>
        </is>
      </c>
      <c r="R963" t="inlineStr">
        <is>
          <t xml:space="preserve">QH </t>
        </is>
      </c>
      <c r="S963" t="n">
        <v>2</v>
      </c>
      <c r="T963" t="n">
        <v>2</v>
      </c>
      <c r="U963" t="inlineStr">
        <is>
          <t>1996-09-22</t>
        </is>
      </c>
      <c r="V963" t="inlineStr">
        <is>
          <t>1996-09-22</t>
        </is>
      </c>
      <c r="W963" t="inlineStr">
        <is>
          <t>1993-04-12</t>
        </is>
      </c>
      <c r="X963" t="inlineStr">
        <is>
          <t>1993-04-12</t>
        </is>
      </c>
      <c r="Y963" t="n">
        <v>565</v>
      </c>
      <c r="Z963" t="n">
        <v>468</v>
      </c>
      <c r="AA963" t="n">
        <v>585</v>
      </c>
      <c r="AB963" t="n">
        <v>7</v>
      </c>
      <c r="AC963" t="n">
        <v>7</v>
      </c>
      <c r="AD963" t="n">
        <v>25</v>
      </c>
      <c r="AE963" t="n">
        <v>32</v>
      </c>
      <c r="AF963" t="n">
        <v>7</v>
      </c>
      <c r="AG963" t="n">
        <v>12</v>
      </c>
      <c r="AH963" t="n">
        <v>6</v>
      </c>
      <c r="AI963" t="n">
        <v>7</v>
      </c>
      <c r="AJ963" t="n">
        <v>13</v>
      </c>
      <c r="AK963" t="n">
        <v>18</v>
      </c>
      <c r="AL963" t="n">
        <v>6</v>
      </c>
      <c r="AM963" t="n">
        <v>6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HYPERLINK("https://creighton-primo.hosted.exlibrisgroup.com/primo-explore/search?tab=default_tab&amp;search_scope=EVERYTHING&amp;vid=01CRU&amp;lang=en_US&amp;offset=0&amp;query=any,contains,991000429969702656","Catalog Record")</f>
        <v/>
      </c>
      <c r="AT963">
        <f>HYPERLINK("http://www.worldcat.org/oclc/10777996","WorldCat Record")</f>
        <v/>
      </c>
      <c r="AU963" t="inlineStr">
        <is>
          <t>795337662:eng</t>
        </is>
      </c>
      <c r="AV963" t="inlineStr">
        <is>
          <t>10777996</t>
        </is>
      </c>
      <c r="AW963" t="inlineStr">
        <is>
          <t>991000429969702656</t>
        </is>
      </c>
      <c r="AX963" t="inlineStr">
        <is>
          <t>991000429969702656</t>
        </is>
      </c>
      <c r="AY963" t="inlineStr">
        <is>
          <t>2265402660002656</t>
        </is>
      </c>
      <c r="AZ963" t="inlineStr">
        <is>
          <t>BOOK</t>
        </is>
      </c>
      <c r="BB963" t="inlineStr">
        <is>
          <t>9780521278294</t>
        </is>
      </c>
      <c r="BC963" t="inlineStr">
        <is>
          <t>32285001640365</t>
        </is>
      </c>
      <c r="BD963" t="inlineStr">
        <is>
          <t>893502473</t>
        </is>
      </c>
    </row>
    <row r="964">
      <c r="A964" t="inlineStr">
        <is>
          <t>No</t>
        </is>
      </c>
      <c r="B964" t="inlineStr">
        <is>
          <t>QH453 .K6713</t>
        </is>
      </c>
      <c r="C964" t="inlineStr">
        <is>
          <t>0                      QH 0453000K  6713</t>
        </is>
      </c>
      <c r="D964" t="inlineStr">
        <is>
          <t>Gene interactions in development / Leonid I. Korochkin ; translated and edited by Abraham Grossman.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Korochkin, L. I. (Leonid Ivanovich)</t>
        </is>
      </c>
      <c r="L964" t="inlineStr">
        <is>
          <t>Berlin ; New York : Springer-Verlag, 1981.</t>
        </is>
      </c>
      <c r="M964" t="inlineStr">
        <is>
          <t>1980</t>
        </is>
      </c>
      <c r="O964" t="inlineStr">
        <is>
          <t>eng</t>
        </is>
      </c>
      <c r="P964" t="inlineStr">
        <is>
          <t xml:space="preserve">gw </t>
        </is>
      </c>
      <c r="Q964" t="inlineStr">
        <is>
          <t>Monographs on theoretical and applied genetics ; 4</t>
        </is>
      </c>
      <c r="R964" t="inlineStr">
        <is>
          <t xml:space="preserve">QH </t>
        </is>
      </c>
      <c r="S964" t="n">
        <v>4</v>
      </c>
      <c r="T964" t="n">
        <v>4</v>
      </c>
      <c r="U964" t="inlineStr">
        <is>
          <t>1997-02-02</t>
        </is>
      </c>
      <c r="V964" t="inlineStr">
        <is>
          <t>1997-02-02</t>
        </is>
      </c>
      <c r="W964" t="inlineStr">
        <is>
          <t>1993-04-12</t>
        </is>
      </c>
      <c r="X964" t="inlineStr">
        <is>
          <t>1993-04-12</t>
        </is>
      </c>
      <c r="Y964" t="n">
        <v>238</v>
      </c>
      <c r="Z964" t="n">
        <v>148</v>
      </c>
      <c r="AA964" t="n">
        <v>169</v>
      </c>
      <c r="AB964" t="n">
        <v>2</v>
      </c>
      <c r="AC964" t="n">
        <v>2</v>
      </c>
      <c r="AD964" t="n">
        <v>5</v>
      </c>
      <c r="AE964" t="n">
        <v>6</v>
      </c>
      <c r="AF964" t="n">
        <v>0</v>
      </c>
      <c r="AG964" t="n">
        <v>1</v>
      </c>
      <c r="AH964" t="n">
        <v>2</v>
      </c>
      <c r="AI964" t="n">
        <v>2</v>
      </c>
      <c r="AJ964" t="n">
        <v>3</v>
      </c>
      <c r="AK964" t="n">
        <v>4</v>
      </c>
      <c r="AL964" t="n">
        <v>1</v>
      </c>
      <c r="AM964" t="n">
        <v>1</v>
      </c>
      <c r="AN964" t="n">
        <v>0</v>
      </c>
      <c r="AO964" t="n">
        <v>0</v>
      </c>
      <c r="AP964" t="inlineStr">
        <is>
          <t>No</t>
        </is>
      </c>
      <c r="AQ964" t="inlineStr">
        <is>
          <t>Yes</t>
        </is>
      </c>
      <c r="AR964">
        <f>HYPERLINK("http://catalog.hathitrust.org/Record/000143391","HathiTrust Record")</f>
        <v/>
      </c>
      <c r="AS964">
        <f>HYPERLINK("https://creighton-primo.hosted.exlibrisgroup.com/primo-explore/search?tab=default_tab&amp;search_scope=EVERYTHING&amp;vid=01CRU&amp;lang=en_US&amp;offset=0&amp;query=any,contains,991004990379702656","Catalog Record")</f>
        <v/>
      </c>
      <c r="AT964">
        <f>HYPERLINK("http://www.worldcat.org/oclc/6487007","WorldCat Record")</f>
        <v/>
      </c>
      <c r="AU964" t="inlineStr">
        <is>
          <t>355672685:eng</t>
        </is>
      </c>
      <c r="AV964" t="inlineStr">
        <is>
          <t>6487007</t>
        </is>
      </c>
      <c r="AW964" t="inlineStr">
        <is>
          <t>991004990379702656</t>
        </is>
      </c>
      <c r="AX964" t="inlineStr">
        <is>
          <t>991004990379702656</t>
        </is>
      </c>
      <c r="AY964" t="inlineStr">
        <is>
          <t>2271819430002656</t>
        </is>
      </c>
      <c r="AZ964" t="inlineStr">
        <is>
          <t>BOOK</t>
        </is>
      </c>
      <c r="BB964" t="inlineStr">
        <is>
          <t>9780387101125</t>
        </is>
      </c>
      <c r="BC964" t="inlineStr">
        <is>
          <t>32285001640381</t>
        </is>
      </c>
      <c r="BD964" t="inlineStr">
        <is>
          <t>893319858</t>
        </is>
      </c>
    </row>
    <row r="965">
      <c r="A965" t="inlineStr">
        <is>
          <t>No</t>
        </is>
      </c>
      <c r="B965" t="inlineStr">
        <is>
          <t>QH453 .M64</t>
        </is>
      </c>
      <c r="C965" t="inlineStr">
        <is>
          <t>0                      QH 0453000M  64</t>
        </is>
      </c>
      <c r="D965" t="inlineStr">
        <is>
          <t>The Molecular genetics of development / edited by Terrance Leighton, William F. Loomis, Jr.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L965" t="inlineStr">
        <is>
          <t>New York : Academic Press, 1980.</t>
        </is>
      </c>
      <c r="M965" t="inlineStr">
        <is>
          <t>1980</t>
        </is>
      </c>
      <c r="O965" t="inlineStr">
        <is>
          <t>eng</t>
        </is>
      </c>
      <c r="P965" t="inlineStr">
        <is>
          <t>nyu</t>
        </is>
      </c>
      <c r="Q965" t="inlineStr">
        <is>
          <t>Molecular biology, an international series of monographs and textbooks</t>
        </is>
      </c>
      <c r="R965" t="inlineStr">
        <is>
          <t xml:space="preserve">QH </t>
        </is>
      </c>
      <c r="S965" t="n">
        <v>1</v>
      </c>
      <c r="T965" t="n">
        <v>1</v>
      </c>
      <c r="U965" t="inlineStr">
        <is>
          <t>1995-04-12</t>
        </is>
      </c>
      <c r="V965" t="inlineStr">
        <is>
          <t>1995-04-12</t>
        </is>
      </c>
      <c r="W965" t="inlineStr">
        <is>
          <t>1993-04-12</t>
        </is>
      </c>
      <c r="X965" t="inlineStr">
        <is>
          <t>1993-04-12</t>
        </is>
      </c>
      <c r="Y965" t="n">
        <v>324</v>
      </c>
      <c r="Z965" t="n">
        <v>247</v>
      </c>
      <c r="AA965" t="n">
        <v>249</v>
      </c>
      <c r="AB965" t="n">
        <v>1</v>
      </c>
      <c r="AC965" t="n">
        <v>1</v>
      </c>
      <c r="AD965" t="n">
        <v>3</v>
      </c>
      <c r="AE965" t="n">
        <v>3</v>
      </c>
      <c r="AF965" t="n">
        <v>0</v>
      </c>
      <c r="AG965" t="n">
        <v>0</v>
      </c>
      <c r="AH965" t="n">
        <v>2</v>
      </c>
      <c r="AI965" t="n">
        <v>2</v>
      </c>
      <c r="AJ965" t="n">
        <v>2</v>
      </c>
      <c r="AK965" t="n">
        <v>2</v>
      </c>
      <c r="AL965" t="n">
        <v>0</v>
      </c>
      <c r="AM965" t="n">
        <v>0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HYPERLINK("http://catalog.hathitrust.org/Record/000736413","HathiTrust Record")</f>
        <v/>
      </c>
      <c r="AS965">
        <f>HYPERLINK("https://creighton-primo.hosted.exlibrisgroup.com/primo-explore/search?tab=default_tab&amp;search_scope=EVERYTHING&amp;vid=01CRU&amp;lang=en_US&amp;offset=0&amp;query=any,contains,991005015169702656","Catalog Record")</f>
        <v/>
      </c>
      <c r="AT965">
        <f>HYPERLINK("http://www.worldcat.org/oclc/6625483","WorldCat Record")</f>
        <v/>
      </c>
      <c r="AU965" t="inlineStr">
        <is>
          <t>355683943:eng</t>
        </is>
      </c>
      <c r="AV965" t="inlineStr">
        <is>
          <t>6625483</t>
        </is>
      </c>
      <c r="AW965" t="inlineStr">
        <is>
          <t>991005015169702656</t>
        </is>
      </c>
      <c r="AX965" t="inlineStr">
        <is>
          <t>991005015169702656</t>
        </is>
      </c>
      <c r="AY965" t="inlineStr">
        <is>
          <t>2255463260002656</t>
        </is>
      </c>
      <c r="AZ965" t="inlineStr">
        <is>
          <t>BOOK</t>
        </is>
      </c>
      <c r="BB965" t="inlineStr">
        <is>
          <t>9780124419605</t>
        </is>
      </c>
      <c r="BC965" t="inlineStr">
        <is>
          <t>32285001640399</t>
        </is>
      </c>
      <c r="BD965" t="inlineStr">
        <is>
          <t>893613010</t>
        </is>
      </c>
    </row>
    <row r="966">
      <c r="A966" t="inlineStr">
        <is>
          <t>No</t>
        </is>
      </c>
      <c r="B966" t="inlineStr">
        <is>
          <t>QH453 .P75 1986</t>
        </is>
      </c>
      <c r="C966" t="inlineStr">
        <is>
          <t>0                      QH 0453000P  75          1986</t>
        </is>
      </c>
      <c r="D966" t="inlineStr">
        <is>
          <t>Foundations of developmental genetics / D.J. Pritchard.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Pritchard, D. J. (Dorian J.)</t>
        </is>
      </c>
      <c r="L966" t="inlineStr">
        <is>
          <t>London ; Philadelphia : Taylor &amp; Francis, 1986.</t>
        </is>
      </c>
      <c r="M966" t="inlineStr">
        <is>
          <t>1986</t>
        </is>
      </c>
      <c r="O966" t="inlineStr">
        <is>
          <t>eng</t>
        </is>
      </c>
      <c r="P966" t="inlineStr">
        <is>
          <t>enk</t>
        </is>
      </c>
      <c r="R966" t="inlineStr">
        <is>
          <t xml:space="preserve">QH </t>
        </is>
      </c>
      <c r="S966" t="n">
        <v>4</v>
      </c>
      <c r="T966" t="n">
        <v>4</v>
      </c>
      <c r="U966" t="inlineStr">
        <is>
          <t>1994-01-06</t>
        </is>
      </c>
      <c r="V966" t="inlineStr">
        <is>
          <t>1994-01-06</t>
        </is>
      </c>
      <c r="W966" t="inlineStr">
        <is>
          <t>1993-04-12</t>
        </is>
      </c>
      <c r="X966" t="inlineStr">
        <is>
          <t>1993-04-12</t>
        </is>
      </c>
      <c r="Y966" t="n">
        <v>465</v>
      </c>
      <c r="Z966" t="n">
        <v>367</v>
      </c>
      <c r="AA966" t="n">
        <v>369</v>
      </c>
      <c r="AB966" t="n">
        <v>3</v>
      </c>
      <c r="AC966" t="n">
        <v>3</v>
      </c>
      <c r="AD966" t="n">
        <v>12</v>
      </c>
      <c r="AE966" t="n">
        <v>12</v>
      </c>
      <c r="AF966" t="n">
        <v>4</v>
      </c>
      <c r="AG966" t="n">
        <v>4</v>
      </c>
      <c r="AH966" t="n">
        <v>3</v>
      </c>
      <c r="AI966" t="n">
        <v>3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HYPERLINK("http://catalog.hathitrust.org/Record/000442778","HathiTrust Record")</f>
        <v/>
      </c>
      <c r="AS966">
        <f>HYPERLINK("https://creighton-primo.hosted.exlibrisgroup.com/primo-explore/search?tab=default_tab&amp;search_scope=EVERYTHING&amp;vid=01CRU&amp;lang=en_US&amp;offset=0&amp;query=any,contains,991000839759702656","Catalog Record")</f>
        <v/>
      </c>
      <c r="AT966">
        <f>HYPERLINK("http://www.worldcat.org/oclc/13525064","WorldCat Record")</f>
        <v/>
      </c>
      <c r="AU966" t="inlineStr">
        <is>
          <t>7336221:eng</t>
        </is>
      </c>
      <c r="AV966" t="inlineStr">
        <is>
          <t>13525064</t>
        </is>
      </c>
      <c r="AW966" t="inlineStr">
        <is>
          <t>991000839759702656</t>
        </is>
      </c>
      <c r="AX966" t="inlineStr">
        <is>
          <t>991000839759702656</t>
        </is>
      </c>
      <c r="AY966" t="inlineStr">
        <is>
          <t>2262470970002656</t>
        </is>
      </c>
      <c r="AZ966" t="inlineStr">
        <is>
          <t>BOOK</t>
        </is>
      </c>
      <c r="BB966" t="inlineStr">
        <is>
          <t>9780850662870</t>
        </is>
      </c>
      <c r="BC966" t="inlineStr">
        <is>
          <t>32285001640407</t>
        </is>
      </c>
      <c r="BD966" t="inlineStr">
        <is>
          <t>893702483</t>
        </is>
      </c>
    </row>
    <row r="967">
      <c r="A967" t="inlineStr">
        <is>
          <t>No</t>
        </is>
      </c>
      <c r="B967" t="inlineStr">
        <is>
          <t>QH453 .W55 1993</t>
        </is>
      </c>
      <c r="C967" t="inlineStr">
        <is>
          <t>0                      QH 0453000W  55          1993</t>
        </is>
      </c>
      <c r="D967" t="inlineStr">
        <is>
          <t>Genetic analysis of animal development / Adam S. Wilkins.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Wilkins, A. S. (Adam S.), 1945-</t>
        </is>
      </c>
      <c r="L967" t="inlineStr">
        <is>
          <t>New York : Wiley-Liss, c1993.</t>
        </is>
      </c>
      <c r="M967" t="inlineStr">
        <is>
          <t>1993</t>
        </is>
      </c>
      <c r="N967" t="inlineStr">
        <is>
          <t>2nd ed.</t>
        </is>
      </c>
      <c r="O967" t="inlineStr">
        <is>
          <t>eng</t>
        </is>
      </c>
      <c r="P967" t="inlineStr">
        <is>
          <t>nyu</t>
        </is>
      </c>
      <c r="R967" t="inlineStr">
        <is>
          <t xml:space="preserve">QH </t>
        </is>
      </c>
      <c r="S967" t="n">
        <v>4</v>
      </c>
      <c r="T967" t="n">
        <v>4</v>
      </c>
      <c r="U967" t="inlineStr">
        <is>
          <t>2002-02-21</t>
        </is>
      </c>
      <c r="V967" t="inlineStr">
        <is>
          <t>2002-02-21</t>
        </is>
      </c>
      <c r="W967" t="inlineStr">
        <is>
          <t>1996-05-07</t>
        </is>
      </c>
      <c r="X967" t="inlineStr">
        <is>
          <t>1996-05-07</t>
        </is>
      </c>
      <c r="Y967" t="n">
        <v>374</v>
      </c>
      <c r="Z967" t="n">
        <v>279</v>
      </c>
      <c r="AA967" t="n">
        <v>558</v>
      </c>
      <c r="AB967" t="n">
        <v>3</v>
      </c>
      <c r="AC967" t="n">
        <v>4</v>
      </c>
      <c r="AD967" t="n">
        <v>15</v>
      </c>
      <c r="AE967" t="n">
        <v>30</v>
      </c>
      <c r="AF967" t="n">
        <v>7</v>
      </c>
      <c r="AG967" t="n">
        <v>13</v>
      </c>
      <c r="AH967" t="n">
        <v>3</v>
      </c>
      <c r="AI967" t="n">
        <v>6</v>
      </c>
      <c r="AJ967" t="n">
        <v>8</v>
      </c>
      <c r="AK967" t="n">
        <v>16</v>
      </c>
      <c r="AL967" t="n">
        <v>2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HYPERLINK("http://catalog.hathitrust.org/Record/002591602","HathiTrust Record")</f>
        <v/>
      </c>
      <c r="AS967">
        <f>HYPERLINK("https://creighton-primo.hosted.exlibrisgroup.com/primo-explore/search?tab=default_tab&amp;search_scope=EVERYTHING&amp;vid=01CRU&amp;lang=en_US&amp;offset=0&amp;query=any,contains,991002010849702656","Catalog Record")</f>
        <v/>
      </c>
      <c r="AT967">
        <f>HYPERLINK("http://www.worldcat.org/oclc/25552425","WorldCat Record")</f>
        <v/>
      </c>
      <c r="AU967" t="inlineStr">
        <is>
          <t>4483409:eng</t>
        </is>
      </c>
      <c r="AV967" t="inlineStr">
        <is>
          <t>25552425</t>
        </is>
      </c>
      <c r="AW967" t="inlineStr">
        <is>
          <t>991002010849702656</t>
        </is>
      </c>
      <c r="AX967" t="inlineStr">
        <is>
          <t>991002010849702656</t>
        </is>
      </c>
      <c r="AY967" t="inlineStr">
        <is>
          <t>2272399350002656</t>
        </is>
      </c>
      <c r="AZ967" t="inlineStr">
        <is>
          <t>BOOK</t>
        </is>
      </c>
      <c r="BB967" t="inlineStr">
        <is>
          <t>9780471502708</t>
        </is>
      </c>
      <c r="BC967" t="inlineStr">
        <is>
          <t>32285002165099</t>
        </is>
      </c>
      <c r="BD967" t="inlineStr">
        <is>
          <t>893721242</t>
        </is>
      </c>
    </row>
    <row r="968">
      <c r="A968" t="inlineStr">
        <is>
          <t>No</t>
        </is>
      </c>
      <c r="B968" t="inlineStr">
        <is>
          <t>QH455 .C47</t>
        </is>
      </c>
      <c r="C968" t="inlineStr">
        <is>
          <t>0                      QH 0455000C  47</t>
        </is>
      </c>
      <c r="D968" t="inlineStr">
        <is>
          <t>Evolution in age-structured populations / Brian Charlesworth.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Charlesworth, Brian.</t>
        </is>
      </c>
      <c r="L968" t="inlineStr">
        <is>
          <t>Cambridge [Eng.] ; New York : Cambridge University Press, 1980.</t>
        </is>
      </c>
      <c r="M968" t="inlineStr">
        <is>
          <t>1980</t>
        </is>
      </c>
      <c r="O968" t="inlineStr">
        <is>
          <t>eng</t>
        </is>
      </c>
      <c r="P968" t="inlineStr">
        <is>
          <t>enk</t>
        </is>
      </c>
      <c r="Q968" t="inlineStr">
        <is>
          <t>Cambridge studies in mathematical biology</t>
        </is>
      </c>
      <c r="R968" t="inlineStr">
        <is>
          <t xml:space="preserve">QH </t>
        </is>
      </c>
      <c r="S968" t="n">
        <v>4</v>
      </c>
      <c r="T968" t="n">
        <v>4</v>
      </c>
      <c r="U968" t="inlineStr">
        <is>
          <t>1998-09-08</t>
        </is>
      </c>
      <c r="V968" t="inlineStr">
        <is>
          <t>1998-09-08</t>
        </is>
      </c>
      <c r="W968" t="inlineStr">
        <is>
          <t>1993-04-12</t>
        </is>
      </c>
      <c r="X968" t="inlineStr">
        <is>
          <t>1993-04-12</t>
        </is>
      </c>
      <c r="Y968" t="n">
        <v>406</v>
      </c>
      <c r="Z968" t="n">
        <v>275</v>
      </c>
      <c r="AA968" t="n">
        <v>281</v>
      </c>
      <c r="AB968" t="n">
        <v>3</v>
      </c>
      <c r="AC968" t="n">
        <v>3</v>
      </c>
      <c r="AD968" t="n">
        <v>10</v>
      </c>
      <c r="AE968" t="n">
        <v>10</v>
      </c>
      <c r="AF968" t="n">
        <v>4</v>
      </c>
      <c r="AG968" t="n">
        <v>4</v>
      </c>
      <c r="AH968" t="n">
        <v>3</v>
      </c>
      <c r="AI968" t="n">
        <v>3</v>
      </c>
      <c r="AJ968" t="n">
        <v>3</v>
      </c>
      <c r="AK968" t="n">
        <v>3</v>
      </c>
      <c r="AL968" t="n">
        <v>2</v>
      </c>
      <c r="AM968" t="n">
        <v>2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HYPERLINK("https://creighton-primo.hosted.exlibrisgroup.com/primo-explore/search?tab=default_tab&amp;search_scope=EVERYTHING&amp;vid=01CRU&amp;lang=en_US&amp;offset=0&amp;query=any,contains,991004893679702656","Catalog Record")</f>
        <v/>
      </c>
      <c r="AT968">
        <f>HYPERLINK("http://www.worldcat.org/oclc/5889634","WorldCat Record")</f>
        <v/>
      </c>
      <c r="AU968" t="inlineStr">
        <is>
          <t>504423:eng</t>
        </is>
      </c>
      <c r="AV968" t="inlineStr">
        <is>
          <t>5889634</t>
        </is>
      </c>
      <c r="AW968" t="inlineStr">
        <is>
          <t>991004893679702656</t>
        </is>
      </c>
      <c r="AX968" t="inlineStr">
        <is>
          <t>991004893679702656</t>
        </is>
      </c>
      <c r="AY968" t="inlineStr">
        <is>
          <t>2271429890002656</t>
        </is>
      </c>
      <c r="AZ968" t="inlineStr">
        <is>
          <t>BOOK</t>
        </is>
      </c>
      <c r="BB968" t="inlineStr">
        <is>
          <t>9780521230452</t>
        </is>
      </c>
      <c r="BC968" t="inlineStr">
        <is>
          <t>32285001640431</t>
        </is>
      </c>
      <c r="BD968" t="inlineStr">
        <is>
          <t>893625214</t>
        </is>
      </c>
    </row>
    <row r="969">
      <c r="A969" t="inlineStr">
        <is>
          <t>No</t>
        </is>
      </c>
      <c r="B969" t="inlineStr">
        <is>
          <t>QH455 .C76 1986</t>
        </is>
      </c>
      <c r="C969" t="inlineStr">
        <is>
          <t>0                      QH 0455000C  76          1986</t>
        </is>
      </c>
      <c r="D969" t="inlineStr">
        <is>
          <t>Basic concepts in population, quantitative, and evolutionary genetics / James F. Crow.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Crow, James F. (James Franklin), 1916-2012.</t>
        </is>
      </c>
      <c r="L969" t="inlineStr">
        <is>
          <t>New York : W.H. Freeman, c1986.</t>
        </is>
      </c>
      <c r="M969" t="inlineStr">
        <is>
          <t>1986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QH </t>
        </is>
      </c>
      <c r="S969" t="n">
        <v>23</v>
      </c>
      <c r="T969" t="n">
        <v>23</v>
      </c>
      <c r="U969" t="inlineStr">
        <is>
          <t>2006-09-18</t>
        </is>
      </c>
      <c r="V969" t="inlineStr">
        <is>
          <t>2006-09-18</t>
        </is>
      </c>
      <c r="W969" t="inlineStr">
        <is>
          <t>1993-04-12</t>
        </is>
      </c>
      <c r="X969" t="inlineStr">
        <is>
          <t>1993-04-12</t>
        </is>
      </c>
      <c r="Y969" t="n">
        <v>458</v>
      </c>
      <c r="Z969" t="n">
        <v>308</v>
      </c>
      <c r="AA969" t="n">
        <v>308</v>
      </c>
      <c r="AB969" t="n">
        <v>4</v>
      </c>
      <c r="AC969" t="n">
        <v>4</v>
      </c>
      <c r="AD969" t="n">
        <v>16</v>
      </c>
      <c r="AE969" t="n">
        <v>16</v>
      </c>
      <c r="AF969" t="n">
        <v>6</v>
      </c>
      <c r="AG969" t="n">
        <v>6</v>
      </c>
      <c r="AH969" t="n">
        <v>4</v>
      </c>
      <c r="AI969" t="n">
        <v>4</v>
      </c>
      <c r="AJ969" t="n">
        <v>8</v>
      </c>
      <c r="AK969" t="n">
        <v>8</v>
      </c>
      <c r="AL969" t="n">
        <v>3</v>
      </c>
      <c r="AM969" t="n">
        <v>3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HYPERLINK("https://creighton-primo.hosted.exlibrisgroup.com/primo-explore/search?tab=default_tab&amp;search_scope=EVERYTHING&amp;vid=01CRU&amp;lang=en_US&amp;offset=0&amp;query=any,contains,991000671009702656","Catalog Record")</f>
        <v/>
      </c>
      <c r="AT969">
        <f>HYPERLINK("http://www.worldcat.org/oclc/12314632","WorldCat Record")</f>
        <v/>
      </c>
      <c r="AU969" t="inlineStr">
        <is>
          <t>4965531:eng</t>
        </is>
      </c>
      <c r="AV969" t="inlineStr">
        <is>
          <t>12314632</t>
        </is>
      </c>
      <c r="AW969" t="inlineStr">
        <is>
          <t>991000671009702656</t>
        </is>
      </c>
      <c r="AX969" t="inlineStr">
        <is>
          <t>991000671009702656</t>
        </is>
      </c>
      <c r="AY969" t="inlineStr">
        <is>
          <t>2271697800002656</t>
        </is>
      </c>
      <c r="AZ969" t="inlineStr">
        <is>
          <t>BOOK</t>
        </is>
      </c>
      <c r="BB969" t="inlineStr">
        <is>
          <t>9780716717607</t>
        </is>
      </c>
      <c r="BC969" t="inlineStr">
        <is>
          <t>32285001640449</t>
        </is>
      </c>
      <c r="BD969" t="inlineStr">
        <is>
          <t>893425927</t>
        </is>
      </c>
    </row>
    <row r="970">
      <c r="A970" t="inlineStr">
        <is>
          <t>No</t>
        </is>
      </c>
      <c r="B970" t="inlineStr">
        <is>
          <t>QH455 .E67 2003</t>
        </is>
      </c>
      <c r="C970" t="inlineStr">
        <is>
          <t>0                      QH 0455000E  67          2003</t>
        </is>
      </c>
      <c r="D970" t="inlineStr">
        <is>
          <t>Geographical genetics / Bryan K. Epperson.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Epperson, Bryan K., 1957-</t>
        </is>
      </c>
      <c r="L970" t="inlineStr">
        <is>
          <t>Princeton, N.J. : Princeton University Press, c2003.</t>
        </is>
      </c>
      <c r="M970" t="inlineStr">
        <is>
          <t>2003</t>
        </is>
      </c>
      <c r="O970" t="inlineStr">
        <is>
          <t>eng</t>
        </is>
      </c>
      <c r="P970" t="inlineStr">
        <is>
          <t>nju</t>
        </is>
      </c>
      <c r="Q970" t="inlineStr">
        <is>
          <t>Monographs in population biology ; 38</t>
        </is>
      </c>
      <c r="R970" t="inlineStr">
        <is>
          <t xml:space="preserve">QH </t>
        </is>
      </c>
      <c r="S970" t="n">
        <v>1</v>
      </c>
      <c r="T970" t="n">
        <v>1</v>
      </c>
      <c r="U970" t="inlineStr">
        <is>
          <t>2003-10-08</t>
        </is>
      </c>
      <c r="V970" t="inlineStr">
        <is>
          <t>2003-10-08</t>
        </is>
      </c>
      <c r="W970" t="inlineStr">
        <is>
          <t>2003-10-08</t>
        </is>
      </c>
      <c r="X970" t="inlineStr">
        <is>
          <t>2003-10-08</t>
        </is>
      </c>
      <c r="Y970" t="n">
        <v>378</v>
      </c>
      <c r="Z970" t="n">
        <v>291</v>
      </c>
      <c r="AA970" t="n">
        <v>1138</v>
      </c>
      <c r="AB970" t="n">
        <v>4</v>
      </c>
      <c r="AC970" t="n">
        <v>15</v>
      </c>
      <c r="AD970" t="n">
        <v>11</v>
      </c>
      <c r="AE970" t="n">
        <v>39</v>
      </c>
      <c r="AF970" t="n">
        <v>4</v>
      </c>
      <c r="AG970" t="n">
        <v>13</v>
      </c>
      <c r="AH970" t="n">
        <v>2</v>
      </c>
      <c r="AI970" t="n">
        <v>7</v>
      </c>
      <c r="AJ970" t="n">
        <v>5</v>
      </c>
      <c r="AK970" t="n">
        <v>14</v>
      </c>
      <c r="AL970" t="n">
        <v>3</v>
      </c>
      <c r="AM970" t="n">
        <v>13</v>
      </c>
      <c r="AN970" t="n">
        <v>0</v>
      </c>
      <c r="AO970" t="n">
        <v>1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HYPERLINK("https://creighton-primo.hosted.exlibrisgroup.com/primo-explore/search?tab=default_tab&amp;search_scope=EVERYTHING&amp;vid=01CRU&amp;lang=en_US&amp;offset=0&amp;query=any,contains,991004154229702656","Catalog Record")</f>
        <v/>
      </c>
      <c r="AT970">
        <f>HYPERLINK("http://www.worldcat.org/oclc/50695176","WorldCat Record")</f>
        <v/>
      </c>
      <c r="AU970" t="inlineStr">
        <is>
          <t>4451920298:eng</t>
        </is>
      </c>
      <c r="AV970" t="inlineStr">
        <is>
          <t>50695176</t>
        </is>
      </c>
      <c r="AW970" t="inlineStr">
        <is>
          <t>991004154229702656</t>
        </is>
      </c>
      <c r="AX970" t="inlineStr">
        <is>
          <t>991004154229702656</t>
        </is>
      </c>
      <c r="AY970" t="inlineStr">
        <is>
          <t>2256630130002656</t>
        </is>
      </c>
      <c r="AZ970" t="inlineStr">
        <is>
          <t>BOOK</t>
        </is>
      </c>
      <c r="BB970" t="inlineStr">
        <is>
          <t>9780691086682</t>
        </is>
      </c>
      <c r="BC970" t="inlineStr">
        <is>
          <t>32285004787379</t>
        </is>
      </c>
      <c r="BD970" t="inlineStr">
        <is>
          <t>893599495</t>
        </is>
      </c>
    </row>
    <row r="971">
      <c r="A971" t="inlineStr">
        <is>
          <t>No</t>
        </is>
      </c>
      <c r="B971" t="inlineStr">
        <is>
          <t>QH455 .G46</t>
        </is>
      </c>
      <c r="C971" t="inlineStr">
        <is>
          <t>0                      QH 0455000G  46</t>
        </is>
      </c>
      <c r="D971" t="inlineStr">
        <is>
          <t>Genetic distance / compiled by James F. Crow and Carter Denniston.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New York : Plenum Press, [1974]</t>
        </is>
      </c>
      <c r="M971" t="inlineStr">
        <is>
          <t>1974</t>
        </is>
      </c>
      <c r="O971" t="inlineStr">
        <is>
          <t>eng</t>
        </is>
      </c>
      <c r="P971" t="inlineStr">
        <is>
          <t>nyu</t>
        </is>
      </c>
      <c r="R971" t="inlineStr">
        <is>
          <t xml:space="preserve">QH </t>
        </is>
      </c>
      <c r="S971" t="n">
        <v>1</v>
      </c>
      <c r="T971" t="n">
        <v>1</v>
      </c>
      <c r="U971" t="inlineStr">
        <is>
          <t>2000-11-02</t>
        </is>
      </c>
      <c r="V971" t="inlineStr">
        <is>
          <t>2000-11-02</t>
        </is>
      </c>
      <c r="W971" t="inlineStr">
        <is>
          <t>1997-07-02</t>
        </is>
      </c>
      <c r="X971" t="inlineStr">
        <is>
          <t>1997-07-02</t>
        </is>
      </c>
      <c r="Y971" t="n">
        <v>221</v>
      </c>
      <c r="Z971" t="n">
        <v>164</v>
      </c>
      <c r="AA971" t="n">
        <v>185</v>
      </c>
      <c r="AB971" t="n">
        <v>3</v>
      </c>
      <c r="AC971" t="n">
        <v>3</v>
      </c>
      <c r="AD971" t="n">
        <v>4</v>
      </c>
      <c r="AE971" t="n">
        <v>5</v>
      </c>
      <c r="AF971" t="n">
        <v>0</v>
      </c>
      <c r="AG971" t="n">
        <v>1</v>
      </c>
      <c r="AH971" t="n">
        <v>1</v>
      </c>
      <c r="AI971" t="n">
        <v>1</v>
      </c>
      <c r="AJ971" t="n">
        <v>1</v>
      </c>
      <c r="AK971" t="n">
        <v>2</v>
      </c>
      <c r="AL971" t="n">
        <v>2</v>
      </c>
      <c r="AM971" t="n">
        <v>2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HYPERLINK("http://catalog.hathitrust.org/Record/001496013","HathiTrust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HYPERLINK("https://creighton-primo.hosted.exlibrisgroup.com/primo-explore/search?tab=default_tab&amp;search_scope=EVERYTHING&amp;vid=01CRU&amp;lang=en_US&amp;offset=0&amp;query=any,contains,991003531059702656","Catalog Record")</f>
        <v/>
      </c>
      <c r="AT971">
        <f>HYPERLINK("http://www.worldcat.org/oclc/1093645","WorldCat Record")</f>
        <v/>
      </c>
      <c r="AU971" t="inlineStr">
        <is>
          <t>821655239:eng</t>
        </is>
      </c>
      <c r="AV971" t="inlineStr">
        <is>
          <t>1093645</t>
        </is>
      </c>
      <c r="AW971" t="inlineStr">
        <is>
          <t>991003531059702656</t>
        </is>
      </c>
      <c r="AX971" t="inlineStr">
        <is>
          <t>991003531059702656</t>
        </is>
      </c>
      <c r="AY971" t="inlineStr">
        <is>
          <t>2264792310002656</t>
        </is>
      </c>
      <c r="AZ971" t="inlineStr">
        <is>
          <t>BOOK</t>
        </is>
      </c>
      <c r="BB971" t="inlineStr">
        <is>
          <t>9780306308277</t>
        </is>
      </c>
      <c r="BC971" t="inlineStr">
        <is>
          <t>32285002911815</t>
        </is>
      </c>
      <c r="BD971" t="inlineStr">
        <is>
          <t>893416474</t>
        </is>
      </c>
    </row>
    <row r="972">
      <c r="A972" t="inlineStr">
        <is>
          <t>No</t>
        </is>
      </c>
      <c r="B972" t="inlineStr">
        <is>
          <t>QH455 .G565 1998</t>
        </is>
      </c>
      <c r="C972" t="inlineStr">
        <is>
          <t>0                      QH 0455000G  565         1998</t>
        </is>
      </c>
      <c r="D972" t="inlineStr">
        <is>
          <t>Population genetics : a concise guide / John H. Gillespie.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Gillespie, John H.</t>
        </is>
      </c>
      <c r="L972" t="inlineStr">
        <is>
          <t>Baltimore, Md : The Johns Hopkins University Press, c1998.</t>
        </is>
      </c>
      <c r="M972" t="inlineStr">
        <is>
          <t>1998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QH </t>
        </is>
      </c>
      <c r="S972" t="n">
        <v>9</v>
      </c>
      <c r="T972" t="n">
        <v>9</v>
      </c>
      <c r="U972" t="inlineStr">
        <is>
          <t>2002-08-26</t>
        </is>
      </c>
      <c r="V972" t="inlineStr">
        <is>
          <t>2002-08-26</t>
        </is>
      </c>
      <c r="W972" t="inlineStr">
        <is>
          <t>1998-03-24</t>
        </is>
      </c>
      <c r="X972" t="inlineStr">
        <is>
          <t>1998-03-24</t>
        </is>
      </c>
      <c r="Y972" t="n">
        <v>674</v>
      </c>
      <c r="Z972" t="n">
        <v>575</v>
      </c>
      <c r="AA972" t="n">
        <v>1162</v>
      </c>
      <c r="AB972" t="n">
        <v>4</v>
      </c>
      <c r="AC972" t="n">
        <v>6</v>
      </c>
      <c r="AD972" t="n">
        <v>22</v>
      </c>
      <c r="AE972" t="n">
        <v>30</v>
      </c>
      <c r="AF972" t="n">
        <v>7</v>
      </c>
      <c r="AG972" t="n">
        <v>11</v>
      </c>
      <c r="AH972" t="n">
        <v>5</v>
      </c>
      <c r="AI972" t="n">
        <v>6</v>
      </c>
      <c r="AJ972" t="n">
        <v>14</v>
      </c>
      <c r="AK972" t="n">
        <v>17</v>
      </c>
      <c r="AL972" t="n">
        <v>3</v>
      </c>
      <c r="AM972" t="n">
        <v>4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HYPERLINK("http://catalog.hathitrust.org/Record/003980150","HathiTrust Record")</f>
        <v/>
      </c>
      <c r="AS972">
        <f>HYPERLINK("https://creighton-primo.hosted.exlibrisgroup.com/primo-explore/search?tab=default_tab&amp;search_scope=EVERYTHING&amp;vid=01CRU&amp;lang=en_US&amp;offset=0&amp;query=any,contains,991002803039702656","Catalog Record")</f>
        <v/>
      </c>
      <c r="AT972">
        <f>HYPERLINK("http://www.worldcat.org/oclc/36817311","WorldCat Record")</f>
        <v/>
      </c>
      <c r="AU972" t="inlineStr">
        <is>
          <t>836949309:eng</t>
        </is>
      </c>
      <c r="AV972" t="inlineStr">
        <is>
          <t>36817311</t>
        </is>
      </c>
      <c r="AW972" t="inlineStr">
        <is>
          <t>991002803039702656</t>
        </is>
      </c>
      <c r="AX972" t="inlineStr">
        <is>
          <t>991002803039702656</t>
        </is>
      </c>
      <c r="AY972" t="inlineStr">
        <is>
          <t>2261938730002656</t>
        </is>
      </c>
      <c r="AZ972" t="inlineStr">
        <is>
          <t>BOOK</t>
        </is>
      </c>
      <c r="BB972" t="inlineStr">
        <is>
          <t>9780801857546</t>
        </is>
      </c>
      <c r="BC972" t="inlineStr">
        <is>
          <t>32285003359915</t>
        </is>
      </c>
      <c r="BD972" t="inlineStr">
        <is>
          <t>893428054</t>
        </is>
      </c>
    </row>
    <row r="973">
      <c r="A973" t="inlineStr">
        <is>
          <t>No</t>
        </is>
      </c>
      <c r="B973" t="inlineStr">
        <is>
          <t>QH455 .H37</t>
        </is>
      </c>
      <c r="C973" t="inlineStr">
        <is>
          <t>0                      QH 0455000H  37</t>
        </is>
      </c>
      <c r="D973" t="inlineStr">
        <is>
          <t>Principles of population genetics / Daniel L. Hartl.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Hartl, Daniel L.</t>
        </is>
      </c>
      <c r="L973" t="inlineStr">
        <is>
          <t>Sunderland, Mass. : Sinauer Associates, c1980.</t>
        </is>
      </c>
      <c r="M973" t="inlineStr">
        <is>
          <t>1980</t>
        </is>
      </c>
      <c r="O973" t="inlineStr">
        <is>
          <t>eng</t>
        </is>
      </c>
      <c r="P973" t="inlineStr">
        <is>
          <t>mau</t>
        </is>
      </c>
      <c r="R973" t="inlineStr">
        <is>
          <t xml:space="preserve">QH </t>
        </is>
      </c>
      <c r="S973" t="n">
        <v>7</v>
      </c>
      <c r="T973" t="n">
        <v>7</v>
      </c>
      <c r="U973" t="inlineStr">
        <is>
          <t>2002-11-20</t>
        </is>
      </c>
      <c r="V973" t="inlineStr">
        <is>
          <t>2002-11-20</t>
        </is>
      </c>
      <c r="W973" t="inlineStr">
        <is>
          <t>1992-09-03</t>
        </is>
      </c>
      <c r="X973" t="inlineStr">
        <is>
          <t>1992-09-03</t>
        </is>
      </c>
      <c r="Y973" t="n">
        <v>621</v>
      </c>
      <c r="Z973" t="n">
        <v>508</v>
      </c>
      <c r="AA973" t="n">
        <v>883</v>
      </c>
      <c r="AB973" t="n">
        <v>6</v>
      </c>
      <c r="AC973" t="n">
        <v>11</v>
      </c>
      <c r="AD973" t="n">
        <v>25</v>
      </c>
      <c r="AE973" t="n">
        <v>41</v>
      </c>
      <c r="AF973" t="n">
        <v>10</v>
      </c>
      <c r="AG973" t="n">
        <v>18</v>
      </c>
      <c r="AH973" t="n">
        <v>4</v>
      </c>
      <c r="AI973" t="n">
        <v>5</v>
      </c>
      <c r="AJ973" t="n">
        <v>11</v>
      </c>
      <c r="AK973" t="n">
        <v>16</v>
      </c>
      <c r="AL973" t="n">
        <v>5</v>
      </c>
      <c r="AM973" t="n">
        <v>9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HYPERLINK("http://catalog.hathitrust.org/Record/000720422","HathiTrust Record")</f>
        <v/>
      </c>
      <c r="AS973">
        <f>HYPERLINK("https://creighton-primo.hosted.exlibrisgroup.com/primo-explore/search?tab=default_tab&amp;search_scope=EVERYTHING&amp;vid=01CRU&amp;lang=en_US&amp;offset=0&amp;query=any,contains,991004897189702656","Catalog Record")</f>
        <v/>
      </c>
      <c r="AT973">
        <f>HYPERLINK("http://www.worldcat.org/oclc/5894514","WorldCat Record")</f>
        <v/>
      </c>
      <c r="AU973" t="inlineStr">
        <is>
          <t>644243:eng</t>
        </is>
      </c>
      <c r="AV973" t="inlineStr">
        <is>
          <t>5894514</t>
        </is>
      </c>
      <c r="AW973" t="inlineStr">
        <is>
          <t>991004897189702656</t>
        </is>
      </c>
      <c r="AX973" t="inlineStr">
        <is>
          <t>991004897189702656</t>
        </is>
      </c>
      <c r="AY973" t="inlineStr">
        <is>
          <t>2264362920002656</t>
        </is>
      </c>
      <c r="AZ973" t="inlineStr">
        <is>
          <t>BOOK</t>
        </is>
      </c>
      <c r="BB973" t="inlineStr">
        <is>
          <t>9780878932726</t>
        </is>
      </c>
      <c r="BC973" t="inlineStr">
        <is>
          <t>32285001279156</t>
        </is>
      </c>
      <c r="BD973" t="inlineStr">
        <is>
          <t>893612881</t>
        </is>
      </c>
    </row>
    <row r="974">
      <c r="A974" t="inlineStr">
        <is>
          <t>No</t>
        </is>
      </c>
      <c r="B974" t="inlineStr">
        <is>
          <t>QH455 .H43 1985</t>
        </is>
      </c>
      <c r="C974" t="inlineStr">
        <is>
          <t>0                      QH 0455000H  43          1985</t>
        </is>
      </c>
      <c r="D974" t="inlineStr">
        <is>
          <t>Genetics of populations / Philip W. Hedrick.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Hedrick, Philip W., 1942-</t>
        </is>
      </c>
      <c r="L974" t="inlineStr">
        <is>
          <t>Boston : Jones and Bartlett, c1985.</t>
        </is>
      </c>
      <c r="M974" t="inlineStr">
        <is>
          <t>1985</t>
        </is>
      </c>
      <c r="O974" t="inlineStr">
        <is>
          <t>eng</t>
        </is>
      </c>
      <c r="P974" t="inlineStr">
        <is>
          <t>mau</t>
        </is>
      </c>
      <c r="Q974" t="inlineStr">
        <is>
          <t>A series of books in biology</t>
        </is>
      </c>
      <c r="R974" t="inlineStr">
        <is>
          <t xml:space="preserve">QH </t>
        </is>
      </c>
      <c r="S974" t="n">
        <v>16</v>
      </c>
      <c r="T974" t="n">
        <v>16</v>
      </c>
      <c r="U974" t="inlineStr">
        <is>
          <t>2006-09-18</t>
        </is>
      </c>
      <c r="V974" t="inlineStr">
        <is>
          <t>2006-09-18</t>
        </is>
      </c>
      <c r="W974" t="inlineStr">
        <is>
          <t>1992-09-03</t>
        </is>
      </c>
      <c r="X974" t="inlineStr">
        <is>
          <t>1992-09-03</t>
        </is>
      </c>
      <c r="Y974" t="n">
        <v>100</v>
      </c>
      <c r="Z974" t="n">
        <v>67</v>
      </c>
      <c r="AA974" t="n">
        <v>438</v>
      </c>
      <c r="AB974" t="n">
        <v>2</v>
      </c>
      <c r="AC974" t="n">
        <v>7</v>
      </c>
      <c r="AD974" t="n">
        <v>3</v>
      </c>
      <c r="AE974" t="n">
        <v>18</v>
      </c>
      <c r="AF974" t="n">
        <v>1</v>
      </c>
      <c r="AG974" t="n">
        <v>3</v>
      </c>
      <c r="AH974" t="n">
        <v>1</v>
      </c>
      <c r="AI974" t="n">
        <v>6</v>
      </c>
      <c r="AJ974" t="n">
        <v>0</v>
      </c>
      <c r="AK974" t="n">
        <v>7</v>
      </c>
      <c r="AL974" t="n">
        <v>1</v>
      </c>
      <c r="AM974" t="n">
        <v>6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HYPERLINK("http://catalog.hathitrust.org/Record/002172487","HathiTrust Record")</f>
        <v/>
      </c>
      <c r="AS974">
        <f>HYPERLINK("https://creighton-primo.hosted.exlibrisgroup.com/primo-explore/search?tab=default_tab&amp;search_scope=EVERYTHING&amp;vid=01CRU&amp;lang=en_US&amp;offset=0&amp;query=any,contains,991000608779702656","Catalog Record")</f>
        <v/>
      </c>
      <c r="AT974">
        <f>HYPERLINK("http://www.worldcat.org/oclc/11880797","WorldCat Record")</f>
        <v/>
      </c>
      <c r="AU974" t="inlineStr">
        <is>
          <t>4587477:eng</t>
        </is>
      </c>
      <c r="AV974" t="inlineStr">
        <is>
          <t>11880797</t>
        </is>
      </c>
      <c r="AW974" t="inlineStr">
        <is>
          <t>991000608779702656</t>
        </is>
      </c>
      <c r="AX974" t="inlineStr">
        <is>
          <t>991000608779702656</t>
        </is>
      </c>
      <c r="AY974" t="inlineStr">
        <is>
          <t>2267480390002656</t>
        </is>
      </c>
      <c r="AZ974" t="inlineStr">
        <is>
          <t>BOOK</t>
        </is>
      </c>
      <c r="BB974" t="inlineStr">
        <is>
          <t>9780867200119</t>
        </is>
      </c>
      <c r="BC974" t="inlineStr">
        <is>
          <t>32285001279149</t>
        </is>
      </c>
      <c r="BD974" t="inlineStr">
        <is>
          <t>893432110</t>
        </is>
      </c>
    </row>
    <row r="975">
      <c r="A975" t="inlineStr">
        <is>
          <t>No</t>
        </is>
      </c>
      <c r="B975" t="inlineStr">
        <is>
          <t>QH455 .H64 1991</t>
        </is>
      </c>
      <c r="C975" t="inlineStr">
        <is>
          <t>0                      QH 0455000H  64          1991</t>
        </is>
      </c>
      <c r="D975" t="inlineStr">
        <is>
          <t>Molecular genetic ecology / A. Rus Hoelzel, Gabriel A. Dover.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Hoelzel, A. Rus.</t>
        </is>
      </c>
      <c r="L975" t="inlineStr">
        <is>
          <t>Oxford, OX ; New York : IRL Press at Oxford University Press, c1991.</t>
        </is>
      </c>
      <c r="M975" t="inlineStr">
        <is>
          <t>1991</t>
        </is>
      </c>
      <c r="O975" t="inlineStr">
        <is>
          <t>eng</t>
        </is>
      </c>
      <c r="P975" t="inlineStr">
        <is>
          <t>enk</t>
        </is>
      </c>
      <c r="Q975" t="inlineStr">
        <is>
          <t>In focus</t>
        </is>
      </c>
      <c r="R975" t="inlineStr">
        <is>
          <t xml:space="preserve">QH </t>
        </is>
      </c>
      <c r="S975" t="n">
        <v>2</v>
      </c>
      <c r="T975" t="n">
        <v>2</v>
      </c>
      <c r="U975" t="inlineStr">
        <is>
          <t>1996-09-20</t>
        </is>
      </c>
      <c r="V975" t="inlineStr">
        <is>
          <t>1996-09-20</t>
        </is>
      </c>
      <c r="W975" t="inlineStr">
        <is>
          <t>1992-06-18</t>
        </is>
      </c>
      <c r="X975" t="inlineStr">
        <is>
          <t>1992-06-18</t>
        </is>
      </c>
      <c r="Y975" t="n">
        <v>326</v>
      </c>
      <c r="Z975" t="n">
        <v>216</v>
      </c>
      <c r="AA975" t="n">
        <v>223</v>
      </c>
      <c r="AB975" t="n">
        <v>2</v>
      </c>
      <c r="AC975" t="n">
        <v>2</v>
      </c>
      <c r="AD975" t="n">
        <v>11</v>
      </c>
      <c r="AE975" t="n">
        <v>11</v>
      </c>
      <c r="AF975" t="n">
        <v>5</v>
      </c>
      <c r="AG975" t="n">
        <v>5</v>
      </c>
      <c r="AH975" t="n">
        <v>2</v>
      </c>
      <c r="AI975" t="n">
        <v>2</v>
      </c>
      <c r="AJ975" t="n">
        <v>7</v>
      </c>
      <c r="AK975" t="n">
        <v>7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HYPERLINK("http://catalog.hathitrust.org/Record/002908080","HathiTrust Record")</f>
        <v/>
      </c>
      <c r="AS975">
        <f>HYPERLINK("https://creighton-primo.hosted.exlibrisgroup.com/primo-explore/search?tab=default_tab&amp;search_scope=EVERYTHING&amp;vid=01CRU&amp;lang=en_US&amp;offset=0&amp;query=any,contains,991001898349702656","Catalog Record")</f>
        <v/>
      </c>
      <c r="AT975">
        <f>HYPERLINK("http://www.worldcat.org/oclc/23975284","WorldCat Record")</f>
        <v/>
      </c>
      <c r="AU975" t="inlineStr">
        <is>
          <t>25270035:eng</t>
        </is>
      </c>
      <c r="AV975" t="inlineStr">
        <is>
          <t>23975284</t>
        </is>
      </c>
      <c r="AW975" t="inlineStr">
        <is>
          <t>991001898349702656</t>
        </is>
      </c>
      <c r="AX975" t="inlineStr">
        <is>
          <t>991001898349702656</t>
        </is>
      </c>
      <c r="AY975" t="inlineStr">
        <is>
          <t>2270612580002656</t>
        </is>
      </c>
      <c r="AZ975" t="inlineStr">
        <is>
          <t>BOOK</t>
        </is>
      </c>
      <c r="BB975" t="inlineStr">
        <is>
          <t>9780199632657</t>
        </is>
      </c>
      <c r="BC975" t="inlineStr">
        <is>
          <t>32285001129666</t>
        </is>
      </c>
      <c r="BD975" t="inlineStr">
        <is>
          <t>893898149</t>
        </is>
      </c>
    </row>
    <row r="976">
      <c r="A976" t="inlineStr">
        <is>
          <t>No</t>
        </is>
      </c>
      <c r="B976" t="inlineStr">
        <is>
          <t>QH455 .L48</t>
        </is>
      </c>
      <c r="C976" t="inlineStr">
        <is>
          <t>0                      QH 0455000L  48</t>
        </is>
      </c>
      <c r="D976" t="inlineStr">
        <is>
          <t>The genetic basis of evolutionary change [by] R. C. Lewontin.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Lewontin, Richard C., 1929-</t>
        </is>
      </c>
      <c r="L976" t="inlineStr">
        <is>
          <t>New York, Columbia University Press, 1974.</t>
        </is>
      </c>
      <c r="M976" t="inlineStr">
        <is>
          <t>1974</t>
        </is>
      </c>
      <c r="O976" t="inlineStr">
        <is>
          <t>eng</t>
        </is>
      </c>
      <c r="P976" t="inlineStr">
        <is>
          <t>nyu</t>
        </is>
      </c>
      <c r="Q976" t="inlineStr">
        <is>
          <t>Columbia biological series ; no. 25</t>
        </is>
      </c>
      <c r="R976" t="inlineStr">
        <is>
          <t xml:space="preserve">QH </t>
        </is>
      </c>
      <c r="S976" t="n">
        <v>1</v>
      </c>
      <c r="T976" t="n">
        <v>1</v>
      </c>
      <c r="U976" t="inlineStr">
        <is>
          <t>2004-02-17</t>
        </is>
      </c>
      <c r="V976" t="inlineStr">
        <is>
          <t>2004-02-17</t>
        </is>
      </c>
      <c r="W976" t="inlineStr">
        <is>
          <t>1997-07-02</t>
        </is>
      </c>
      <c r="X976" t="inlineStr">
        <is>
          <t>1997-07-02</t>
        </is>
      </c>
      <c r="Y976" t="n">
        <v>856</v>
      </c>
      <c r="Z976" t="n">
        <v>660</v>
      </c>
      <c r="AA976" t="n">
        <v>672</v>
      </c>
      <c r="AB976" t="n">
        <v>8</v>
      </c>
      <c r="AC976" t="n">
        <v>8</v>
      </c>
      <c r="AD976" t="n">
        <v>28</v>
      </c>
      <c r="AE976" t="n">
        <v>28</v>
      </c>
      <c r="AF976" t="n">
        <v>9</v>
      </c>
      <c r="AG976" t="n">
        <v>9</v>
      </c>
      <c r="AH976" t="n">
        <v>6</v>
      </c>
      <c r="AI976" t="n">
        <v>6</v>
      </c>
      <c r="AJ976" t="n">
        <v>13</v>
      </c>
      <c r="AK976" t="n">
        <v>13</v>
      </c>
      <c r="AL976" t="n">
        <v>7</v>
      </c>
      <c r="AM976" t="n">
        <v>7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HYPERLINK("http://catalog.hathitrust.org/Record/000010964","HathiTrust Record")</f>
        <v/>
      </c>
      <c r="AS976">
        <f>HYPERLINK("https://creighton-primo.hosted.exlibrisgroup.com/primo-explore/search?tab=default_tab&amp;search_scope=EVERYTHING&amp;vid=01CRU&amp;lang=en_US&amp;offset=0&amp;query=any,contains,991003224879702656","Catalog Record")</f>
        <v/>
      </c>
      <c r="AT976">
        <f>HYPERLINK("http://www.worldcat.org/oclc/749819","WorldCat Record")</f>
        <v/>
      </c>
      <c r="AU976" t="inlineStr">
        <is>
          <t>420563:eng</t>
        </is>
      </c>
      <c r="AV976" t="inlineStr">
        <is>
          <t>749819</t>
        </is>
      </c>
      <c r="AW976" t="inlineStr">
        <is>
          <t>991003224879702656</t>
        </is>
      </c>
      <c r="AX976" t="inlineStr">
        <is>
          <t>991003224879702656</t>
        </is>
      </c>
      <c r="AY976" t="inlineStr">
        <is>
          <t>2255319670002656</t>
        </is>
      </c>
      <c r="AZ976" t="inlineStr">
        <is>
          <t>BOOK</t>
        </is>
      </c>
      <c r="BB976" t="inlineStr">
        <is>
          <t>9780231033923</t>
        </is>
      </c>
      <c r="BC976" t="inlineStr">
        <is>
          <t>32285002911823</t>
        </is>
      </c>
      <c r="BD976" t="inlineStr">
        <is>
          <t>893721843</t>
        </is>
      </c>
    </row>
    <row r="977">
      <c r="A977" t="inlineStr">
        <is>
          <t>No</t>
        </is>
      </c>
      <c r="B977" t="inlineStr">
        <is>
          <t>QH455 .L5 1976</t>
        </is>
      </c>
      <c r="C977" t="inlineStr">
        <is>
          <t>0                      QH 0455000L  5           1976</t>
        </is>
      </c>
      <c r="D977" t="inlineStr">
        <is>
          <t>First course in population genetics / Ching Chun Li.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Li, Ching Chun, 1912-</t>
        </is>
      </c>
      <c r="L977" t="inlineStr">
        <is>
          <t>Pacific Grove, Calif. : Boxwood Press, c1976.</t>
        </is>
      </c>
      <c r="M977" t="inlineStr">
        <is>
          <t>1976</t>
        </is>
      </c>
      <c r="O977" t="inlineStr">
        <is>
          <t>eng</t>
        </is>
      </c>
      <c r="P977" t="inlineStr">
        <is>
          <t>cau</t>
        </is>
      </c>
      <c r="R977" t="inlineStr">
        <is>
          <t xml:space="preserve">QH </t>
        </is>
      </c>
      <c r="S977" t="n">
        <v>11</v>
      </c>
      <c r="T977" t="n">
        <v>11</v>
      </c>
      <c r="U977" t="inlineStr">
        <is>
          <t>2001-08-16</t>
        </is>
      </c>
      <c r="V977" t="inlineStr">
        <is>
          <t>2001-08-16</t>
        </is>
      </c>
      <c r="W977" t="inlineStr">
        <is>
          <t>1997-07-02</t>
        </is>
      </c>
      <c r="X977" t="inlineStr">
        <is>
          <t>1997-07-02</t>
        </is>
      </c>
      <c r="Y977" t="n">
        <v>180</v>
      </c>
      <c r="Z977" t="n">
        <v>138</v>
      </c>
      <c r="AA977" t="n">
        <v>141</v>
      </c>
      <c r="AB977" t="n">
        <v>3</v>
      </c>
      <c r="AC977" t="n">
        <v>3</v>
      </c>
      <c r="AD977" t="n">
        <v>4</v>
      </c>
      <c r="AE977" t="n">
        <v>4</v>
      </c>
      <c r="AF977" t="n">
        <v>0</v>
      </c>
      <c r="AG977" t="n">
        <v>0</v>
      </c>
      <c r="AH977" t="n">
        <v>0</v>
      </c>
      <c r="AI977" t="n">
        <v>0</v>
      </c>
      <c r="AJ977" t="n">
        <v>2</v>
      </c>
      <c r="AK977" t="n">
        <v>2</v>
      </c>
      <c r="AL977" t="n">
        <v>2</v>
      </c>
      <c r="AM977" t="n">
        <v>2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HYPERLINK("http://catalog.hathitrust.org/Record/000695297","HathiTrust Record")</f>
        <v/>
      </c>
      <c r="AS977">
        <f>HYPERLINK("https://creighton-primo.hosted.exlibrisgroup.com/primo-explore/search?tab=default_tab&amp;search_scope=EVERYTHING&amp;vid=01CRU&amp;lang=en_US&amp;offset=0&amp;query=any,contains,991003915839702656","Catalog Record")</f>
        <v/>
      </c>
      <c r="AT977">
        <f>HYPERLINK("http://www.worldcat.org/oclc/1859779","WorldCat Record")</f>
        <v/>
      </c>
      <c r="AU977" t="inlineStr">
        <is>
          <t>556313:eng</t>
        </is>
      </c>
      <c r="AV977" t="inlineStr">
        <is>
          <t>1859779</t>
        </is>
      </c>
      <c r="AW977" t="inlineStr">
        <is>
          <t>991003915839702656</t>
        </is>
      </c>
      <c r="AX977" t="inlineStr">
        <is>
          <t>991003915839702656</t>
        </is>
      </c>
      <c r="AY977" t="inlineStr">
        <is>
          <t>2266531990002656</t>
        </is>
      </c>
      <c r="AZ977" t="inlineStr">
        <is>
          <t>BOOK</t>
        </is>
      </c>
      <c r="BB977" t="inlineStr">
        <is>
          <t>9780910286435</t>
        </is>
      </c>
      <c r="BC977" t="inlineStr">
        <is>
          <t>32285002911831</t>
        </is>
      </c>
      <c r="BD977" t="inlineStr">
        <is>
          <t>893349384</t>
        </is>
      </c>
    </row>
    <row r="978">
      <c r="A978" t="inlineStr">
        <is>
          <t>No</t>
        </is>
      </c>
      <c r="B978" t="inlineStr">
        <is>
          <t>QH455 .N44</t>
        </is>
      </c>
      <c r="C978" t="inlineStr">
        <is>
          <t>0                      QH 0455000N  44</t>
        </is>
      </c>
      <c r="D978" t="inlineStr">
        <is>
          <t>Molecular population genetics and evolution / Masatoshi Nei.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Nei, Masatoshi.</t>
        </is>
      </c>
      <c r="L978" t="inlineStr">
        <is>
          <t>Amsterdam : North-Holland Pub. Co. ; New York : American Elsevier Pub. Co., 1975.</t>
        </is>
      </c>
      <c r="M978" t="inlineStr">
        <is>
          <t>1975</t>
        </is>
      </c>
      <c r="O978" t="inlineStr">
        <is>
          <t>eng</t>
        </is>
      </c>
      <c r="P978" t="inlineStr">
        <is>
          <t xml:space="preserve">ne </t>
        </is>
      </c>
      <c r="Q978" t="inlineStr">
        <is>
          <t>Frontiers of biology ; v. 40</t>
        </is>
      </c>
      <c r="R978" t="inlineStr">
        <is>
          <t xml:space="preserve">QH </t>
        </is>
      </c>
      <c r="S978" t="n">
        <v>5</v>
      </c>
      <c r="T978" t="n">
        <v>5</v>
      </c>
      <c r="U978" t="inlineStr">
        <is>
          <t>1998-10-20</t>
        </is>
      </c>
      <c r="V978" t="inlineStr">
        <is>
          <t>1998-10-20</t>
        </is>
      </c>
      <c r="W978" t="inlineStr">
        <is>
          <t>1994-02-23</t>
        </is>
      </c>
      <c r="X978" t="inlineStr">
        <is>
          <t>1994-02-23</t>
        </is>
      </c>
      <c r="Y978" t="n">
        <v>378</v>
      </c>
      <c r="Z978" t="n">
        <v>253</v>
      </c>
      <c r="AA978" t="n">
        <v>260</v>
      </c>
      <c r="AB978" t="n">
        <v>2</v>
      </c>
      <c r="AC978" t="n">
        <v>2</v>
      </c>
      <c r="AD978" t="n">
        <v>9</v>
      </c>
      <c r="AE978" t="n">
        <v>9</v>
      </c>
      <c r="AF978" t="n">
        <v>1</v>
      </c>
      <c r="AG978" t="n">
        <v>1</v>
      </c>
      <c r="AH978" t="n">
        <v>2</v>
      </c>
      <c r="AI978" t="n">
        <v>2</v>
      </c>
      <c r="AJ978" t="n">
        <v>6</v>
      </c>
      <c r="AK978" t="n">
        <v>6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HYPERLINK("http://catalog.hathitrust.org/Record/000040359","HathiTrust Record")</f>
        <v/>
      </c>
      <c r="AS978">
        <f>HYPERLINK("https://creighton-primo.hosted.exlibrisgroup.com/primo-explore/search?tab=default_tab&amp;search_scope=EVERYTHING&amp;vid=01CRU&amp;lang=en_US&amp;offset=0&amp;query=any,contains,991003836209702656","Catalog Record")</f>
        <v/>
      </c>
      <c r="AT978">
        <f>HYPERLINK("http://www.worldcat.org/oclc/1601892","WorldCat Record")</f>
        <v/>
      </c>
      <c r="AU978" t="inlineStr">
        <is>
          <t>2382920:eng</t>
        </is>
      </c>
      <c r="AV978" t="inlineStr">
        <is>
          <t>1601892</t>
        </is>
      </c>
      <c r="AW978" t="inlineStr">
        <is>
          <t>991003836209702656</t>
        </is>
      </c>
      <c r="AX978" t="inlineStr">
        <is>
          <t>991003836209702656</t>
        </is>
      </c>
      <c r="AY978" t="inlineStr">
        <is>
          <t>2266548130002656</t>
        </is>
      </c>
      <c r="AZ978" t="inlineStr">
        <is>
          <t>BOOK</t>
        </is>
      </c>
      <c r="BB978" t="inlineStr">
        <is>
          <t>9780444107510</t>
        </is>
      </c>
      <c r="BC978" t="inlineStr">
        <is>
          <t>32285001839496</t>
        </is>
      </c>
      <c r="BD978" t="inlineStr">
        <is>
          <t>893234652</t>
        </is>
      </c>
    </row>
    <row r="979">
      <c r="A979" t="inlineStr">
        <is>
          <t>No</t>
        </is>
      </c>
      <c r="B979" t="inlineStr">
        <is>
          <t>QH455 .S48 1979</t>
        </is>
      </c>
      <c r="C979" t="inlineStr">
        <is>
          <t>0                      QH 0455000S  48          1979</t>
        </is>
      </c>
      <c r="D979" t="inlineStr">
        <is>
          <t>The genesis of diversity / Bryan Shorrocks.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Shorrocks, Bryan, 1943-</t>
        </is>
      </c>
      <c r="L979" t="inlineStr">
        <is>
          <t>Baltimore : University Park Press, c1979.</t>
        </is>
      </c>
      <c r="M979" t="inlineStr">
        <is>
          <t>1979</t>
        </is>
      </c>
      <c r="O979" t="inlineStr">
        <is>
          <t>eng</t>
        </is>
      </c>
      <c r="P979" t="inlineStr">
        <is>
          <t>mdu</t>
        </is>
      </c>
      <c r="R979" t="inlineStr">
        <is>
          <t xml:space="preserve">QH </t>
        </is>
      </c>
      <c r="S979" t="n">
        <v>3</v>
      </c>
      <c r="T979" t="n">
        <v>3</v>
      </c>
      <c r="U979" t="inlineStr">
        <is>
          <t>1994-09-27</t>
        </is>
      </c>
      <c r="V979" t="inlineStr">
        <is>
          <t>1994-09-27</t>
        </is>
      </c>
      <c r="W979" t="inlineStr">
        <is>
          <t>1993-04-12</t>
        </is>
      </c>
      <c r="X979" t="inlineStr">
        <is>
          <t>1993-04-12</t>
        </is>
      </c>
      <c r="Y979" t="n">
        <v>175</v>
      </c>
      <c r="Z979" t="n">
        <v>160</v>
      </c>
      <c r="AA979" t="n">
        <v>283</v>
      </c>
      <c r="AB979" t="n">
        <v>2</v>
      </c>
      <c r="AC979" t="n">
        <v>5</v>
      </c>
      <c r="AD979" t="n">
        <v>6</v>
      </c>
      <c r="AE979" t="n">
        <v>15</v>
      </c>
      <c r="AF979" t="n">
        <v>3</v>
      </c>
      <c r="AG979" t="n">
        <v>6</v>
      </c>
      <c r="AH979" t="n">
        <v>0</v>
      </c>
      <c r="AI979" t="n">
        <v>2</v>
      </c>
      <c r="AJ979" t="n">
        <v>3</v>
      </c>
      <c r="AK979" t="n">
        <v>6</v>
      </c>
      <c r="AL979" t="n">
        <v>1</v>
      </c>
      <c r="AM979" t="n">
        <v>4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HYPERLINK("https://creighton-primo.hosted.exlibrisgroup.com/primo-explore/search?tab=default_tab&amp;search_scope=EVERYTHING&amp;vid=01CRU&amp;lang=en_US&amp;offset=0&amp;query=any,contains,991004670649702656","Catalog Record")</f>
        <v/>
      </c>
      <c r="AT979">
        <f>HYPERLINK("http://www.worldcat.org/oclc/4515415","WorldCat Record")</f>
        <v/>
      </c>
      <c r="AU979" t="inlineStr">
        <is>
          <t>14830108:eng</t>
        </is>
      </c>
      <c r="AV979" t="inlineStr">
        <is>
          <t>4515415</t>
        </is>
      </c>
      <c r="AW979" t="inlineStr">
        <is>
          <t>991004670649702656</t>
        </is>
      </c>
      <c r="AX979" t="inlineStr">
        <is>
          <t>991004670649702656</t>
        </is>
      </c>
      <c r="AY979" t="inlineStr">
        <is>
          <t>2265625160002656</t>
        </is>
      </c>
      <c r="AZ979" t="inlineStr">
        <is>
          <t>BOOK</t>
        </is>
      </c>
      <c r="BB979" t="inlineStr">
        <is>
          <t>9780839113911</t>
        </is>
      </c>
      <c r="BC979" t="inlineStr">
        <is>
          <t>32285001640480</t>
        </is>
      </c>
      <c r="BD979" t="inlineStr">
        <is>
          <t>893882773</t>
        </is>
      </c>
    </row>
    <row r="980">
      <c r="A980" t="inlineStr">
        <is>
          <t>No</t>
        </is>
      </c>
      <c r="B980" t="inlineStr">
        <is>
          <t>QH455 .S6779 1989</t>
        </is>
      </c>
      <c r="C980" t="inlineStr">
        <is>
          <t>0                      QH 0455000S  6779        1989</t>
        </is>
      </c>
      <c r="D980" t="inlineStr">
        <is>
          <t>Genes in populations / Eliot B. Spiess.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Spiess, Eliot B.</t>
        </is>
      </c>
      <c r="L980" t="inlineStr">
        <is>
          <t>New York : Wiley, c1989.</t>
        </is>
      </c>
      <c r="M980" t="inlineStr">
        <is>
          <t>1989</t>
        </is>
      </c>
      <c r="N980" t="inlineStr">
        <is>
          <t>2nd ed.</t>
        </is>
      </c>
      <c r="O980" t="inlineStr">
        <is>
          <t>eng</t>
        </is>
      </c>
      <c r="P980" t="inlineStr">
        <is>
          <t>nyu</t>
        </is>
      </c>
      <c r="R980" t="inlineStr">
        <is>
          <t xml:space="preserve">QH </t>
        </is>
      </c>
      <c r="S980" t="n">
        <v>4</v>
      </c>
      <c r="T980" t="n">
        <v>4</v>
      </c>
      <c r="U980" t="inlineStr">
        <is>
          <t>2002-08-26</t>
        </is>
      </c>
      <c r="V980" t="inlineStr">
        <is>
          <t>2002-08-26</t>
        </is>
      </c>
      <c r="W980" t="inlineStr">
        <is>
          <t>1991-05-16</t>
        </is>
      </c>
      <c r="X980" t="inlineStr">
        <is>
          <t>1991-05-16</t>
        </is>
      </c>
      <c r="Y980" t="n">
        <v>348</v>
      </c>
      <c r="Z980" t="n">
        <v>247</v>
      </c>
      <c r="AA980" t="n">
        <v>494</v>
      </c>
      <c r="AB980" t="n">
        <v>3</v>
      </c>
      <c r="AC980" t="n">
        <v>4</v>
      </c>
      <c r="AD980" t="n">
        <v>10</v>
      </c>
      <c r="AE980" t="n">
        <v>15</v>
      </c>
      <c r="AF980" t="n">
        <v>4</v>
      </c>
      <c r="AG980" t="n">
        <v>5</v>
      </c>
      <c r="AH980" t="n">
        <v>1</v>
      </c>
      <c r="AI980" t="n">
        <v>3</v>
      </c>
      <c r="AJ980" t="n">
        <v>4</v>
      </c>
      <c r="AK980" t="n">
        <v>6</v>
      </c>
      <c r="AL980" t="n">
        <v>2</v>
      </c>
      <c r="AM980" t="n">
        <v>3</v>
      </c>
      <c r="AN980" t="n">
        <v>1</v>
      </c>
      <c r="AO980" t="n">
        <v>1</v>
      </c>
      <c r="AP980" t="inlineStr">
        <is>
          <t>No</t>
        </is>
      </c>
      <c r="AQ980" t="inlineStr">
        <is>
          <t>Yes</t>
        </is>
      </c>
      <c r="AR980">
        <f>HYPERLINK("http://catalog.hathitrust.org/Record/002168710","HathiTrust Record")</f>
        <v/>
      </c>
      <c r="AS980">
        <f>HYPERLINK("https://creighton-primo.hosted.exlibrisgroup.com/primo-explore/search?tab=default_tab&amp;search_scope=EVERYTHING&amp;vid=01CRU&amp;lang=en_US&amp;offset=0&amp;query=any,contains,991001438749702656","Catalog Record")</f>
        <v/>
      </c>
      <c r="AT980">
        <f>HYPERLINK("http://www.worldcat.org/oclc/19221111","WorldCat Record")</f>
        <v/>
      </c>
      <c r="AU980" t="inlineStr">
        <is>
          <t>6416946:eng</t>
        </is>
      </c>
      <c r="AV980" t="inlineStr">
        <is>
          <t>19221111</t>
        </is>
      </c>
      <c r="AW980" t="inlineStr">
        <is>
          <t>991001438749702656</t>
        </is>
      </c>
      <c r="AX980" t="inlineStr">
        <is>
          <t>991001438749702656</t>
        </is>
      </c>
      <c r="AY980" t="inlineStr">
        <is>
          <t>2257515670002656</t>
        </is>
      </c>
      <c r="AZ980" t="inlineStr">
        <is>
          <t>BOOK</t>
        </is>
      </c>
      <c r="BB980" t="inlineStr">
        <is>
          <t>9780471849735</t>
        </is>
      </c>
      <c r="BC980" t="inlineStr">
        <is>
          <t>32285000573765</t>
        </is>
      </c>
      <c r="BD980" t="inlineStr">
        <is>
          <t>893878886</t>
        </is>
      </c>
    </row>
    <row r="981">
      <c r="A981" t="inlineStr">
        <is>
          <t>No</t>
        </is>
      </c>
      <c r="B981" t="inlineStr">
        <is>
          <t>QH455 .S76</t>
        </is>
      </c>
      <c r="C981" t="inlineStr">
        <is>
          <t>0                      QH 0455000S  76</t>
        </is>
      </c>
      <c r="D981" t="inlineStr">
        <is>
          <t>Stochastic models in population genetics / edited by Wen-Hsiung Li. --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L981" t="inlineStr">
        <is>
          <t>Stroudsburg, Pa. : Dowden, Hutchinson &amp; Ross ; [New York] : Distributed by Academic Press, c1977.</t>
        </is>
      </c>
      <c r="M981" t="inlineStr">
        <is>
          <t>1977</t>
        </is>
      </c>
      <c r="O981" t="inlineStr">
        <is>
          <t>eng</t>
        </is>
      </c>
      <c r="P981" t="inlineStr">
        <is>
          <t>pau</t>
        </is>
      </c>
      <c r="Q981" t="inlineStr">
        <is>
          <t>Benchmark papers in genetics ; 7</t>
        </is>
      </c>
      <c r="R981" t="inlineStr">
        <is>
          <t xml:space="preserve">QH </t>
        </is>
      </c>
      <c r="S981" t="n">
        <v>2</v>
      </c>
      <c r="T981" t="n">
        <v>2</v>
      </c>
      <c r="U981" t="inlineStr">
        <is>
          <t>2010-04-15</t>
        </is>
      </c>
      <c r="V981" t="inlineStr">
        <is>
          <t>2010-04-15</t>
        </is>
      </c>
      <c r="W981" t="inlineStr">
        <is>
          <t>1993-04-12</t>
        </is>
      </c>
      <c r="X981" t="inlineStr">
        <is>
          <t>1993-04-12</t>
        </is>
      </c>
      <c r="Y981" t="n">
        <v>298</v>
      </c>
      <c r="Z981" t="n">
        <v>201</v>
      </c>
      <c r="AA981" t="n">
        <v>202</v>
      </c>
      <c r="AB981" t="n">
        <v>2</v>
      </c>
      <c r="AC981" t="n">
        <v>2</v>
      </c>
      <c r="AD981" t="n">
        <v>4</v>
      </c>
      <c r="AE981" t="n">
        <v>4</v>
      </c>
      <c r="AF981" t="n">
        <v>1</v>
      </c>
      <c r="AG981" t="n">
        <v>1</v>
      </c>
      <c r="AH981" t="n">
        <v>0</v>
      </c>
      <c r="AI981" t="n">
        <v>0</v>
      </c>
      <c r="AJ981" t="n">
        <v>2</v>
      </c>
      <c r="AK981" t="n">
        <v>2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HYPERLINK("http://catalog.hathitrust.org/Record/006211299","HathiTrust Record")</f>
        <v/>
      </c>
      <c r="AS981">
        <f>HYPERLINK("https://creighton-primo.hosted.exlibrisgroup.com/primo-explore/search?tab=default_tab&amp;search_scope=EVERYTHING&amp;vid=01CRU&amp;lang=en_US&amp;offset=0&amp;query=any,contains,991004293839702656","Catalog Record")</f>
        <v/>
      </c>
      <c r="AT981">
        <f>HYPERLINK("http://www.worldcat.org/oclc/2957824","WorldCat Record")</f>
        <v/>
      </c>
      <c r="AU981" t="inlineStr">
        <is>
          <t>180716679:eng</t>
        </is>
      </c>
      <c r="AV981" t="inlineStr">
        <is>
          <t>2957824</t>
        </is>
      </c>
      <c r="AW981" t="inlineStr">
        <is>
          <t>991004293839702656</t>
        </is>
      </c>
      <c r="AX981" t="inlineStr">
        <is>
          <t>991004293839702656</t>
        </is>
      </c>
      <c r="AY981" t="inlineStr">
        <is>
          <t>2267955840002656</t>
        </is>
      </c>
      <c r="AZ981" t="inlineStr">
        <is>
          <t>BOOK</t>
        </is>
      </c>
      <c r="BB981" t="inlineStr">
        <is>
          <t>9780879332600</t>
        </is>
      </c>
      <c r="BC981" t="inlineStr">
        <is>
          <t>32285001640498</t>
        </is>
      </c>
      <c r="BD981" t="inlineStr">
        <is>
          <t>893806885</t>
        </is>
      </c>
    </row>
    <row r="982">
      <c r="A982" t="inlineStr">
        <is>
          <t>No</t>
        </is>
      </c>
      <c r="B982" t="inlineStr">
        <is>
          <t>QH455 .T46 2006</t>
        </is>
      </c>
      <c r="C982" t="inlineStr">
        <is>
          <t>0                      QH 0455000T  46          2006</t>
        </is>
      </c>
      <c r="D982" t="inlineStr">
        <is>
          <t>Population genetics and microevolutionary theory / Alan R. Templeton.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Templeton, Alan Robert.</t>
        </is>
      </c>
      <c r="L982" t="inlineStr">
        <is>
          <t>Hoboken, N.J. : Wiley-Liss, c2006.</t>
        </is>
      </c>
      <c r="M982" t="inlineStr">
        <is>
          <t>2006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QH </t>
        </is>
      </c>
      <c r="S982" t="n">
        <v>1</v>
      </c>
      <c r="T982" t="n">
        <v>1</v>
      </c>
      <c r="U982" t="inlineStr">
        <is>
          <t>2007-02-26</t>
        </is>
      </c>
      <c r="V982" t="inlineStr">
        <is>
          <t>2007-02-26</t>
        </is>
      </c>
      <c r="W982" t="inlineStr">
        <is>
          <t>2007-02-26</t>
        </is>
      </c>
      <c r="X982" t="inlineStr">
        <is>
          <t>2007-02-26</t>
        </is>
      </c>
      <c r="Y982" t="n">
        <v>266</v>
      </c>
      <c r="Z982" t="n">
        <v>177</v>
      </c>
      <c r="AA982" t="n">
        <v>252</v>
      </c>
      <c r="AB982" t="n">
        <v>3</v>
      </c>
      <c r="AC982" t="n">
        <v>3</v>
      </c>
      <c r="AD982" t="n">
        <v>8</v>
      </c>
      <c r="AE982" t="n">
        <v>9</v>
      </c>
      <c r="AF982" t="n">
        <v>1</v>
      </c>
      <c r="AG982" t="n">
        <v>1</v>
      </c>
      <c r="AH982" t="n">
        <v>3</v>
      </c>
      <c r="AI982" t="n">
        <v>4</v>
      </c>
      <c r="AJ982" t="n">
        <v>5</v>
      </c>
      <c r="AK982" t="n">
        <v>5</v>
      </c>
      <c r="AL982" t="n">
        <v>2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No</t>
        </is>
      </c>
      <c r="AS982">
        <f>HYPERLINK("https://creighton-primo.hosted.exlibrisgroup.com/primo-explore/search?tab=default_tab&amp;search_scope=EVERYTHING&amp;vid=01CRU&amp;lang=en_US&amp;offset=0&amp;query=any,contains,991005038659702656","Catalog Record")</f>
        <v/>
      </c>
      <c r="AT982">
        <f>HYPERLINK("http://www.worldcat.org/oclc/64230478","WorldCat Record")</f>
        <v/>
      </c>
      <c r="AU982" t="inlineStr">
        <is>
          <t>48217271:eng</t>
        </is>
      </c>
      <c r="AV982" t="inlineStr">
        <is>
          <t>64230478</t>
        </is>
      </c>
      <c r="AW982" t="inlineStr">
        <is>
          <t>991005038659702656</t>
        </is>
      </c>
      <c r="AX982" t="inlineStr">
        <is>
          <t>991005038659702656</t>
        </is>
      </c>
      <c r="AY982" t="inlineStr">
        <is>
          <t>2260607410002656</t>
        </is>
      </c>
      <c r="AZ982" t="inlineStr">
        <is>
          <t>BOOK</t>
        </is>
      </c>
      <c r="BB982" t="inlineStr">
        <is>
          <t>9780471409519</t>
        </is>
      </c>
      <c r="BC982" t="inlineStr">
        <is>
          <t>32285005279343</t>
        </is>
      </c>
      <c r="BD982" t="inlineStr">
        <is>
          <t>893248255</t>
        </is>
      </c>
    </row>
    <row r="983">
      <c r="A983" t="inlineStr">
        <is>
          <t>No</t>
        </is>
      </c>
      <c r="B983" t="inlineStr">
        <is>
          <t>QH455 .W34</t>
        </is>
      </c>
      <c r="C983" t="inlineStr">
        <is>
          <t>0                      QH 0455000W  34</t>
        </is>
      </c>
      <c r="D983" t="inlineStr">
        <is>
          <t>Basic population genetics / Bruce Wallace.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Wallace, Bruce, 1920-2015.</t>
        </is>
      </c>
      <c r="L983" t="inlineStr">
        <is>
          <t>New York : Columbia University Press, 1981.</t>
        </is>
      </c>
      <c r="M983" t="inlineStr">
        <is>
          <t>1981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QH </t>
        </is>
      </c>
      <c r="S983" t="n">
        <v>5</v>
      </c>
      <c r="T983" t="n">
        <v>5</v>
      </c>
      <c r="U983" t="inlineStr">
        <is>
          <t>2002-02-23</t>
        </is>
      </c>
      <c r="V983" t="inlineStr">
        <is>
          <t>2002-02-23</t>
        </is>
      </c>
      <c r="W983" t="inlineStr">
        <is>
          <t>1993-04-12</t>
        </is>
      </c>
      <c r="X983" t="inlineStr">
        <is>
          <t>1993-04-12</t>
        </is>
      </c>
      <c r="Y983" t="n">
        <v>528</v>
      </c>
      <c r="Z983" t="n">
        <v>393</v>
      </c>
      <c r="AA983" t="n">
        <v>398</v>
      </c>
      <c r="AB983" t="n">
        <v>5</v>
      </c>
      <c r="AC983" t="n">
        <v>5</v>
      </c>
      <c r="AD983" t="n">
        <v>18</v>
      </c>
      <c r="AE983" t="n">
        <v>18</v>
      </c>
      <c r="AF983" t="n">
        <v>5</v>
      </c>
      <c r="AG983" t="n">
        <v>5</v>
      </c>
      <c r="AH983" t="n">
        <v>4</v>
      </c>
      <c r="AI983" t="n">
        <v>4</v>
      </c>
      <c r="AJ983" t="n">
        <v>10</v>
      </c>
      <c r="AK983" t="n">
        <v>10</v>
      </c>
      <c r="AL983" t="n">
        <v>4</v>
      </c>
      <c r="AM983" t="n">
        <v>4</v>
      </c>
      <c r="AN983" t="n">
        <v>0</v>
      </c>
      <c r="AO983" t="n">
        <v>0</v>
      </c>
      <c r="AP983" t="inlineStr">
        <is>
          <t>No</t>
        </is>
      </c>
      <c r="AQ983" t="inlineStr">
        <is>
          <t>No</t>
        </is>
      </c>
      <c r="AS983">
        <f>HYPERLINK("https://creighton-primo.hosted.exlibrisgroup.com/primo-explore/search?tab=default_tab&amp;search_scope=EVERYTHING&amp;vid=01CRU&amp;lang=en_US&amp;offset=0&amp;query=any,contains,991005070109702656","Catalog Record")</f>
        <v/>
      </c>
      <c r="AT983">
        <f>HYPERLINK("http://www.worldcat.org/oclc/7006940","WorldCat Record")</f>
        <v/>
      </c>
      <c r="AU983" t="inlineStr">
        <is>
          <t>180268877:eng</t>
        </is>
      </c>
      <c r="AV983" t="inlineStr">
        <is>
          <t>7006940</t>
        </is>
      </c>
      <c r="AW983" t="inlineStr">
        <is>
          <t>991005070109702656</t>
        </is>
      </c>
      <c r="AX983" t="inlineStr">
        <is>
          <t>991005070109702656</t>
        </is>
      </c>
      <c r="AY983" t="inlineStr">
        <is>
          <t>2267963630002656</t>
        </is>
      </c>
      <c r="AZ983" t="inlineStr">
        <is>
          <t>BOOK</t>
        </is>
      </c>
      <c r="BB983" t="inlineStr">
        <is>
          <t>9780231050425</t>
        </is>
      </c>
      <c r="BC983" t="inlineStr">
        <is>
          <t>32285001640506</t>
        </is>
      </c>
      <c r="BD983" t="inlineStr">
        <is>
          <t>893789386</t>
        </is>
      </c>
    </row>
    <row r="984">
      <c r="A984" t="inlineStr">
        <is>
          <t>No</t>
        </is>
      </c>
      <c r="B984" t="inlineStr">
        <is>
          <t>QH455 .W35 1991</t>
        </is>
      </c>
      <c r="C984" t="inlineStr">
        <is>
          <t>0                      QH 0455000W  35          1991</t>
        </is>
      </c>
      <c r="D984" t="inlineStr">
        <is>
          <t>Fifty years of genetic load : an odyssey / Bruce Wallace.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Wallace, Bruce, 1920-2015.</t>
        </is>
      </c>
      <c r="L984" t="inlineStr">
        <is>
          <t>Ithaca : Cornell University Press, 1991.</t>
        </is>
      </c>
      <c r="M984" t="inlineStr">
        <is>
          <t>1991</t>
        </is>
      </c>
      <c r="O984" t="inlineStr">
        <is>
          <t>eng</t>
        </is>
      </c>
      <c r="P984" t="inlineStr">
        <is>
          <t>nyu</t>
        </is>
      </c>
      <c r="R984" t="inlineStr">
        <is>
          <t xml:space="preserve">QH </t>
        </is>
      </c>
      <c r="S984" t="n">
        <v>1</v>
      </c>
      <c r="T984" t="n">
        <v>1</v>
      </c>
      <c r="U984" t="inlineStr">
        <is>
          <t>2001-04-17</t>
        </is>
      </c>
      <c r="V984" t="inlineStr">
        <is>
          <t>2001-04-17</t>
        </is>
      </c>
      <c r="W984" t="inlineStr">
        <is>
          <t>1992-05-05</t>
        </is>
      </c>
      <c r="X984" t="inlineStr">
        <is>
          <t>1992-05-05</t>
        </is>
      </c>
      <c r="Y984" t="n">
        <v>429</v>
      </c>
      <c r="Z984" t="n">
        <v>373</v>
      </c>
      <c r="AA984" t="n">
        <v>390</v>
      </c>
      <c r="AB984" t="n">
        <v>4</v>
      </c>
      <c r="AC984" t="n">
        <v>4</v>
      </c>
      <c r="AD984" t="n">
        <v>20</v>
      </c>
      <c r="AE984" t="n">
        <v>22</v>
      </c>
      <c r="AF984" t="n">
        <v>7</v>
      </c>
      <c r="AG984" t="n">
        <v>8</v>
      </c>
      <c r="AH984" t="n">
        <v>3</v>
      </c>
      <c r="AI984" t="n">
        <v>4</v>
      </c>
      <c r="AJ984" t="n">
        <v>12</v>
      </c>
      <c r="AK984" t="n">
        <v>12</v>
      </c>
      <c r="AL984" t="n">
        <v>3</v>
      </c>
      <c r="AM984" t="n">
        <v>3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HYPERLINK("http://catalog.hathitrust.org/Record/002458291","HathiTrust Record")</f>
        <v/>
      </c>
      <c r="AS984">
        <f>HYPERLINK("https://creighton-primo.hosted.exlibrisgroup.com/primo-explore/search?tab=default_tab&amp;search_scope=EVERYTHING&amp;vid=01CRU&amp;lang=en_US&amp;offset=0&amp;query=any,contains,991001788499702656","Catalog Record")</f>
        <v/>
      </c>
      <c r="AT984">
        <f>HYPERLINK("http://www.worldcat.org/oclc/22511181","WorldCat Record")</f>
        <v/>
      </c>
      <c r="AU984" t="inlineStr">
        <is>
          <t>24058873:eng</t>
        </is>
      </c>
      <c r="AV984" t="inlineStr">
        <is>
          <t>22511181</t>
        </is>
      </c>
      <c r="AW984" t="inlineStr">
        <is>
          <t>991001788499702656</t>
        </is>
      </c>
      <c r="AX984" t="inlineStr">
        <is>
          <t>991001788499702656</t>
        </is>
      </c>
      <c r="AY984" t="inlineStr">
        <is>
          <t>2268344750002656</t>
        </is>
      </c>
      <c r="AZ984" t="inlineStr">
        <is>
          <t>BOOK</t>
        </is>
      </c>
      <c r="BB984" t="inlineStr">
        <is>
          <t>9780801425837</t>
        </is>
      </c>
      <c r="BC984" t="inlineStr">
        <is>
          <t>32285001038032</t>
        </is>
      </c>
      <c r="BD984" t="inlineStr">
        <is>
          <t>893256516</t>
        </is>
      </c>
    </row>
    <row r="985">
      <c r="A985" t="inlineStr">
        <is>
          <t>No</t>
        </is>
      </c>
      <c r="B985" t="inlineStr">
        <is>
          <t>QH456 .E27 1982</t>
        </is>
      </c>
      <c r="C985" t="inlineStr">
        <is>
          <t>0                      QH 0456000E  27          1982</t>
        </is>
      </c>
      <c r="D985" t="inlineStr">
        <is>
          <t>Ecological genetics and evolution : the cactus-yeast-Drosophila model system / edited J.S.F. Barker, W.T. Starmer.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L985" t="inlineStr">
        <is>
          <t>Sydney ; New York : Academic Press, 1982.</t>
        </is>
      </c>
      <c r="M985" t="inlineStr">
        <is>
          <t>1982</t>
        </is>
      </c>
      <c r="O985" t="inlineStr">
        <is>
          <t>eng</t>
        </is>
      </c>
      <c r="P985" t="inlineStr">
        <is>
          <t xml:space="preserve">at </t>
        </is>
      </c>
      <c r="R985" t="inlineStr">
        <is>
          <t xml:space="preserve">QH </t>
        </is>
      </c>
      <c r="S985" t="n">
        <v>8</v>
      </c>
      <c r="T985" t="n">
        <v>8</v>
      </c>
      <c r="U985" t="inlineStr">
        <is>
          <t>2002-04-08</t>
        </is>
      </c>
      <c r="V985" t="inlineStr">
        <is>
          <t>2002-04-08</t>
        </is>
      </c>
      <c r="W985" t="inlineStr">
        <is>
          <t>1993-04-12</t>
        </is>
      </c>
      <c r="X985" t="inlineStr">
        <is>
          <t>1993-04-12</t>
        </is>
      </c>
      <c r="Y985" t="n">
        <v>218</v>
      </c>
      <c r="Z985" t="n">
        <v>146</v>
      </c>
      <c r="AA985" t="n">
        <v>152</v>
      </c>
      <c r="AB985" t="n">
        <v>2</v>
      </c>
      <c r="AC985" t="n">
        <v>2</v>
      </c>
      <c r="AD985" t="n">
        <v>3</v>
      </c>
      <c r="AE985" t="n">
        <v>3</v>
      </c>
      <c r="AF985" t="n">
        <v>0</v>
      </c>
      <c r="AG985" t="n">
        <v>0</v>
      </c>
      <c r="AH985" t="n">
        <v>1</v>
      </c>
      <c r="AI985" t="n">
        <v>1</v>
      </c>
      <c r="AJ985" t="n">
        <v>1</v>
      </c>
      <c r="AK985" t="n">
        <v>1</v>
      </c>
      <c r="AL985" t="n">
        <v>1</v>
      </c>
      <c r="AM985" t="n">
        <v>1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HYPERLINK("http://catalog.hathitrust.org/Record/000321430","HathiTrust Record")</f>
        <v/>
      </c>
      <c r="AS985">
        <f>HYPERLINK("https://creighton-primo.hosted.exlibrisgroup.com/primo-explore/search?tab=default_tab&amp;search_scope=EVERYTHING&amp;vid=01CRU&amp;lang=en_US&amp;offset=0&amp;query=any,contains,991000144539702656","Catalog Record")</f>
        <v/>
      </c>
      <c r="AT985">
        <f>HYPERLINK("http://www.worldcat.org/oclc/9191204","WorldCat Record")</f>
        <v/>
      </c>
      <c r="AU985" t="inlineStr">
        <is>
          <t>504975976:eng</t>
        </is>
      </c>
      <c r="AV985" t="inlineStr">
        <is>
          <t>9191204</t>
        </is>
      </c>
      <c r="AW985" t="inlineStr">
        <is>
          <t>991000144539702656</t>
        </is>
      </c>
      <c r="AX985" t="inlineStr">
        <is>
          <t>991000144539702656</t>
        </is>
      </c>
      <c r="AY985" t="inlineStr">
        <is>
          <t>2269099080002656</t>
        </is>
      </c>
      <c r="AZ985" t="inlineStr">
        <is>
          <t>BOOK</t>
        </is>
      </c>
      <c r="BB985" t="inlineStr">
        <is>
          <t>9780120788200</t>
        </is>
      </c>
      <c r="BC985" t="inlineStr">
        <is>
          <t>32285001640530</t>
        </is>
      </c>
      <c r="BD985" t="inlineStr">
        <is>
          <t>893224774</t>
        </is>
      </c>
    </row>
    <row r="986">
      <c r="A986" t="inlineStr">
        <is>
          <t>No</t>
        </is>
      </c>
      <c r="B986" t="inlineStr">
        <is>
          <t>QH457 .B42 1982</t>
        </is>
      </c>
      <c r="C986" t="inlineStr">
        <is>
          <t>0                      QH 0457000B  42          1982</t>
        </is>
      </c>
      <c r="D986" t="inlineStr">
        <is>
          <t>Behavior-genetic analysis / edited by Jerry Hirsch and Terry R. McGuire.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Stroudsburg, Pa. : H. Ross Pub. Co., c1982.</t>
        </is>
      </c>
      <c r="M986" t="inlineStr">
        <is>
          <t>1982</t>
        </is>
      </c>
      <c r="O986" t="inlineStr">
        <is>
          <t>eng</t>
        </is>
      </c>
      <c r="P986" t="inlineStr">
        <is>
          <t>pau</t>
        </is>
      </c>
      <c r="Q986" t="inlineStr">
        <is>
          <t>Benchmark papers in behavior ; 16</t>
        </is>
      </c>
      <c r="R986" t="inlineStr">
        <is>
          <t xml:space="preserve">QH </t>
        </is>
      </c>
      <c r="S986" t="n">
        <v>2</v>
      </c>
      <c r="T986" t="n">
        <v>2</v>
      </c>
      <c r="U986" t="inlineStr">
        <is>
          <t>1997-10-01</t>
        </is>
      </c>
      <c r="V986" t="inlineStr">
        <is>
          <t>1997-10-01</t>
        </is>
      </c>
      <c r="W986" t="inlineStr">
        <is>
          <t>1993-04-12</t>
        </is>
      </c>
      <c r="X986" t="inlineStr">
        <is>
          <t>1993-04-12</t>
        </is>
      </c>
      <c r="Y986" t="n">
        <v>214</v>
      </c>
      <c r="Z986" t="n">
        <v>181</v>
      </c>
      <c r="AA986" t="n">
        <v>182</v>
      </c>
      <c r="AB986" t="n">
        <v>1</v>
      </c>
      <c r="AC986" t="n">
        <v>1</v>
      </c>
      <c r="AD986" t="n">
        <v>6</v>
      </c>
      <c r="AE986" t="n">
        <v>6</v>
      </c>
      <c r="AF986" t="n">
        <v>1</v>
      </c>
      <c r="AG986" t="n">
        <v>1</v>
      </c>
      <c r="AH986" t="n">
        <v>2</v>
      </c>
      <c r="AI986" t="n">
        <v>2</v>
      </c>
      <c r="AJ986" t="n">
        <v>4</v>
      </c>
      <c r="AK986" t="n">
        <v>4</v>
      </c>
      <c r="AL986" t="n">
        <v>0</v>
      </c>
      <c r="AM986" t="n">
        <v>0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HYPERLINK("http://catalog.hathitrust.org/Record/000106584","HathiTrust Record")</f>
        <v/>
      </c>
      <c r="AS986">
        <f>HYPERLINK("https://creighton-primo.hosted.exlibrisgroup.com/primo-explore/search?tab=default_tab&amp;search_scope=EVERYTHING&amp;vid=01CRU&amp;lang=en_US&amp;offset=0&amp;query=any,contains,991005176749702656","Catalog Record")</f>
        <v/>
      </c>
      <c r="AT986">
        <f>HYPERLINK("http://www.worldcat.org/oclc/7923957","WorldCat Record")</f>
        <v/>
      </c>
      <c r="AU986" t="inlineStr">
        <is>
          <t>10252571830:eng</t>
        </is>
      </c>
      <c r="AV986" t="inlineStr">
        <is>
          <t>7923957</t>
        </is>
      </c>
      <c r="AW986" t="inlineStr">
        <is>
          <t>991005176749702656</t>
        </is>
      </c>
      <c r="AX986" t="inlineStr">
        <is>
          <t>991005176749702656</t>
        </is>
      </c>
      <c r="AY986" t="inlineStr">
        <is>
          <t>2269163460002656</t>
        </is>
      </c>
      <c r="AZ986" t="inlineStr">
        <is>
          <t>BOOK</t>
        </is>
      </c>
      <c r="BB986" t="inlineStr">
        <is>
          <t>9780879334192</t>
        </is>
      </c>
      <c r="BC986" t="inlineStr">
        <is>
          <t>32285001640555</t>
        </is>
      </c>
      <c r="BD986" t="inlineStr">
        <is>
          <t>893443533</t>
        </is>
      </c>
    </row>
    <row r="987">
      <c r="A987" t="inlineStr">
        <is>
          <t>No</t>
        </is>
      </c>
      <c r="B987" t="inlineStr">
        <is>
          <t>QH457 .P56 1990</t>
        </is>
      </c>
      <c r="C987" t="inlineStr">
        <is>
          <t>0                      QH 0457000P  56          1990</t>
        </is>
      </c>
      <c r="D987" t="inlineStr">
        <is>
          <t>Behavioral genetics : a primer / Robert Plomin, J.C. DeFries, G.E. McClearn.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Plomin, Robert, 1948-</t>
        </is>
      </c>
      <c r="L987" t="inlineStr">
        <is>
          <t>New York : W.H. Freeman, c1990.</t>
        </is>
      </c>
      <c r="M987" t="inlineStr">
        <is>
          <t>1990</t>
        </is>
      </c>
      <c r="N987" t="inlineStr">
        <is>
          <t>2nd ed.</t>
        </is>
      </c>
      <c r="O987" t="inlineStr">
        <is>
          <t>eng</t>
        </is>
      </c>
      <c r="P987" t="inlineStr">
        <is>
          <t>nyu</t>
        </is>
      </c>
      <c r="Q987" t="inlineStr">
        <is>
          <t>A Series of books in psychology</t>
        </is>
      </c>
      <c r="R987" t="inlineStr">
        <is>
          <t xml:space="preserve">QH </t>
        </is>
      </c>
      <c r="S987" t="n">
        <v>9</v>
      </c>
      <c r="T987" t="n">
        <v>9</v>
      </c>
      <c r="U987" t="inlineStr">
        <is>
          <t>1999-02-24</t>
        </is>
      </c>
      <c r="V987" t="inlineStr">
        <is>
          <t>1999-02-24</t>
        </is>
      </c>
      <c r="W987" t="inlineStr">
        <is>
          <t>1992-05-11</t>
        </is>
      </c>
      <c r="X987" t="inlineStr">
        <is>
          <t>1992-05-11</t>
        </is>
      </c>
      <c r="Y987" t="n">
        <v>349</v>
      </c>
      <c r="Z987" t="n">
        <v>241</v>
      </c>
      <c r="AA987" t="n">
        <v>623</v>
      </c>
      <c r="AB987" t="n">
        <v>3</v>
      </c>
      <c r="AC987" t="n">
        <v>6</v>
      </c>
      <c r="AD987" t="n">
        <v>11</v>
      </c>
      <c r="AE987" t="n">
        <v>30</v>
      </c>
      <c r="AF987" t="n">
        <v>2</v>
      </c>
      <c r="AG987" t="n">
        <v>11</v>
      </c>
      <c r="AH987" t="n">
        <v>3</v>
      </c>
      <c r="AI987" t="n">
        <v>7</v>
      </c>
      <c r="AJ987" t="n">
        <v>8</v>
      </c>
      <c r="AK987" t="n">
        <v>16</v>
      </c>
      <c r="AL987" t="n">
        <v>2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HYPERLINK("https://creighton-primo.hosted.exlibrisgroup.com/primo-explore/search?tab=default_tab&amp;search_scope=EVERYTHING&amp;vid=01CRU&amp;lang=en_US&amp;offset=0&amp;query=any,contains,991001512889702656","Catalog Record")</f>
        <v/>
      </c>
      <c r="AT987">
        <f>HYPERLINK("http://www.worldcat.org/oclc/19920274","WorldCat Record")</f>
        <v/>
      </c>
      <c r="AU987" t="inlineStr">
        <is>
          <t>56115062:eng</t>
        </is>
      </c>
      <c r="AV987" t="inlineStr">
        <is>
          <t>19920274</t>
        </is>
      </c>
      <c r="AW987" t="inlineStr">
        <is>
          <t>991001512889702656</t>
        </is>
      </c>
      <c r="AX987" t="inlineStr">
        <is>
          <t>991001512889702656</t>
        </is>
      </c>
      <c r="AY987" t="inlineStr">
        <is>
          <t>2269008530002656</t>
        </is>
      </c>
      <c r="AZ987" t="inlineStr">
        <is>
          <t>BOOK</t>
        </is>
      </c>
      <c r="BB987" t="inlineStr">
        <is>
          <t>9780716720560</t>
        </is>
      </c>
      <c r="BC987" t="inlineStr">
        <is>
          <t>32285001039667</t>
        </is>
      </c>
      <c r="BD987" t="inlineStr">
        <is>
          <t>893516246</t>
        </is>
      </c>
    </row>
    <row r="988">
      <c r="A988" t="inlineStr">
        <is>
          <t>No</t>
        </is>
      </c>
      <c r="B988" t="inlineStr">
        <is>
          <t>QH457 .P57 1990</t>
        </is>
      </c>
      <c r="C988" t="inlineStr">
        <is>
          <t>0                      QH 0457000P  57          1990</t>
        </is>
      </c>
      <c r="D988" t="inlineStr">
        <is>
          <t>Nature and nurture : an introduction to human behavioral genetics / Robert Plomin.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Plomin, Robert, 1948-</t>
        </is>
      </c>
      <c r="L988" t="inlineStr">
        <is>
          <t>Pacific Grove, Ca. : Brooks/Cole Pub. Co., c1990.</t>
        </is>
      </c>
      <c r="M988" t="inlineStr">
        <is>
          <t>1990</t>
        </is>
      </c>
      <c r="O988" t="inlineStr">
        <is>
          <t>eng</t>
        </is>
      </c>
      <c r="P988" t="inlineStr">
        <is>
          <t>cau</t>
        </is>
      </c>
      <c r="R988" t="inlineStr">
        <is>
          <t xml:space="preserve">QH </t>
        </is>
      </c>
      <c r="S988" t="n">
        <v>17</v>
      </c>
      <c r="T988" t="n">
        <v>17</v>
      </c>
      <c r="U988" t="inlineStr">
        <is>
          <t>2004-02-26</t>
        </is>
      </c>
      <c r="V988" t="inlineStr">
        <is>
          <t>2004-02-26</t>
        </is>
      </c>
      <c r="W988" t="inlineStr">
        <is>
          <t>1992-02-21</t>
        </is>
      </c>
      <c r="X988" t="inlineStr">
        <is>
          <t>1992-02-21</t>
        </is>
      </c>
      <c r="Y988" t="n">
        <v>483</v>
      </c>
      <c r="Z988" t="n">
        <v>395</v>
      </c>
      <c r="AA988" t="n">
        <v>405</v>
      </c>
      <c r="AB988" t="n">
        <v>4</v>
      </c>
      <c r="AC988" t="n">
        <v>4</v>
      </c>
      <c r="AD988" t="n">
        <v>20</v>
      </c>
      <c r="AE988" t="n">
        <v>21</v>
      </c>
      <c r="AF988" t="n">
        <v>8</v>
      </c>
      <c r="AG988" t="n">
        <v>8</v>
      </c>
      <c r="AH988" t="n">
        <v>4</v>
      </c>
      <c r="AI988" t="n">
        <v>4</v>
      </c>
      <c r="AJ988" t="n">
        <v>10</v>
      </c>
      <c r="AK988" t="n">
        <v>11</v>
      </c>
      <c r="AL988" t="n">
        <v>3</v>
      </c>
      <c r="AM988" t="n">
        <v>3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HYPERLINK("https://creighton-primo.hosted.exlibrisgroup.com/primo-explore/search?tab=default_tab&amp;search_scope=EVERYTHING&amp;vid=01CRU&amp;lang=en_US&amp;offset=0&amp;query=any,contains,991001480499702656","Catalog Record")</f>
        <v/>
      </c>
      <c r="AT988">
        <f>HYPERLINK("http://www.worldcat.org/oclc/19624321","WorldCat Record")</f>
        <v/>
      </c>
      <c r="AU988" t="inlineStr">
        <is>
          <t>18183581:eng</t>
        </is>
      </c>
      <c r="AV988" t="inlineStr">
        <is>
          <t>19624321</t>
        </is>
      </c>
      <c r="AW988" t="inlineStr">
        <is>
          <t>991001480499702656</t>
        </is>
      </c>
      <c r="AX988" t="inlineStr">
        <is>
          <t>991001480499702656</t>
        </is>
      </c>
      <c r="AY988" t="inlineStr">
        <is>
          <t>2263431600002656</t>
        </is>
      </c>
      <c r="AZ988" t="inlineStr">
        <is>
          <t>BOOK</t>
        </is>
      </c>
      <c r="BB988" t="inlineStr">
        <is>
          <t>9780534107680</t>
        </is>
      </c>
      <c r="BC988" t="inlineStr">
        <is>
          <t>32285000935311</t>
        </is>
      </c>
      <c r="BD988" t="inlineStr">
        <is>
          <t>893516222</t>
        </is>
      </c>
    </row>
    <row r="989">
      <c r="A989" t="inlineStr">
        <is>
          <t>No</t>
        </is>
      </c>
      <c r="B989" t="inlineStr">
        <is>
          <t>QH457 .Q36 1994</t>
        </is>
      </c>
      <c r="C989" t="inlineStr">
        <is>
          <t>0                      QH 0457000Q  36          1994</t>
        </is>
      </c>
      <c r="D989" t="inlineStr">
        <is>
          <t>Quantitative genetic studies of behavioral evolution / edited by Christine R.B. Boake.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L989" t="inlineStr">
        <is>
          <t>Chicago : University of Chicago Press, 1994.</t>
        </is>
      </c>
      <c r="M989" t="inlineStr">
        <is>
          <t>1994</t>
        </is>
      </c>
      <c r="O989" t="inlineStr">
        <is>
          <t>eng</t>
        </is>
      </c>
      <c r="P989" t="inlineStr">
        <is>
          <t>ilu</t>
        </is>
      </c>
      <c r="R989" t="inlineStr">
        <is>
          <t xml:space="preserve">QH </t>
        </is>
      </c>
      <c r="S989" t="n">
        <v>12</v>
      </c>
      <c r="T989" t="n">
        <v>12</v>
      </c>
      <c r="U989" t="inlineStr">
        <is>
          <t>2008-02-23</t>
        </is>
      </c>
      <c r="V989" t="inlineStr">
        <is>
          <t>2008-02-23</t>
        </is>
      </c>
      <c r="W989" t="inlineStr">
        <is>
          <t>1995-01-17</t>
        </is>
      </c>
      <c r="X989" t="inlineStr">
        <is>
          <t>1995-01-17</t>
        </is>
      </c>
      <c r="Y989" t="n">
        <v>302</v>
      </c>
      <c r="Z989" t="n">
        <v>232</v>
      </c>
      <c r="AA989" t="n">
        <v>237</v>
      </c>
      <c r="AB989" t="n">
        <v>2</v>
      </c>
      <c r="AC989" t="n">
        <v>2</v>
      </c>
      <c r="AD989" t="n">
        <v>18</v>
      </c>
      <c r="AE989" t="n">
        <v>18</v>
      </c>
      <c r="AF989" t="n">
        <v>8</v>
      </c>
      <c r="AG989" t="n">
        <v>8</v>
      </c>
      <c r="AH989" t="n">
        <v>5</v>
      </c>
      <c r="AI989" t="n">
        <v>5</v>
      </c>
      <c r="AJ989" t="n">
        <v>10</v>
      </c>
      <c r="AK989" t="n">
        <v>10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HYPERLINK("https://creighton-primo.hosted.exlibrisgroup.com/primo-explore/search?tab=default_tab&amp;search_scope=EVERYTHING&amp;vid=01CRU&amp;lang=en_US&amp;offset=0&amp;query=any,contains,991002255389702656","Catalog Record")</f>
        <v/>
      </c>
      <c r="AT989">
        <f>HYPERLINK("http://www.worldcat.org/oclc/29220832","WorldCat Record")</f>
        <v/>
      </c>
      <c r="AU989" t="inlineStr">
        <is>
          <t>24133857:eng</t>
        </is>
      </c>
      <c r="AV989" t="inlineStr">
        <is>
          <t>29220832</t>
        </is>
      </c>
      <c r="AW989" t="inlineStr">
        <is>
          <t>991002255389702656</t>
        </is>
      </c>
      <c r="AX989" t="inlineStr">
        <is>
          <t>991002255389702656</t>
        </is>
      </c>
      <c r="AY989" t="inlineStr">
        <is>
          <t>2272505540002656</t>
        </is>
      </c>
      <c r="AZ989" t="inlineStr">
        <is>
          <t>BOOK</t>
        </is>
      </c>
      <c r="BB989" t="inlineStr">
        <is>
          <t>9780226062150</t>
        </is>
      </c>
      <c r="BC989" t="inlineStr">
        <is>
          <t>32285001993400</t>
        </is>
      </c>
      <c r="BD989" t="inlineStr">
        <is>
          <t>893433679</t>
        </is>
      </c>
    </row>
    <row r="990">
      <c r="A990" t="inlineStr">
        <is>
          <t>No</t>
        </is>
      </c>
      <c r="B990" t="inlineStr">
        <is>
          <t>QH457 .V34</t>
        </is>
      </c>
      <c r="C990" t="inlineStr">
        <is>
          <t>0                      QH 0457000V  34</t>
        </is>
      </c>
      <c r="D990" t="inlineStr">
        <is>
          <t>Genes, environment, and behavior : an interactionist approach / Jack R. Vale.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Vale, Jack R.</t>
        </is>
      </c>
      <c r="L990" t="inlineStr">
        <is>
          <t>New York : Harper &amp; Row, c1980.</t>
        </is>
      </c>
      <c r="M990" t="inlineStr">
        <is>
          <t>1980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QH </t>
        </is>
      </c>
      <c r="S990" t="n">
        <v>4</v>
      </c>
      <c r="T990" t="n">
        <v>4</v>
      </c>
      <c r="U990" t="inlineStr">
        <is>
          <t>2002-11-27</t>
        </is>
      </c>
      <c r="V990" t="inlineStr">
        <is>
          <t>2002-11-27</t>
        </is>
      </c>
      <c r="W990" t="inlineStr">
        <is>
          <t>1993-02-19</t>
        </is>
      </c>
      <c r="X990" t="inlineStr">
        <is>
          <t>1993-02-19</t>
        </is>
      </c>
      <c r="Y990" t="n">
        <v>223</v>
      </c>
      <c r="Z990" t="n">
        <v>161</v>
      </c>
      <c r="AA990" t="n">
        <v>163</v>
      </c>
      <c r="AB990" t="n">
        <v>2</v>
      </c>
      <c r="AC990" t="n">
        <v>2</v>
      </c>
      <c r="AD990" t="n">
        <v>8</v>
      </c>
      <c r="AE990" t="n">
        <v>8</v>
      </c>
      <c r="AF990" t="n">
        <v>2</v>
      </c>
      <c r="AG990" t="n">
        <v>2</v>
      </c>
      <c r="AH990" t="n">
        <v>1</v>
      </c>
      <c r="AI990" t="n">
        <v>1</v>
      </c>
      <c r="AJ990" t="n">
        <v>6</v>
      </c>
      <c r="AK990" t="n">
        <v>6</v>
      </c>
      <c r="AL990" t="n">
        <v>1</v>
      </c>
      <c r="AM990" t="n">
        <v>1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HYPERLINK("http://catalog.hathitrust.org/Record/000104601","HathiTrust Record")</f>
        <v/>
      </c>
      <c r="AS990">
        <f>HYPERLINK("https://creighton-primo.hosted.exlibrisgroup.com/primo-explore/search?tab=default_tab&amp;search_scope=EVERYTHING&amp;vid=01CRU&amp;lang=en_US&amp;offset=0&amp;query=any,contains,991004941999702656","Catalog Record")</f>
        <v/>
      </c>
      <c r="AT990">
        <f>HYPERLINK("http://www.worldcat.org/oclc/6194706","WorldCat Record")</f>
        <v/>
      </c>
      <c r="AU990" t="inlineStr">
        <is>
          <t>796144432:eng</t>
        </is>
      </c>
      <c r="AV990" t="inlineStr">
        <is>
          <t>6194706</t>
        </is>
      </c>
      <c r="AW990" t="inlineStr">
        <is>
          <t>991004941999702656</t>
        </is>
      </c>
      <c r="AX990" t="inlineStr">
        <is>
          <t>991004941999702656</t>
        </is>
      </c>
      <c r="AY990" t="inlineStr">
        <is>
          <t>2262754000002656</t>
        </is>
      </c>
      <c r="AZ990" t="inlineStr">
        <is>
          <t>BOOK</t>
        </is>
      </c>
      <c r="BB990" t="inlineStr">
        <is>
          <t>9780060467586</t>
        </is>
      </c>
      <c r="BC990" t="inlineStr">
        <is>
          <t>32285001503423</t>
        </is>
      </c>
      <c r="BD990" t="inlineStr">
        <is>
          <t>893263520</t>
        </is>
      </c>
    </row>
    <row r="991">
      <c r="A991" t="inlineStr">
        <is>
          <t>No</t>
        </is>
      </c>
      <c r="B991" t="inlineStr">
        <is>
          <t>QH457 .W43 1999</t>
        </is>
      </c>
      <c r="C991" t="inlineStr">
        <is>
          <t>0                      QH 0457000W  43          1999</t>
        </is>
      </c>
      <c r="D991" t="inlineStr">
        <is>
          <t>Time, love, memory : a great biologist and his quest for the origins of behavior / Jonathan Weiner.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Weiner, Jonathan.</t>
        </is>
      </c>
      <c r="L991" t="inlineStr">
        <is>
          <t>New York : Knopf, 1999.</t>
        </is>
      </c>
      <c r="M991" t="inlineStr">
        <is>
          <t>1999</t>
        </is>
      </c>
      <c r="N991" t="inlineStr">
        <is>
          <t>1st ed.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QH </t>
        </is>
      </c>
      <c r="S991" t="n">
        <v>2</v>
      </c>
      <c r="T991" t="n">
        <v>2</v>
      </c>
      <c r="U991" t="inlineStr">
        <is>
          <t>2000-04-27</t>
        </is>
      </c>
      <c r="V991" t="inlineStr">
        <is>
          <t>2000-04-27</t>
        </is>
      </c>
      <c r="W991" t="inlineStr">
        <is>
          <t>1999-08-17</t>
        </is>
      </c>
      <c r="X991" t="inlineStr">
        <is>
          <t>1999-08-17</t>
        </is>
      </c>
      <c r="Y991" t="n">
        <v>1404</v>
      </c>
      <c r="Z991" t="n">
        <v>1323</v>
      </c>
      <c r="AA991" t="n">
        <v>1473</v>
      </c>
      <c r="AB991" t="n">
        <v>14</v>
      </c>
      <c r="AC991" t="n">
        <v>15</v>
      </c>
      <c r="AD991" t="n">
        <v>46</v>
      </c>
      <c r="AE991" t="n">
        <v>47</v>
      </c>
      <c r="AF991" t="n">
        <v>18</v>
      </c>
      <c r="AG991" t="n">
        <v>19</v>
      </c>
      <c r="AH991" t="n">
        <v>8</v>
      </c>
      <c r="AI991" t="n">
        <v>8</v>
      </c>
      <c r="AJ991" t="n">
        <v>19</v>
      </c>
      <c r="AK991" t="n">
        <v>20</v>
      </c>
      <c r="AL991" t="n">
        <v>10</v>
      </c>
      <c r="AM991" t="n">
        <v>10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HYPERLINK("http://catalog.hathitrust.org/Record/004029273","HathiTrust Record")</f>
        <v/>
      </c>
      <c r="AS991">
        <f>HYPERLINK("https://creighton-primo.hosted.exlibrisgroup.com/primo-explore/search?tab=default_tab&amp;search_scope=EVERYTHING&amp;vid=01CRU&amp;lang=en_US&amp;offset=0&amp;query=any,contains,991002977609702656","Catalog Record")</f>
        <v/>
      </c>
      <c r="AT991">
        <f>HYPERLINK("http://www.worldcat.org/oclc/39951655","WorldCat Record")</f>
        <v/>
      </c>
      <c r="AU991" t="inlineStr">
        <is>
          <t>969505:eng</t>
        </is>
      </c>
      <c r="AV991" t="inlineStr">
        <is>
          <t>39951655</t>
        </is>
      </c>
      <c r="AW991" t="inlineStr">
        <is>
          <t>991002977609702656</t>
        </is>
      </c>
      <c r="AX991" t="inlineStr">
        <is>
          <t>991002977609702656</t>
        </is>
      </c>
      <c r="AY991" t="inlineStr">
        <is>
          <t>2267061770002656</t>
        </is>
      </c>
      <c r="AZ991" t="inlineStr">
        <is>
          <t>BOOK</t>
        </is>
      </c>
      <c r="BB991" t="inlineStr">
        <is>
          <t>9780679444350</t>
        </is>
      </c>
      <c r="BC991" t="inlineStr">
        <is>
          <t>32285003581914</t>
        </is>
      </c>
      <c r="BD991" t="inlineStr">
        <is>
          <t>893251863</t>
        </is>
      </c>
    </row>
    <row r="992">
      <c r="A992" t="inlineStr">
        <is>
          <t>No</t>
        </is>
      </c>
      <c r="B992" t="inlineStr">
        <is>
          <t>QH460 .A93 1976</t>
        </is>
      </c>
      <c r="C992" t="inlineStr">
        <is>
          <t>0                      QH 0460000A  93          1976</t>
        </is>
      </c>
      <c r="D992" t="inlineStr">
        <is>
          <t>Mutation research : problems, results, and perspectives / Charlotte Auerbach.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Auerbach, Charlotte.</t>
        </is>
      </c>
      <c r="L992" t="inlineStr">
        <is>
          <t>London : Chapman and Hall ; New York : Wiley : distributed in the U.S.A. by Halsted Press, 1976.</t>
        </is>
      </c>
      <c r="M992" t="inlineStr">
        <is>
          <t>1976</t>
        </is>
      </c>
      <c r="O992" t="inlineStr">
        <is>
          <t>eng</t>
        </is>
      </c>
      <c r="P992" t="inlineStr">
        <is>
          <t>enk</t>
        </is>
      </c>
      <c r="R992" t="inlineStr">
        <is>
          <t xml:space="preserve">QH </t>
        </is>
      </c>
      <c r="S992" t="n">
        <v>1</v>
      </c>
      <c r="T992" t="n">
        <v>1</v>
      </c>
      <c r="U992" t="inlineStr">
        <is>
          <t>2010-04-26</t>
        </is>
      </c>
      <c r="V992" t="inlineStr">
        <is>
          <t>2010-04-26</t>
        </is>
      </c>
      <c r="W992" t="inlineStr">
        <is>
          <t>1997-07-02</t>
        </is>
      </c>
      <c r="X992" t="inlineStr">
        <is>
          <t>1997-07-02</t>
        </is>
      </c>
      <c r="Y992" t="n">
        <v>447</v>
      </c>
      <c r="Z992" t="n">
        <v>293</v>
      </c>
      <c r="AA992" t="n">
        <v>312</v>
      </c>
      <c r="AB992" t="n">
        <v>4</v>
      </c>
      <c r="AC992" t="n">
        <v>4</v>
      </c>
      <c r="AD992" t="n">
        <v>9</v>
      </c>
      <c r="AE992" t="n">
        <v>10</v>
      </c>
      <c r="AF992" t="n">
        <v>3</v>
      </c>
      <c r="AG992" t="n">
        <v>4</v>
      </c>
      <c r="AH992" t="n">
        <v>1</v>
      </c>
      <c r="AI992" t="n">
        <v>1</v>
      </c>
      <c r="AJ992" t="n">
        <v>3</v>
      </c>
      <c r="AK992" t="n">
        <v>4</v>
      </c>
      <c r="AL992" t="n">
        <v>3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HYPERLINK("http://catalog.hathitrust.org/Record/000035834","HathiTrust Record")</f>
        <v/>
      </c>
      <c r="AS992">
        <f>HYPERLINK("https://creighton-primo.hosted.exlibrisgroup.com/primo-explore/search?tab=default_tab&amp;search_scope=EVERYTHING&amp;vid=01CRU&amp;lang=en_US&amp;offset=0&amp;query=any,contains,991003786519702656","Catalog Record")</f>
        <v/>
      </c>
      <c r="AT992">
        <f>HYPERLINK("http://www.worldcat.org/oclc/1502349","WorldCat Record")</f>
        <v/>
      </c>
      <c r="AU992" t="inlineStr">
        <is>
          <t>795642294:eng</t>
        </is>
      </c>
      <c r="AV992" t="inlineStr">
        <is>
          <t>1502349</t>
        </is>
      </c>
      <c r="AW992" t="inlineStr">
        <is>
          <t>991003786519702656</t>
        </is>
      </c>
      <c r="AX992" t="inlineStr">
        <is>
          <t>991003786519702656</t>
        </is>
      </c>
      <c r="AY992" t="inlineStr">
        <is>
          <t>2263405320002656</t>
        </is>
      </c>
      <c r="AZ992" t="inlineStr">
        <is>
          <t>BOOK</t>
        </is>
      </c>
      <c r="BB992" t="inlineStr">
        <is>
          <t>9780470036709</t>
        </is>
      </c>
      <c r="BC992" t="inlineStr">
        <is>
          <t>32285002911880</t>
        </is>
      </c>
      <c r="BD992" t="inlineStr">
        <is>
          <t>893416802</t>
        </is>
      </c>
    </row>
    <row r="993">
      <c r="A993" t="inlineStr">
        <is>
          <t>No</t>
        </is>
      </c>
      <c r="B993" t="inlineStr">
        <is>
          <t>QH461 .D38 1962</t>
        </is>
      </c>
      <c r="C993" t="inlineStr">
        <is>
          <t>0                      QH 0461000D  38          1962</t>
        </is>
      </c>
      <c r="D993" t="inlineStr">
        <is>
          <t>An introduction to the cytogenetics of polyploids / G. W. P. Dawson.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Dawson, G. W. P.</t>
        </is>
      </c>
      <c r="L993" t="inlineStr">
        <is>
          <t>Philadelphia : F. A. Davis, c1962.</t>
        </is>
      </c>
      <c r="M993" t="inlineStr">
        <is>
          <t>1962</t>
        </is>
      </c>
      <c r="O993" t="inlineStr">
        <is>
          <t>eng</t>
        </is>
      </c>
      <c r="P993" t="inlineStr">
        <is>
          <t>pau</t>
        </is>
      </c>
      <c r="R993" t="inlineStr">
        <is>
          <t xml:space="preserve">QH </t>
        </is>
      </c>
      <c r="S993" t="n">
        <v>1</v>
      </c>
      <c r="T993" t="n">
        <v>1</v>
      </c>
      <c r="U993" t="inlineStr">
        <is>
          <t>2001-05-09</t>
        </is>
      </c>
      <c r="V993" t="inlineStr">
        <is>
          <t>2001-05-09</t>
        </is>
      </c>
      <c r="W993" t="inlineStr">
        <is>
          <t>1997-07-02</t>
        </is>
      </c>
      <c r="X993" t="inlineStr">
        <is>
          <t>1997-07-02</t>
        </is>
      </c>
      <c r="Y993" t="n">
        <v>58</v>
      </c>
      <c r="Z993" t="n">
        <v>54</v>
      </c>
      <c r="AA993" t="n">
        <v>113</v>
      </c>
      <c r="AB993" t="n">
        <v>1</v>
      </c>
      <c r="AC993" t="n">
        <v>2</v>
      </c>
      <c r="AD993" t="n">
        <v>3</v>
      </c>
      <c r="AE993" t="n">
        <v>6</v>
      </c>
      <c r="AF993" t="n">
        <v>0</v>
      </c>
      <c r="AG993" t="n">
        <v>0</v>
      </c>
      <c r="AH993" t="n">
        <v>1</v>
      </c>
      <c r="AI993" t="n">
        <v>2</v>
      </c>
      <c r="AJ993" t="n">
        <v>2</v>
      </c>
      <c r="AK993" t="n">
        <v>4</v>
      </c>
      <c r="AL993" t="n">
        <v>0</v>
      </c>
      <c r="AM993" t="n">
        <v>1</v>
      </c>
      <c r="AN993" t="n">
        <v>0</v>
      </c>
      <c r="AO993" t="n">
        <v>0</v>
      </c>
      <c r="AP993" t="inlineStr">
        <is>
          <t>No</t>
        </is>
      </c>
      <c r="AQ993" t="inlineStr">
        <is>
          <t>No</t>
        </is>
      </c>
      <c r="AR993">
        <f>HYPERLINK("http://catalog.hathitrust.org/Record/009086273","HathiTrust Record")</f>
        <v/>
      </c>
      <c r="AS993">
        <f>HYPERLINK("https://creighton-primo.hosted.exlibrisgroup.com/primo-explore/search?tab=default_tab&amp;search_scope=EVERYTHING&amp;vid=01CRU&amp;lang=en_US&amp;offset=0&amp;query=any,contains,991004842659702656","Catalog Record")</f>
        <v/>
      </c>
      <c r="AT993">
        <f>HYPERLINK("http://www.worldcat.org/oclc/5516592","WorldCat Record")</f>
        <v/>
      </c>
      <c r="AU993" t="inlineStr">
        <is>
          <t>789803281:eng</t>
        </is>
      </c>
      <c r="AV993" t="inlineStr">
        <is>
          <t>5516592</t>
        </is>
      </c>
      <c r="AW993" t="inlineStr">
        <is>
          <t>991004842659702656</t>
        </is>
      </c>
      <c r="AX993" t="inlineStr">
        <is>
          <t>991004842659702656</t>
        </is>
      </c>
      <c r="AY993" t="inlineStr">
        <is>
          <t>2271566040002656</t>
        </is>
      </c>
      <c r="AZ993" t="inlineStr">
        <is>
          <t>BOOK</t>
        </is>
      </c>
      <c r="BC993" t="inlineStr">
        <is>
          <t>32285002911898</t>
        </is>
      </c>
      <c r="BD993" t="inlineStr">
        <is>
          <t>893443110</t>
        </is>
      </c>
    </row>
    <row r="994">
      <c r="A994" t="inlineStr">
        <is>
          <t>No</t>
        </is>
      </c>
      <c r="B994" t="inlineStr">
        <is>
          <t>QH461 .I57 1979</t>
        </is>
      </c>
      <c r="C994" t="inlineStr">
        <is>
          <t>0                      QH 0461000I  57          1979</t>
        </is>
      </c>
      <c r="D994" t="inlineStr">
        <is>
          <t>Polyploidy, biological relevance : [proceedings of the International Conference on Polyploidy, Biological Relevance, held at Washington University, St. Louis, Missouri, May 24-27, 1979] / edited by Walter H. Lewis.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International Conference on Polyploidy: Biological Relevance (1979 : Washington University)</t>
        </is>
      </c>
      <c r="L994" t="inlineStr">
        <is>
          <t>New York : Plenum Press, c1980.</t>
        </is>
      </c>
      <c r="M994" t="inlineStr">
        <is>
          <t>1980</t>
        </is>
      </c>
      <c r="O994" t="inlineStr">
        <is>
          <t>eng</t>
        </is>
      </c>
      <c r="P994" t="inlineStr">
        <is>
          <t>nyu</t>
        </is>
      </c>
      <c r="Q994" t="inlineStr">
        <is>
          <t>Basic life sciences ; v. 13</t>
        </is>
      </c>
      <c r="R994" t="inlineStr">
        <is>
          <t xml:space="preserve">QH </t>
        </is>
      </c>
      <c r="S994" t="n">
        <v>1</v>
      </c>
      <c r="T994" t="n">
        <v>1</v>
      </c>
      <c r="U994" t="inlineStr">
        <is>
          <t>2001-05-09</t>
        </is>
      </c>
      <c r="V994" t="inlineStr">
        <is>
          <t>2001-05-09</t>
        </is>
      </c>
      <c r="W994" t="inlineStr">
        <is>
          <t>1993-04-12</t>
        </is>
      </c>
      <c r="X994" t="inlineStr">
        <is>
          <t>1993-04-12</t>
        </is>
      </c>
      <c r="Y994" t="n">
        <v>425</v>
      </c>
      <c r="Z994" t="n">
        <v>307</v>
      </c>
      <c r="AA994" t="n">
        <v>315</v>
      </c>
      <c r="AB994" t="n">
        <v>3</v>
      </c>
      <c r="AC994" t="n">
        <v>3</v>
      </c>
      <c r="AD994" t="n">
        <v>8</v>
      </c>
      <c r="AE994" t="n">
        <v>8</v>
      </c>
      <c r="AF994" t="n">
        <v>2</v>
      </c>
      <c r="AG994" t="n">
        <v>2</v>
      </c>
      <c r="AH994" t="n">
        <v>1</v>
      </c>
      <c r="AI994" t="n">
        <v>1</v>
      </c>
      <c r="AJ994" t="n">
        <v>5</v>
      </c>
      <c r="AK994" t="n">
        <v>5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HYPERLINK("https://creighton-primo.hosted.exlibrisgroup.com/primo-explore/search?tab=default_tab&amp;search_scope=EVERYTHING&amp;vid=01CRU&amp;lang=en_US&amp;offset=0&amp;query=any,contains,991004904599702656","Catalog Record")</f>
        <v/>
      </c>
      <c r="AT994">
        <f>HYPERLINK("http://www.worldcat.org/oclc/5946312","WorldCat Record")</f>
        <v/>
      </c>
      <c r="AU994" t="inlineStr">
        <is>
          <t>793107000:eng</t>
        </is>
      </c>
      <c r="AV994" t="inlineStr">
        <is>
          <t>5946312</t>
        </is>
      </c>
      <c r="AW994" t="inlineStr">
        <is>
          <t>991004904599702656</t>
        </is>
      </c>
      <c r="AX994" t="inlineStr">
        <is>
          <t>991004904599702656</t>
        </is>
      </c>
      <c r="AY994" t="inlineStr">
        <is>
          <t>2257691060002656</t>
        </is>
      </c>
      <c r="AZ994" t="inlineStr">
        <is>
          <t>BOOK</t>
        </is>
      </c>
      <c r="BB994" t="inlineStr">
        <is>
          <t>9780306403583</t>
        </is>
      </c>
      <c r="BC994" t="inlineStr">
        <is>
          <t>32285001640589</t>
        </is>
      </c>
      <c r="BD994" t="inlineStr">
        <is>
          <t>893807612</t>
        </is>
      </c>
    </row>
    <row r="995">
      <c r="A995" t="inlineStr">
        <is>
          <t>No</t>
        </is>
      </c>
      <c r="B995" t="inlineStr">
        <is>
          <t>QH462.I48 M33 1987</t>
        </is>
      </c>
      <c r="C995" t="inlineStr">
        <is>
          <t>0                      QH 0462000I  48                 M  33          1987</t>
        </is>
      </c>
      <c r="D995" t="inlineStr">
        <is>
          <t>The discovery and characterization of transposable elements : the collected papers of Barbara McClintock.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McClintock, Barbara, 1902-1992.</t>
        </is>
      </c>
      <c r="L995" t="inlineStr">
        <is>
          <t>New York : Garland Pub., 1987.</t>
        </is>
      </c>
      <c r="M995" t="inlineStr">
        <is>
          <t>1987</t>
        </is>
      </c>
      <c r="O995" t="inlineStr">
        <is>
          <t>eng</t>
        </is>
      </c>
      <c r="P995" t="inlineStr">
        <is>
          <t>nyu</t>
        </is>
      </c>
      <c r="Q995" t="inlineStr">
        <is>
          <t>Genes, cells, and organisms</t>
        </is>
      </c>
      <c r="R995" t="inlineStr">
        <is>
          <t xml:space="preserve">QH </t>
        </is>
      </c>
      <c r="S995" t="n">
        <v>6</v>
      </c>
      <c r="T995" t="n">
        <v>6</v>
      </c>
      <c r="U995" t="inlineStr">
        <is>
          <t>2000-01-28</t>
        </is>
      </c>
      <c r="V995" t="inlineStr">
        <is>
          <t>2000-01-28</t>
        </is>
      </c>
      <c r="W995" t="inlineStr">
        <is>
          <t>1991-12-17</t>
        </is>
      </c>
      <c r="X995" t="inlineStr">
        <is>
          <t>1991-12-17</t>
        </is>
      </c>
      <c r="Y995" t="n">
        <v>338</v>
      </c>
      <c r="Z995" t="n">
        <v>291</v>
      </c>
      <c r="AA995" t="n">
        <v>291</v>
      </c>
      <c r="AB995" t="n">
        <v>2</v>
      </c>
      <c r="AC995" t="n">
        <v>2</v>
      </c>
      <c r="AD995" t="n">
        <v>19</v>
      </c>
      <c r="AE995" t="n">
        <v>19</v>
      </c>
      <c r="AF995" t="n">
        <v>9</v>
      </c>
      <c r="AG995" t="n">
        <v>9</v>
      </c>
      <c r="AH995" t="n">
        <v>2</v>
      </c>
      <c r="AI995" t="n">
        <v>2</v>
      </c>
      <c r="AJ995" t="n">
        <v>12</v>
      </c>
      <c r="AK995" t="n">
        <v>12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No</t>
        </is>
      </c>
      <c r="AS995">
        <f>HYPERLINK("https://creighton-primo.hosted.exlibrisgroup.com/primo-explore/search?tab=default_tab&amp;search_scope=EVERYTHING&amp;vid=01CRU&amp;lang=en_US&amp;offset=0&amp;query=any,contains,991001131419702656","Catalog Record")</f>
        <v/>
      </c>
      <c r="AT995">
        <f>HYPERLINK("http://www.worldcat.org/oclc/16683383","WorldCat Record")</f>
        <v/>
      </c>
      <c r="AU995" t="inlineStr">
        <is>
          <t>2803228:eng</t>
        </is>
      </c>
      <c r="AV995" t="inlineStr">
        <is>
          <t>16683383</t>
        </is>
      </c>
      <c r="AW995" t="inlineStr">
        <is>
          <t>991001131419702656</t>
        </is>
      </c>
      <c r="AX995" t="inlineStr">
        <is>
          <t>991001131419702656</t>
        </is>
      </c>
      <c r="AY995" t="inlineStr">
        <is>
          <t>2272818440002656</t>
        </is>
      </c>
      <c r="AZ995" t="inlineStr">
        <is>
          <t>BOOK</t>
        </is>
      </c>
      <c r="BB995" t="inlineStr">
        <is>
          <t>9780824013912</t>
        </is>
      </c>
      <c r="BC995" t="inlineStr">
        <is>
          <t>32285000907328</t>
        </is>
      </c>
      <c r="BD995" t="inlineStr">
        <is>
          <t>893797320</t>
        </is>
      </c>
    </row>
    <row r="996">
      <c r="A996" t="inlineStr">
        <is>
          <t>No</t>
        </is>
      </c>
      <c r="B996" t="inlineStr">
        <is>
          <t>QH465.5 .D57 1991</t>
        </is>
      </c>
      <c r="C996" t="inlineStr">
        <is>
          <t>0                      QH 0465500D  57          1991</t>
        </is>
      </c>
      <c r="D996" t="inlineStr">
        <is>
          <t>Directed mutagenesis : a practical approach / edited by M.J. McPherson.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Oxford [England] ; New York : IRL Press ; New York : Oxford University Press, c1991.</t>
        </is>
      </c>
      <c r="M996" t="inlineStr">
        <is>
          <t>1991</t>
        </is>
      </c>
      <c r="O996" t="inlineStr">
        <is>
          <t>eng</t>
        </is>
      </c>
      <c r="P996" t="inlineStr">
        <is>
          <t>enk</t>
        </is>
      </c>
      <c r="Q996" t="inlineStr">
        <is>
          <t>The Practical approach series</t>
        </is>
      </c>
      <c r="R996" t="inlineStr">
        <is>
          <t xml:space="preserve">QH </t>
        </is>
      </c>
      <c r="S996" t="n">
        <v>3</v>
      </c>
      <c r="T996" t="n">
        <v>3</v>
      </c>
      <c r="U996" t="inlineStr">
        <is>
          <t>2001-09-28</t>
        </is>
      </c>
      <c r="V996" t="inlineStr">
        <is>
          <t>2001-09-28</t>
        </is>
      </c>
      <c r="W996" t="inlineStr">
        <is>
          <t>1992-02-13</t>
        </is>
      </c>
      <c r="X996" t="inlineStr">
        <is>
          <t>1992-02-13</t>
        </is>
      </c>
      <c r="Y996" t="n">
        <v>244</v>
      </c>
      <c r="Z996" t="n">
        <v>150</v>
      </c>
      <c r="AA996" t="n">
        <v>153</v>
      </c>
      <c r="AB996" t="n">
        <v>2</v>
      </c>
      <c r="AC996" t="n">
        <v>2</v>
      </c>
      <c r="AD996" t="n">
        <v>5</v>
      </c>
      <c r="AE996" t="n">
        <v>5</v>
      </c>
      <c r="AF996" t="n">
        <v>0</v>
      </c>
      <c r="AG996" t="n">
        <v>0</v>
      </c>
      <c r="AH996" t="n">
        <v>2</v>
      </c>
      <c r="AI996" t="n">
        <v>2</v>
      </c>
      <c r="AJ996" t="n">
        <v>3</v>
      </c>
      <c r="AK996" t="n">
        <v>3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HYPERLINK("http://catalog.hathitrust.org/Record/002466471","HathiTrust Record")</f>
        <v/>
      </c>
      <c r="AS996">
        <f>HYPERLINK("https://creighton-primo.hosted.exlibrisgroup.com/primo-explore/search?tab=default_tab&amp;search_scope=EVERYTHING&amp;vid=01CRU&amp;lang=en_US&amp;offset=0&amp;query=any,contains,991001780609702656","Catalog Record")</f>
        <v/>
      </c>
      <c r="AT996">
        <f>HYPERLINK("http://www.worldcat.org/oclc/22452898","WorldCat Record")</f>
        <v/>
      </c>
      <c r="AU996" t="inlineStr">
        <is>
          <t>798721324:eng</t>
        </is>
      </c>
      <c r="AV996" t="inlineStr">
        <is>
          <t>22452898</t>
        </is>
      </c>
      <c r="AW996" t="inlineStr">
        <is>
          <t>991001780609702656</t>
        </is>
      </c>
      <c r="AX996" t="inlineStr">
        <is>
          <t>991001780609702656</t>
        </is>
      </c>
      <c r="AY996" t="inlineStr">
        <is>
          <t>2260232930002656</t>
        </is>
      </c>
      <c r="AZ996" t="inlineStr">
        <is>
          <t>BOOK</t>
        </is>
      </c>
      <c r="BB996" t="inlineStr">
        <is>
          <t>9780199631414</t>
        </is>
      </c>
      <c r="BC996" t="inlineStr">
        <is>
          <t>32285000869585</t>
        </is>
      </c>
      <c r="BD996" t="inlineStr">
        <is>
          <t>893885542</t>
        </is>
      </c>
    </row>
    <row r="997">
      <c r="A997" t="inlineStr">
        <is>
          <t>No</t>
        </is>
      </c>
      <c r="B997" t="inlineStr">
        <is>
          <t>QH465.A1 M8</t>
        </is>
      </c>
      <c r="C997" t="inlineStr">
        <is>
          <t>0                      QH 0465000A  1                  M  8</t>
        </is>
      </c>
      <c r="D997" t="inlineStr">
        <is>
          <t>Mutagenesis / edited by John W. Drake and Robert E. Koch. --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Stroudsburg, Pa. : Dowden, Hutchinson and Ross : distributed by Academic Press, 1976.</t>
        </is>
      </c>
      <c r="M997" t="inlineStr">
        <is>
          <t>1976</t>
        </is>
      </c>
      <c r="O997" t="inlineStr">
        <is>
          <t>eng</t>
        </is>
      </c>
      <c r="P997" t="inlineStr">
        <is>
          <t>pau</t>
        </is>
      </c>
      <c r="Q997" t="inlineStr">
        <is>
          <t>Benchmark papers in genetics ; 4</t>
        </is>
      </c>
      <c r="R997" t="inlineStr">
        <is>
          <t xml:space="preserve">QH </t>
        </is>
      </c>
      <c r="S997" t="n">
        <v>2</v>
      </c>
      <c r="T997" t="n">
        <v>2</v>
      </c>
      <c r="U997" t="inlineStr">
        <is>
          <t>2001-09-08</t>
        </is>
      </c>
      <c r="V997" t="inlineStr">
        <is>
          <t>2001-09-08</t>
        </is>
      </c>
      <c r="W997" t="inlineStr">
        <is>
          <t>1993-04-12</t>
        </is>
      </c>
      <c r="X997" t="inlineStr">
        <is>
          <t>1993-04-12</t>
        </is>
      </c>
      <c r="Y997" t="n">
        <v>98</v>
      </c>
      <c r="Z997" t="n">
        <v>88</v>
      </c>
      <c r="AA997" t="n">
        <v>251</v>
      </c>
      <c r="AB997" t="n">
        <v>2</v>
      </c>
      <c r="AC997" t="n">
        <v>3</v>
      </c>
      <c r="AD997" t="n">
        <v>3</v>
      </c>
      <c r="AE997" t="n">
        <v>10</v>
      </c>
      <c r="AF997" t="n">
        <v>1</v>
      </c>
      <c r="AG997" t="n">
        <v>4</v>
      </c>
      <c r="AH997" t="n">
        <v>0</v>
      </c>
      <c r="AI997" t="n">
        <v>2</v>
      </c>
      <c r="AJ997" t="n">
        <v>1</v>
      </c>
      <c r="AK997" t="n">
        <v>5</v>
      </c>
      <c r="AL997" t="n">
        <v>1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HYPERLINK("https://creighton-primo.hosted.exlibrisgroup.com/primo-explore/search?tab=default_tab&amp;search_scope=EVERYTHING&amp;vid=01CRU&amp;lang=en_US&amp;offset=0&amp;query=any,contains,991004099749702656","Catalog Record")</f>
        <v/>
      </c>
      <c r="AT997">
        <f>HYPERLINK("http://www.worldcat.org/oclc/2370809","WorldCat Record")</f>
        <v/>
      </c>
      <c r="AU997" t="inlineStr">
        <is>
          <t>54161933:eng</t>
        </is>
      </c>
      <c r="AV997" t="inlineStr">
        <is>
          <t>2370809</t>
        </is>
      </c>
      <c r="AW997" t="inlineStr">
        <is>
          <t>991004099749702656</t>
        </is>
      </c>
      <c r="AX997" t="inlineStr">
        <is>
          <t>991004099749702656</t>
        </is>
      </c>
      <c r="AY997" t="inlineStr">
        <is>
          <t>2255895780002656</t>
        </is>
      </c>
      <c r="AZ997" t="inlineStr">
        <is>
          <t>BOOK</t>
        </is>
      </c>
      <c r="BB997" t="inlineStr">
        <is>
          <t>9780470149904</t>
        </is>
      </c>
      <c r="BC997" t="inlineStr">
        <is>
          <t>32285001640639</t>
        </is>
      </c>
      <c r="BD997" t="inlineStr">
        <is>
          <t>893331207</t>
        </is>
      </c>
    </row>
    <row r="998">
      <c r="A998" t="inlineStr">
        <is>
          <t>No</t>
        </is>
      </c>
      <c r="B998" t="inlineStr">
        <is>
          <t>QH465.C5 B78</t>
        </is>
      </c>
      <c r="C998" t="inlineStr">
        <is>
          <t>0                      QH 0465000C  5                  B  78</t>
        </is>
      </c>
      <c r="D998" t="inlineStr">
        <is>
          <t>Principles of genetic toxicology / David Brusick.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Yes</t>
        </is>
      </c>
      <c r="J998" t="inlineStr">
        <is>
          <t>0</t>
        </is>
      </c>
      <c r="K998" t="inlineStr">
        <is>
          <t>Brusick, David.</t>
        </is>
      </c>
      <c r="L998" t="inlineStr">
        <is>
          <t>New York : Plenum Press, c1980.</t>
        </is>
      </c>
      <c r="M998" t="inlineStr">
        <is>
          <t>1980</t>
        </is>
      </c>
      <c r="O998" t="inlineStr">
        <is>
          <t>eng</t>
        </is>
      </c>
      <c r="P998" t="inlineStr">
        <is>
          <t>nyu</t>
        </is>
      </c>
      <c r="R998" t="inlineStr">
        <is>
          <t xml:space="preserve">QH </t>
        </is>
      </c>
      <c r="S998" t="n">
        <v>4</v>
      </c>
      <c r="T998" t="n">
        <v>4</v>
      </c>
      <c r="U998" t="inlineStr">
        <is>
          <t>1994-02-24</t>
        </is>
      </c>
      <c r="V998" t="inlineStr">
        <is>
          <t>1994-02-24</t>
        </is>
      </c>
      <c r="W998" t="inlineStr">
        <is>
          <t>1993-04-12</t>
        </is>
      </c>
      <c r="X998" t="inlineStr">
        <is>
          <t>1993-04-12</t>
        </is>
      </c>
      <c r="Y998" t="n">
        <v>430</v>
      </c>
      <c r="Z998" t="n">
        <v>321</v>
      </c>
      <c r="AA998" t="n">
        <v>419</v>
      </c>
      <c r="AB998" t="n">
        <v>6</v>
      </c>
      <c r="AC998" t="n">
        <v>7</v>
      </c>
      <c r="AD998" t="n">
        <v>12</v>
      </c>
      <c r="AE998" t="n">
        <v>14</v>
      </c>
      <c r="AF998" t="n">
        <v>2</v>
      </c>
      <c r="AG998" t="n">
        <v>3</v>
      </c>
      <c r="AH998" t="n">
        <v>2</v>
      </c>
      <c r="AI998" t="n">
        <v>2</v>
      </c>
      <c r="AJ998" t="n">
        <v>4</v>
      </c>
      <c r="AK998" t="n">
        <v>6</v>
      </c>
      <c r="AL998" t="n">
        <v>5</v>
      </c>
      <c r="AM998" t="n">
        <v>5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HYPERLINK("http://catalog.hathitrust.org/Record/000735547","HathiTrust Record")</f>
        <v/>
      </c>
      <c r="AS998">
        <f>HYPERLINK("https://creighton-primo.hosted.exlibrisgroup.com/primo-explore/search?tab=default_tab&amp;search_scope=EVERYTHING&amp;vid=01CRU&amp;lang=en_US&amp;offset=0&amp;query=any,contains,991004956379702656","Catalog Record")</f>
        <v/>
      </c>
      <c r="AT998">
        <f>HYPERLINK("http://www.worldcat.org/oclc/6278527","WorldCat Record")</f>
        <v/>
      </c>
      <c r="AU998" t="inlineStr">
        <is>
          <t>12188417:eng</t>
        </is>
      </c>
      <c r="AV998" t="inlineStr">
        <is>
          <t>6278527</t>
        </is>
      </c>
      <c r="AW998" t="inlineStr">
        <is>
          <t>991004956379702656</t>
        </is>
      </c>
      <c r="AX998" t="inlineStr">
        <is>
          <t>991004956379702656</t>
        </is>
      </c>
      <c r="AY998" t="inlineStr">
        <is>
          <t>2266957810002656</t>
        </is>
      </c>
      <c r="AZ998" t="inlineStr">
        <is>
          <t>BOOK</t>
        </is>
      </c>
      <c r="BB998" t="inlineStr">
        <is>
          <t>9780306404146</t>
        </is>
      </c>
      <c r="BC998" t="inlineStr">
        <is>
          <t>32285001640654</t>
        </is>
      </c>
      <c r="BD998" t="inlineStr">
        <is>
          <t>893526698</t>
        </is>
      </c>
    </row>
    <row r="999">
      <c r="A999" t="inlineStr">
        <is>
          <t>No</t>
        </is>
      </c>
      <c r="B999" t="inlineStr">
        <is>
          <t>QH467 .C47 1981</t>
        </is>
      </c>
      <c r="C999" t="inlineStr">
        <is>
          <t>0                      QH 0467000C  47          1981</t>
        </is>
      </c>
      <c r="D999" t="inlineStr">
        <is>
          <t>Chromosome damage and repair / edited by Erling Seeberg and Kjell Kleppe.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New York : Plenum Press, c1981.</t>
        </is>
      </c>
      <c r="M999" t="inlineStr">
        <is>
          <t>1981</t>
        </is>
      </c>
      <c r="O999" t="inlineStr">
        <is>
          <t>eng</t>
        </is>
      </c>
      <c r="P999" t="inlineStr">
        <is>
          <t>nyu</t>
        </is>
      </c>
      <c r="Q999" t="inlineStr">
        <is>
          <t>NATO advanced study institutes series. Series A, Life sciences ; v. 40</t>
        </is>
      </c>
      <c r="R999" t="inlineStr">
        <is>
          <t xml:space="preserve">QH </t>
        </is>
      </c>
      <c r="S999" t="n">
        <v>3</v>
      </c>
      <c r="T999" t="n">
        <v>3</v>
      </c>
      <c r="U999" t="inlineStr">
        <is>
          <t>2008-10-26</t>
        </is>
      </c>
      <c r="V999" t="inlineStr">
        <is>
          <t>2008-10-26</t>
        </is>
      </c>
      <c r="W999" t="inlineStr">
        <is>
          <t>1993-04-26</t>
        </is>
      </c>
      <c r="X999" t="inlineStr">
        <is>
          <t>1993-04-26</t>
        </is>
      </c>
      <c r="Y999" t="n">
        <v>239</v>
      </c>
      <c r="Z999" t="n">
        <v>172</v>
      </c>
      <c r="AA999" t="n">
        <v>193</v>
      </c>
      <c r="AB999" t="n">
        <v>3</v>
      </c>
      <c r="AC999" t="n">
        <v>3</v>
      </c>
      <c r="AD999" t="n">
        <v>4</v>
      </c>
      <c r="AE999" t="n">
        <v>5</v>
      </c>
      <c r="AF999" t="n">
        <v>1</v>
      </c>
      <c r="AG999" t="n">
        <v>2</v>
      </c>
      <c r="AH999" t="n">
        <v>1</v>
      </c>
      <c r="AI999" t="n">
        <v>1</v>
      </c>
      <c r="AJ999" t="n">
        <v>2</v>
      </c>
      <c r="AK999" t="n">
        <v>3</v>
      </c>
      <c r="AL999" t="n">
        <v>2</v>
      </c>
      <c r="AM999" t="n">
        <v>2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HYPERLINK("http://catalog.hathitrust.org/Record/009914317","HathiTrust Record")</f>
        <v/>
      </c>
      <c r="AS999">
        <f>HYPERLINK("https://creighton-primo.hosted.exlibrisgroup.com/primo-explore/search?tab=default_tab&amp;search_scope=EVERYTHING&amp;vid=01CRU&amp;lang=en_US&amp;offset=0&amp;query=any,contains,991005257379702656","Catalog Record")</f>
        <v/>
      </c>
      <c r="AT999">
        <f>HYPERLINK("http://www.worldcat.org/oclc/7944716","WorldCat Record")</f>
        <v/>
      </c>
      <c r="AU999" t="inlineStr">
        <is>
          <t>438243:eng</t>
        </is>
      </c>
      <c r="AV999" t="inlineStr">
        <is>
          <t>7944716</t>
        </is>
      </c>
      <c r="AW999" t="inlineStr">
        <is>
          <t>991005257379702656</t>
        </is>
      </c>
      <c r="AX999" t="inlineStr">
        <is>
          <t>991005257379702656</t>
        </is>
      </c>
      <c r="AY999" t="inlineStr">
        <is>
          <t>2269701110002656</t>
        </is>
      </c>
      <c r="AZ999" t="inlineStr">
        <is>
          <t>BOOK</t>
        </is>
      </c>
      <c r="BB999" t="inlineStr">
        <is>
          <t>9780306408861</t>
        </is>
      </c>
      <c r="BC999" t="inlineStr">
        <is>
          <t>32285001640696</t>
        </is>
      </c>
      <c r="BD999" t="inlineStr">
        <is>
          <t>893332675</t>
        </is>
      </c>
    </row>
    <row r="1000">
      <c r="A1000" t="inlineStr">
        <is>
          <t>No</t>
        </is>
      </c>
      <c r="B1000" t="inlineStr">
        <is>
          <t>QH467 .D16 v...</t>
        </is>
      </c>
      <c r="C1000" t="inlineStr">
        <is>
          <t>0                      QH 0467000D  16                                                      v...</t>
        </is>
      </c>
      <c r="D1000" t="inlineStr">
        <is>
          <t>DNA repair : a laboratory manual of research procedures / edited by Errol C. Friedberg and Philip C. Hanawalt.</t>
        </is>
      </c>
      <c r="E1000" t="inlineStr">
        <is>
          <t>V.3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M. Dekker, c1981-&lt;c1988 &gt;</t>
        </is>
      </c>
      <c r="M1000" t="inlineStr">
        <is>
          <t>1981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QH </t>
        </is>
      </c>
      <c r="S1000" t="n">
        <v>3</v>
      </c>
      <c r="T1000" t="n">
        <v>3</v>
      </c>
      <c r="U1000" t="inlineStr">
        <is>
          <t>1997-08-25</t>
        </is>
      </c>
      <c r="V1000" t="inlineStr">
        <is>
          <t>1997-08-25</t>
        </is>
      </c>
      <c r="W1000" t="inlineStr">
        <is>
          <t>1992-03-04</t>
        </is>
      </c>
      <c r="X1000" t="inlineStr">
        <is>
          <t>1992-03-04</t>
        </is>
      </c>
      <c r="Y1000" t="n">
        <v>305</v>
      </c>
      <c r="Z1000" t="n">
        <v>239</v>
      </c>
      <c r="AA1000" t="n">
        <v>245</v>
      </c>
      <c r="AB1000" t="n">
        <v>2</v>
      </c>
      <c r="AC1000" t="n">
        <v>2</v>
      </c>
      <c r="AD1000" t="n">
        <v>4</v>
      </c>
      <c r="AE1000" t="n">
        <v>5</v>
      </c>
      <c r="AF1000" t="n">
        <v>1</v>
      </c>
      <c r="AG1000" t="n">
        <v>1</v>
      </c>
      <c r="AH1000" t="n">
        <v>1</v>
      </c>
      <c r="AI1000" t="n">
        <v>2</v>
      </c>
      <c r="AJ1000" t="n">
        <v>2</v>
      </c>
      <c r="AK1000" t="n">
        <v>3</v>
      </c>
      <c r="AL1000" t="n">
        <v>1</v>
      </c>
      <c r="AM1000" t="n">
        <v>1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HYPERLINK("http://catalog.hathitrust.org/Record/000264634","HathiTrust Record")</f>
        <v/>
      </c>
      <c r="AS1000">
        <f>HYPERLINK("https://creighton-primo.hosted.exlibrisgroup.com/primo-explore/search?tab=default_tab&amp;search_scope=EVERYTHING&amp;vid=01CRU&amp;lang=en_US&amp;offset=0&amp;query=any,contains,991005067579702656","Catalog Record")</f>
        <v/>
      </c>
      <c r="AT1000">
        <f>HYPERLINK("http://www.worldcat.org/oclc/6981813","WorldCat Record")</f>
        <v/>
      </c>
      <c r="AU1000" t="inlineStr">
        <is>
          <t>2257200620:eng</t>
        </is>
      </c>
      <c r="AV1000" t="inlineStr">
        <is>
          <t>6981813</t>
        </is>
      </c>
      <c r="AW1000" t="inlineStr">
        <is>
          <t>991005067579702656</t>
        </is>
      </c>
      <c r="AX1000" t="inlineStr">
        <is>
          <t>991005067579702656</t>
        </is>
      </c>
      <c r="AY1000" t="inlineStr">
        <is>
          <t>2272728800002656</t>
        </is>
      </c>
      <c r="AZ1000" t="inlineStr">
        <is>
          <t>BOOK</t>
        </is>
      </c>
      <c r="BB1000" t="inlineStr">
        <is>
          <t>9780824710934</t>
        </is>
      </c>
      <c r="BC1000" t="inlineStr">
        <is>
          <t>32285000992163</t>
        </is>
      </c>
      <c r="BD1000" t="inlineStr">
        <is>
          <t>893628505</t>
        </is>
      </c>
    </row>
    <row r="1001">
      <c r="A1001" t="inlineStr">
        <is>
          <t>No</t>
        </is>
      </c>
      <c r="B1001" t="inlineStr">
        <is>
          <t>QH467 .D165 1995</t>
        </is>
      </c>
      <c r="C1001" t="inlineStr">
        <is>
          <t>0                      QH 0467000D  165         1995</t>
        </is>
      </c>
      <c r="D1001" t="inlineStr">
        <is>
          <t>DNA repair mechanisms : impact on human diseases and cancer / [edited by] Jean-Michel H. Vos.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New York : Springer-Verlag ; Austin : R.G. Landes, c1995.</t>
        </is>
      </c>
      <c r="M1001" t="inlineStr">
        <is>
          <t>1995</t>
        </is>
      </c>
      <c r="O1001" t="inlineStr">
        <is>
          <t>eng</t>
        </is>
      </c>
      <c r="P1001" t="inlineStr">
        <is>
          <t>nyu</t>
        </is>
      </c>
      <c r="Q1001" t="inlineStr">
        <is>
          <t>Molecular biology intelligence unit</t>
        </is>
      </c>
      <c r="R1001" t="inlineStr">
        <is>
          <t xml:space="preserve">QH </t>
        </is>
      </c>
      <c r="S1001" t="n">
        <v>3</v>
      </c>
      <c r="T1001" t="n">
        <v>3</v>
      </c>
      <c r="U1001" t="inlineStr">
        <is>
          <t>1997-03-17</t>
        </is>
      </c>
      <c r="V1001" t="inlineStr">
        <is>
          <t>1997-03-17</t>
        </is>
      </c>
      <c r="W1001" t="inlineStr">
        <is>
          <t>1996-08-19</t>
        </is>
      </c>
      <c r="X1001" t="inlineStr">
        <is>
          <t>1996-08-19</t>
        </is>
      </c>
      <c r="Y1001" t="n">
        <v>112</v>
      </c>
      <c r="Z1001" t="n">
        <v>60</v>
      </c>
      <c r="AA1001" t="n">
        <v>63</v>
      </c>
      <c r="AB1001" t="n">
        <v>2</v>
      </c>
      <c r="AC1001" t="n">
        <v>2</v>
      </c>
      <c r="AD1001" t="n">
        <v>2</v>
      </c>
      <c r="AE1001" t="n">
        <v>2</v>
      </c>
      <c r="AF1001" t="n">
        <v>1</v>
      </c>
      <c r="AG1001" t="n">
        <v>1</v>
      </c>
      <c r="AH1001" t="n">
        <v>0</v>
      </c>
      <c r="AI1001" t="n">
        <v>0</v>
      </c>
      <c r="AJ1001" t="n">
        <v>1</v>
      </c>
      <c r="AK1001" t="n">
        <v>1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HYPERLINK("http://catalog.hathitrust.org/Record/007972760","HathiTrust Record")</f>
        <v/>
      </c>
      <c r="AS1001">
        <f>HYPERLINK("https://creighton-primo.hosted.exlibrisgroup.com/primo-explore/search?tab=default_tab&amp;search_scope=EVERYTHING&amp;vid=01CRU&amp;lang=en_US&amp;offset=0&amp;query=any,contains,991002484729702656","Catalog Record")</f>
        <v/>
      </c>
      <c r="AT1001">
        <f>HYPERLINK("http://www.worldcat.org/oclc/32347339","WorldCat Record")</f>
        <v/>
      </c>
      <c r="AU1001" t="inlineStr">
        <is>
          <t>891312746:eng</t>
        </is>
      </c>
      <c r="AV1001" t="inlineStr">
        <is>
          <t>32347339</t>
        </is>
      </c>
      <c r="AW1001" t="inlineStr">
        <is>
          <t>991002484729702656</t>
        </is>
      </c>
      <c r="AX1001" t="inlineStr">
        <is>
          <t>991002484729702656</t>
        </is>
      </c>
      <c r="AY1001" t="inlineStr">
        <is>
          <t>2261150780002656</t>
        </is>
      </c>
      <c r="AZ1001" t="inlineStr">
        <is>
          <t>BOOK</t>
        </is>
      </c>
      <c r="BB1001" t="inlineStr">
        <is>
          <t>9781570591075</t>
        </is>
      </c>
      <c r="BC1001" t="inlineStr">
        <is>
          <t>32285002290665</t>
        </is>
      </c>
      <c r="BD1001" t="inlineStr">
        <is>
          <t>893697854</t>
        </is>
      </c>
    </row>
    <row r="1002">
      <c r="A1002" t="inlineStr">
        <is>
          <t>No</t>
        </is>
      </c>
      <c r="B1002" t="inlineStr">
        <is>
          <t>QH467 .F75 1985</t>
        </is>
      </c>
      <c r="C1002" t="inlineStr">
        <is>
          <t>0                      QH 0467000F  75          1985</t>
        </is>
      </c>
      <c r="D1002" t="inlineStr">
        <is>
          <t>DNA repair / Errol C. Friedberg.</t>
        </is>
      </c>
      <c r="F1002" t="inlineStr">
        <is>
          <t>No</t>
        </is>
      </c>
      <c r="G1002" t="inlineStr">
        <is>
          <t>1</t>
        </is>
      </c>
      <c r="H1002" t="inlineStr">
        <is>
          <t>Yes</t>
        </is>
      </c>
      <c r="I1002" t="inlineStr">
        <is>
          <t>No</t>
        </is>
      </c>
      <c r="J1002" t="inlineStr">
        <is>
          <t>0</t>
        </is>
      </c>
      <c r="K1002" t="inlineStr">
        <is>
          <t>Friedberg, Errol C.</t>
        </is>
      </c>
      <c r="L1002" t="inlineStr">
        <is>
          <t>New York : W.H. Freeman, c1985.</t>
        </is>
      </c>
      <c r="M1002" t="inlineStr">
        <is>
          <t>1985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QH </t>
        </is>
      </c>
      <c r="S1002" t="n">
        <v>4</v>
      </c>
      <c r="T1002" t="n">
        <v>15</v>
      </c>
      <c r="U1002" t="inlineStr">
        <is>
          <t>1994-10-11</t>
        </is>
      </c>
      <c r="V1002" t="inlineStr">
        <is>
          <t>2000-02-15</t>
        </is>
      </c>
      <c r="W1002" t="inlineStr">
        <is>
          <t>1993-04-26</t>
        </is>
      </c>
      <c r="X1002" t="inlineStr">
        <is>
          <t>1993-04-26</t>
        </is>
      </c>
      <c r="Y1002" t="n">
        <v>490</v>
      </c>
      <c r="Z1002" t="n">
        <v>344</v>
      </c>
      <c r="AA1002" t="n">
        <v>349</v>
      </c>
      <c r="AB1002" t="n">
        <v>4</v>
      </c>
      <c r="AC1002" t="n">
        <v>4</v>
      </c>
      <c r="AD1002" t="n">
        <v>10</v>
      </c>
      <c r="AE1002" t="n">
        <v>10</v>
      </c>
      <c r="AF1002" t="n">
        <v>2</v>
      </c>
      <c r="AG1002" t="n">
        <v>2</v>
      </c>
      <c r="AH1002" t="n">
        <v>2</v>
      </c>
      <c r="AI1002" t="n">
        <v>2</v>
      </c>
      <c r="AJ1002" t="n">
        <v>6</v>
      </c>
      <c r="AK1002" t="n">
        <v>6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HYPERLINK("https://creighton-primo.hosted.exlibrisgroup.com/primo-explore/search?tab=default_tab&amp;search_scope=EVERYTHING&amp;vid=01CRU&amp;lang=en_US&amp;offset=0&amp;query=any,contains,991001774519702656","Catalog Record")</f>
        <v/>
      </c>
      <c r="AT1002">
        <f>HYPERLINK("http://www.worldcat.org/oclc/11090682","WorldCat Record")</f>
        <v/>
      </c>
      <c r="AU1002" t="inlineStr">
        <is>
          <t>9236889097:eng</t>
        </is>
      </c>
      <c r="AV1002" t="inlineStr">
        <is>
          <t>11090682</t>
        </is>
      </c>
      <c r="AW1002" t="inlineStr">
        <is>
          <t>991001774519702656</t>
        </is>
      </c>
      <c r="AX1002" t="inlineStr">
        <is>
          <t>991001774519702656</t>
        </is>
      </c>
      <c r="AY1002" t="inlineStr">
        <is>
          <t>2268835920002656</t>
        </is>
      </c>
      <c r="AZ1002" t="inlineStr">
        <is>
          <t>BOOK</t>
        </is>
      </c>
      <c r="BB1002" t="inlineStr">
        <is>
          <t>9780716716747</t>
        </is>
      </c>
      <c r="BC1002" t="inlineStr">
        <is>
          <t>32285001640704</t>
        </is>
      </c>
      <c r="BD1002" t="inlineStr">
        <is>
          <t>893609126</t>
        </is>
      </c>
    </row>
    <row r="1003">
      <c r="A1003" t="inlineStr">
        <is>
          <t>No</t>
        </is>
      </c>
      <c r="B1003" t="inlineStr">
        <is>
          <t>QH470.E8 S65 1988</t>
        </is>
      </c>
      <c r="C1003" t="inlineStr">
        <is>
          <t>0                      QH 0470000E  8                  S  65          1988</t>
        </is>
      </c>
      <c r="D1003" t="inlineStr">
        <is>
          <t>Genetic elements in Escherichia coli / P.F. Smith-Keary.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Smith-Keary, P. F.</t>
        </is>
      </c>
      <c r="L1003" t="inlineStr">
        <is>
          <t>Houndmills, Basingstoke, Hampshire ; London : Macmillan Education, 1988.</t>
        </is>
      </c>
      <c r="M1003" t="inlineStr">
        <is>
          <t>1988</t>
        </is>
      </c>
      <c r="O1003" t="inlineStr">
        <is>
          <t>eng</t>
        </is>
      </c>
      <c r="P1003" t="inlineStr">
        <is>
          <t>enk</t>
        </is>
      </c>
      <c r="Q1003" t="inlineStr">
        <is>
          <t>Macmillan molecular biology series</t>
        </is>
      </c>
      <c r="R1003" t="inlineStr">
        <is>
          <t xml:space="preserve">QH </t>
        </is>
      </c>
      <c r="S1003" t="n">
        <v>1</v>
      </c>
      <c r="T1003" t="n">
        <v>1</v>
      </c>
      <c r="U1003" t="inlineStr">
        <is>
          <t>2002-02-10</t>
        </is>
      </c>
      <c r="V1003" t="inlineStr">
        <is>
          <t>2002-02-10</t>
        </is>
      </c>
      <c r="W1003" t="inlineStr">
        <is>
          <t>1993-04-26</t>
        </is>
      </c>
      <c r="X1003" t="inlineStr">
        <is>
          <t>1993-04-26</t>
        </is>
      </c>
      <c r="Y1003" t="n">
        <v>134</v>
      </c>
      <c r="Z1003" t="n">
        <v>50</v>
      </c>
      <c r="AA1003" t="n">
        <v>67</v>
      </c>
      <c r="AB1003" t="n">
        <v>1</v>
      </c>
      <c r="AC1003" t="n">
        <v>1</v>
      </c>
      <c r="AD1003" t="n">
        <v>3</v>
      </c>
      <c r="AE1003" t="n">
        <v>3</v>
      </c>
      <c r="AF1003" t="n">
        <v>0</v>
      </c>
      <c r="AG1003" t="n">
        <v>0</v>
      </c>
      <c r="AH1003" t="n">
        <v>2</v>
      </c>
      <c r="AI1003" t="n">
        <v>2</v>
      </c>
      <c r="AJ1003" t="n">
        <v>2</v>
      </c>
      <c r="AK1003" t="n">
        <v>2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HYPERLINK("https://creighton-primo.hosted.exlibrisgroup.com/primo-explore/search?tab=default_tab&amp;search_scope=EVERYTHING&amp;vid=01CRU&amp;lang=en_US&amp;offset=0&amp;query=any,contains,991001456169702656","Catalog Record")</f>
        <v/>
      </c>
      <c r="AT1003">
        <f>HYPERLINK("http://www.worldcat.org/oclc/18562192","WorldCat Record")</f>
        <v/>
      </c>
      <c r="AU1003" t="inlineStr">
        <is>
          <t>17484893:eng</t>
        </is>
      </c>
      <c r="AV1003" t="inlineStr">
        <is>
          <t>18562192</t>
        </is>
      </c>
      <c r="AW1003" t="inlineStr">
        <is>
          <t>991001456169702656</t>
        </is>
      </c>
      <c r="AX1003" t="inlineStr">
        <is>
          <t>991001456169702656</t>
        </is>
      </c>
      <c r="AY1003" t="inlineStr">
        <is>
          <t>2269224810002656</t>
        </is>
      </c>
      <c r="AZ1003" t="inlineStr">
        <is>
          <t>BOOK</t>
        </is>
      </c>
      <c r="BB1003" t="inlineStr">
        <is>
          <t>9780333442685</t>
        </is>
      </c>
      <c r="BC1003" t="inlineStr">
        <is>
          <t>32285001640738</t>
        </is>
      </c>
      <c r="BD1003" t="inlineStr">
        <is>
          <t>893509635</t>
        </is>
      </c>
    </row>
    <row r="1004">
      <c r="A1004" t="inlineStr">
        <is>
          <t>No</t>
        </is>
      </c>
      <c r="B1004" t="inlineStr">
        <is>
          <t>QH481 .E96 1987</t>
        </is>
      </c>
      <c r="C1004" t="inlineStr">
        <is>
          <t>0                      QH 0481000E  96          1987</t>
        </is>
      </c>
      <c r="D1004" t="inlineStr">
        <is>
          <t>The Evolution of sex and its consequences / edited by S.C. Stearns.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L1004" t="inlineStr">
        <is>
          <t>Basel ; Boston : Birkhäuser Verlag, 1987.</t>
        </is>
      </c>
      <c r="M1004" t="inlineStr">
        <is>
          <t>1987</t>
        </is>
      </c>
      <c r="O1004" t="inlineStr">
        <is>
          <t>eng</t>
        </is>
      </c>
      <c r="P1004" t="inlineStr">
        <is>
          <t xml:space="preserve">sz </t>
        </is>
      </c>
      <c r="Q1004" t="inlineStr">
        <is>
          <t>Experientia. Supplementum ; 55</t>
        </is>
      </c>
      <c r="R1004" t="inlineStr">
        <is>
          <t xml:space="preserve">QH </t>
        </is>
      </c>
      <c r="S1004" t="n">
        <v>17</v>
      </c>
      <c r="T1004" t="n">
        <v>17</v>
      </c>
      <c r="U1004" t="inlineStr">
        <is>
          <t>2008-11-17</t>
        </is>
      </c>
      <c r="V1004" t="inlineStr">
        <is>
          <t>2008-11-17</t>
        </is>
      </c>
      <c r="W1004" t="inlineStr">
        <is>
          <t>1993-04-26</t>
        </is>
      </c>
      <c r="X1004" t="inlineStr">
        <is>
          <t>1993-04-26</t>
        </is>
      </c>
      <c r="Y1004" t="n">
        <v>285</v>
      </c>
      <c r="Z1004" t="n">
        <v>179</v>
      </c>
      <c r="AA1004" t="n">
        <v>195</v>
      </c>
      <c r="AB1004" t="n">
        <v>1</v>
      </c>
      <c r="AC1004" t="n">
        <v>1</v>
      </c>
      <c r="AD1004" t="n">
        <v>6</v>
      </c>
      <c r="AE1004" t="n">
        <v>7</v>
      </c>
      <c r="AF1004" t="n">
        <v>0</v>
      </c>
      <c r="AG1004" t="n">
        <v>1</v>
      </c>
      <c r="AH1004" t="n">
        <v>2</v>
      </c>
      <c r="AI1004" t="n">
        <v>2</v>
      </c>
      <c r="AJ1004" t="n">
        <v>4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HYPERLINK("http://catalog.hathitrust.org/Record/000880199","HathiTrust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HYPERLINK("https://creighton-primo.hosted.exlibrisgroup.com/primo-explore/search?tab=default_tab&amp;search_scope=EVERYTHING&amp;vid=01CRU&amp;lang=en_US&amp;offset=0&amp;query=any,contains,991001084399702656","Catalog Record")</f>
        <v/>
      </c>
      <c r="AT1004">
        <f>HYPERLINK("http://www.worldcat.org/oclc/16093261","WorldCat Record")</f>
        <v/>
      </c>
      <c r="AU1004" t="inlineStr">
        <is>
          <t>54977232:eng</t>
        </is>
      </c>
      <c r="AV1004" t="inlineStr">
        <is>
          <t>16093261</t>
        </is>
      </c>
      <c r="AW1004" t="inlineStr">
        <is>
          <t>991001084399702656</t>
        </is>
      </c>
      <c r="AX1004" t="inlineStr">
        <is>
          <t>991001084399702656</t>
        </is>
      </c>
      <c r="AY1004" t="inlineStr">
        <is>
          <t>2260134590002656</t>
        </is>
      </c>
      <c r="AZ1004" t="inlineStr">
        <is>
          <t>BOOK</t>
        </is>
      </c>
      <c r="BB1004" t="inlineStr">
        <is>
          <t>9780817618070</t>
        </is>
      </c>
      <c r="BC1004" t="inlineStr">
        <is>
          <t>32285001640779</t>
        </is>
      </c>
      <c r="BD1004" t="inlineStr">
        <is>
          <t>893522277</t>
        </is>
      </c>
    </row>
    <row r="1005">
      <c r="A1005" t="inlineStr">
        <is>
          <t>No</t>
        </is>
      </c>
      <c r="B1005" t="inlineStr">
        <is>
          <t>QH481 .G56 1974</t>
        </is>
      </c>
      <c r="C1005" t="inlineStr">
        <is>
          <t>0                      QH 0481000G  56          1974</t>
        </is>
      </c>
      <c r="D1005" t="inlineStr">
        <is>
          <t>The economy of nature and the evolution of sex / Michael T. Ghiselin.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Ghiselin, Michael T., 1939-</t>
        </is>
      </c>
      <c r="L1005" t="inlineStr">
        <is>
          <t>Berkeley : University of California Press, c1974.</t>
        </is>
      </c>
      <c r="M1005" t="inlineStr">
        <is>
          <t>1974</t>
        </is>
      </c>
      <c r="O1005" t="inlineStr">
        <is>
          <t>eng</t>
        </is>
      </c>
      <c r="P1005" t="inlineStr">
        <is>
          <t>cau</t>
        </is>
      </c>
      <c r="R1005" t="inlineStr">
        <is>
          <t xml:space="preserve">QH </t>
        </is>
      </c>
      <c r="S1005" t="n">
        <v>10</v>
      </c>
      <c r="T1005" t="n">
        <v>10</v>
      </c>
      <c r="U1005" t="inlineStr">
        <is>
          <t>1997-09-26</t>
        </is>
      </c>
      <c r="V1005" t="inlineStr">
        <is>
          <t>1997-09-26</t>
        </is>
      </c>
      <c r="W1005" t="inlineStr">
        <is>
          <t>1993-04-26</t>
        </is>
      </c>
      <c r="X1005" t="inlineStr">
        <is>
          <t>1993-04-26</t>
        </is>
      </c>
      <c r="Y1005" t="n">
        <v>584</v>
      </c>
      <c r="Z1005" t="n">
        <v>474</v>
      </c>
      <c r="AA1005" t="n">
        <v>475</v>
      </c>
      <c r="AB1005" t="n">
        <v>4</v>
      </c>
      <c r="AC1005" t="n">
        <v>4</v>
      </c>
      <c r="AD1005" t="n">
        <v>22</v>
      </c>
      <c r="AE1005" t="n">
        <v>22</v>
      </c>
      <c r="AF1005" t="n">
        <v>8</v>
      </c>
      <c r="AG1005" t="n">
        <v>8</v>
      </c>
      <c r="AH1005" t="n">
        <v>3</v>
      </c>
      <c r="AI1005" t="n">
        <v>3</v>
      </c>
      <c r="AJ1005" t="n">
        <v>13</v>
      </c>
      <c r="AK1005" t="n">
        <v>13</v>
      </c>
      <c r="AL1005" t="n">
        <v>3</v>
      </c>
      <c r="AM1005" t="n">
        <v>3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HYPERLINK("https://creighton-primo.hosted.exlibrisgroup.com/primo-explore/search?tab=default_tab&amp;search_scope=EVERYTHING&amp;vid=01CRU&amp;lang=en_US&amp;offset=0&amp;query=any,contains,991003515369702656","Catalog Record")</f>
        <v/>
      </c>
      <c r="AT1005">
        <f>HYPERLINK("http://www.worldcat.org/oclc/1072414","WorldCat Record")</f>
        <v/>
      </c>
      <c r="AU1005" t="inlineStr">
        <is>
          <t>500785:eng</t>
        </is>
      </c>
      <c r="AV1005" t="inlineStr">
        <is>
          <t>1072414</t>
        </is>
      </c>
      <c r="AW1005" t="inlineStr">
        <is>
          <t>991003515369702656</t>
        </is>
      </c>
      <c r="AX1005" t="inlineStr">
        <is>
          <t>991003515369702656</t>
        </is>
      </c>
      <c r="AY1005" t="inlineStr">
        <is>
          <t>2255312020002656</t>
        </is>
      </c>
      <c r="AZ1005" t="inlineStr">
        <is>
          <t>BOOK</t>
        </is>
      </c>
      <c r="BB1005" t="inlineStr">
        <is>
          <t>9780520024748</t>
        </is>
      </c>
      <c r="BC1005" t="inlineStr">
        <is>
          <t>32285001640787</t>
        </is>
      </c>
      <c r="BD1005" t="inlineStr">
        <is>
          <t>893805853</t>
        </is>
      </c>
    </row>
    <row r="1006">
      <c r="A1006" t="inlineStr">
        <is>
          <t>No</t>
        </is>
      </c>
      <c r="B1006" t="inlineStr">
        <is>
          <t>QH481 .G74 1987</t>
        </is>
      </c>
      <c r="C1006" t="inlineStr">
        <is>
          <t>0                      QH 0481000G  74          1987</t>
        </is>
      </c>
      <c r="D1006" t="inlineStr">
        <is>
          <t>The ecology of sex / Paul J. Greenwood and Jonathan Adams.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Greenwood, Paul J. (Paul John), 1952-</t>
        </is>
      </c>
      <c r="L1006" t="inlineStr">
        <is>
          <t>London : Edward Arnold, 1987.</t>
        </is>
      </c>
      <c r="M1006" t="inlineStr">
        <is>
          <t>1987</t>
        </is>
      </c>
      <c r="O1006" t="inlineStr">
        <is>
          <t>eng</t>
        </is>
      </c>
      <c r="P1006" t="inlineStr">
        <is>
          <t>enk</t>
        </is>
      </c>
      <c r="R1006" t="inlineStr">
        <is>
          <t xml:space="preserve">QH </t>
        </is>
      </c>
      <c r="S1006" t="n">
        <v>11</v>
      </c>
      <c r="T1006" t="n">
        <v>11</v>
      </c>
      <c r="U1006" t="inlineStr">
        <is>
          <t>2009-02-17</t>
        </is>
      </c>
      <c r="V1006" t="inlineStr">
        <is>
          <t>2009-02-17</t>
        </is>
      </c>
      <c r="W1006" t="inlineStr">
        <is>
          <t>1993-04-26</t>
        </is>
      </c>
      <c r="X1006" t="inlineStr">
        <is>
          <t>1993-04-26</t>
        </is>
      </c>
      <c r="Y1006" t="n">
        <v>227</v>
      </c>
      <c r="Z1006" t="n">
        <v>148</v>
      </c>
      <c r="AA1006" t="n">
        <v>153</v>
      </c>
      <c r="AB1006" t="n">
        <v>4</v>
      </c>
      <c r="AC1006" t="n">
        <v>4</v>
      </c>
      <c r="AD1006" t="n">
        <v>5</v>
      </c>
      <c r="AE1006" t="n">
        <v>5</v>
      </c>
      <c r="AF1006" t="n">
        <v>0</v>
      </c>
      <c r="AG1006" t="n">
        <v>0</v>
      </c>
      <c r="AH1006" t="n">
        <v>1</v>
      </c>
      <c r="AI1006" t="n">
        <v>1</v>
      </c>
      <c r="AJ1006" t="n">
        <v>2</v>
      </c>
      <c r="AK1006" t="n">
        <v>2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HYPERLINK("https://creighton-primo.hosted.exlibrisgroup.com/primo-explore/search?tab=default_tab&amp;search_scope=EVERYTHING&amp;vid=01CRU&amp;lang=en_US&amp;offset=0&amp;query=any,contains,991000989039702656","Catalog Record")</f>
        <v/>
      </c>
      <c r="AT1006">
        <f>HYPERLINK("http://www.worldcat.org/oclc/17674440","WorldCat Record")</f>
        <v/>
      </c>
      <c r="AU1006" t="inlineStr">
        <is>
          <t>15778742:eng</t>
        </is>
      </c>
      <c r="AV1006" t="inlineStr">
        <is>
          <t>17674440</t>
        </is>
      </c>
      <c r="AW1006" t="inlineStr">
        <is>
          <t>991000989039702656</t>
        </is>
      </c>
      <c r="AX1006" t="inlineStr">
        <is>
          <t>991000989039702656</t>
        </is>
      </c>
      <c r="AY1006" t="inlineStr">
        <is>
          <t>2256511750002656</t>
        </is>
      </c>
      <c r="AZ1006" t="inlineStr">
        <is>
          <t>BOOK</t>
        </is>
      </c>
      <c r="BB1006" t="inlineStr">
        <is>
          <t>9780713129342</t>
        </is>
      </c>
      <c r="BC1006" t="inlineStr">
        <is>
          <t>32285005505366</t>
        </is>
      </c>
      <c r="BD1006" t="inlineStr">
        <is>
          <t>893626534</t>
        </is>
      </c>
    </row>
    <row r="1007">
      <c r="A1007" t="inlineStr">
        <is>
          <t>No</t>
        </is>
      </c>
      <c r="B1007" t="inlineStr">
        <is>
          <t>QH481 .K37 1986</t>
        </is>
      </c>
      <c r="C1007" t="inlineStr">
        <is>
          <t>0                      QH 0481000K  37          1986</t>
        </is>
      </c>
      <c r="D1007" t="inlineStr">
        <is>
          <t>Theoretical studies on sex ratio evolution / Samuel Karlin and Sabin Lessard.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Karlin, Samuel, 1923-2007.</t>
        </is>
      </c>
      <c r="L1007" t="inlineStr">
        <is>
          <t>Princeton, N.J. : Princeton University Press, 1986.</t>
        </is>
      </c>
      <c r="M1007" t="inlineStr">
        <is>
          <t>1986</t>
        </is>
      </c>
      <c r="O1007" t="inlineStr">
        <is>
          <t>eng</t>
        </is>
      </c>
      <c r="P1007" t="inlineStr">
        <is>
          <t>nju</t>
        </is>
      </c>
      <c r="Q1007" t="inlineStr">
        <is>
          <t>Monographs in population biology ; 22</t>
        </is>
      </c>
      <c r="R1007" t="inlineStr">
        <is>
          <t xml:space="preserve">QH </t>
        </is>
      </c>
      <c r="S1007" t="n">
        <v>3</v>
      </c>
      <c r="T1007" t="n">
        <v>3</v>
      </c>
      <c r="U1007" t="inlineStr">
        <is>
          <t>1995-02-04</t>
        </is>
      </c>
      <c r="V1007" t="inlineStr">
        <is>
          <t>1995-02-04</t>
        </is>
      </c>
      <c r="W1007" t="inlineStr">
        <is>
          <t>1993-04-26</t>
        </is>
      </c>
      <c r="X1007" t="inlineStr">
        <is>
          <t>1993-04-26</t>
        </is>
      </c>
      <c r="Y1007" t="n">
        <v>349</v>
      </c>
      <c r="Z1007" t="n">
        <v>260</v>
      </c>
      <c r="AA1007" t="n">
        <v>447</v>
      </c>
      <c r="AB1007" t="n">
        <v>2</v>
      </c>
      <c r="AC1007" t="n">
        <v>2</v>
      </c>
      <c r="AD1007" t="n">
        <v>11</v>
      </c>
      <c r="AE1007" t="n">
        <v>22</v>
      </c>
      <c r="AF1007" t="n">
        <v>3</v>
      </c>
      <c r="AG1007" t="n">
        <v>9</v>
      </c>
      <c r="AH1007" t="n">
        <v>2</v>
      </c>
      <c r="AI1007" t="n">
        <v>5</v>
      </c>
      <c r="AJ1007" t="n">
        <v>9</v>
      </c>
      <c r="AK1007" t="n">
        <v>14</v>
      </c>
      <c r="AL1007" t="n">
        <v>1</v>
      </c>
      <c r="AM1007" t="n">
        <v>1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HYPERLINK("https://creighton-primo.hosted.exlibrisgroup.com/primo-explore/search?tab=default_tab&amp;search_scope=EVERYTHING&amp;vid=01CRU&amp;lang=en_US&amp;offset=0&amp;query=any,contains,991000775999702656","Catalog Record")</f>
        <v/>
      </c>
      <c r="AT1007">
        <f>HYPERLINK("http://www.worldcat.org/oclc/13064551","WorldCat Record")</f>
        <v/>
      </c>
      <c r="AU1007" t="inlineStr">
        <is>
          <t>124054994:eng</t>
        </is>
      </c>
      <c r="AV1007" t="inlineStr">
        <is>
          <t>13064551</t>
        </is>
      </c>
      <c r="AW1007" t="inlineStr">
        <is>
          <t>991000775999702656</t>
        </is>
      </c>
      <c r="AX1007" t="inlineStr">
        <is>
          <t>991000775999702656</t>
        </is>
      </c>
      <c r="AY1007" t="inlineStr">
        <is>
          <t>2255923250002656</t>
        </is>
      </c>
      <c r="AZ1007" t="inlineStr">
        <is>
          <t>BOOK</t>
        </is>
      </c>
      <c r="BB1007" t="inlineStr">
        <is>
          <t>9780691084121</t>
        </is>
      </c>
      <c r="BC1007" t="inlineStr">
        <is>
          <t>32285001640803</t>
        </is>
      </c>
      <c r="BD1007" t="inlineStr">
        <is>
          <t>893413671</t>
        </is>
      </c>
    </row>
    <row r="1008">
      <c r="A1008" t="inlineStr">
        <is>
          <t>No</t>
        </is>
      </c>
      <c r="B1008" t="inlineStr">
        <is>
          <t>QH481 .M27 1986</t>
        </is>
      </c>
      <c r="C1008" t="inlineStr">
        <is>
          <t>0                      QH 0481000M  27          1986</t>
        </is>
      </c>
      <c r="D1008" t="inlineStr">
        <is>
          <t>Origins of sex : three billion years of genetic recombination / Lynn Margulis, Dorion Sagan.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Margulis, Lynn, 1938-2011.</t>
        </is>
      </c>
      <c r="L1008" t="inlineStr">
        <is>
          <t>New Haven : Yale University Press, c1986.</t>
        </is>
      </c>
      <c r="M1008" t="inlineStr">
        <is>
          <t>1986</t>
        </is>
      </c>
      <c r="O1008" t="inlineStr">
        <is>
          <t>eng</t>
        </is>
      </c>
      <c r="P1008" t="inlineStr">
        <is>
          <t>ctu</t>
        </is>
      </c>
      <c r="Q1008" t="inlineStr">
        <is>
          <t>The Bio-origins series</t>
        </is>
      </c>
      <c r="R1008" t="inlineStr">
        <is>
          <t xml:space="preserve">QH </t>
        </is>
      </c>
      <c r="S1008" t="n">
        <v>3</v>
      </c>
      <c r="T1008" t="n">
        <v>3</v>
      </c>
      <c r="U1008" t="inlineStr">
        <is>
          <t>2009-12-11</t>
        </is>
      </c>
      <c r="V1008" t="inlineStr">
        <is>
          <t>2009-12-11</t>
        </is>
      </c>
      <c r="W1008" t="inlineStr">
        <is>
          <t>1999-04-05</t>
        </is>
      </c>
      <c r="X1008" t="inlineStr">
        <is>
          <t>1999-04-05</t>
        </is>
      </c>
      <c r="Y1008" t="n">
        <v>838</v>
      </c>
      <c r="Z1008" t="n">
        <v>717</v>
      </c>
      <c r="AA1008" t="n">
        <v>868</v>
      </c>
      <c r="AB1008" t="n">
        <v>7</v>
      </c>
      <c r="AC1008" t="n">
        <v>7</v>
      </c>
      <c r="AD1008" t="n">
        <v>34</v>
      </c>
      <c r="AE1008" t="n">
        <v>40</v>
      </c>
      <c r="AF1008" t="n">
        <v>13</v>
      </c>
      <c r="AG1008" t="n">
        <v>17</v>
      </c>
      <c r="AH1008" t="n">
        <v>6</v>
      </c>
      <c r="AI1008" t="n">
        <v>9</v>
      </c>
      <c r="AJ1008" t="n">
        <v>17</v>
      </c>
      <c r="AK1008" t="n">
        <v>19</v>
      </c>
      <c r="AL1008" t="n">
        <v>6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HYPERLINK("https://creighton-primo.hosted.exlibrisgroup.com/primo-explore/search?tab=default_tab&amp;search_scope=EVERYTHING&amp;vid=01CRU&amp;lang=en_US&amp;offset=0&amp;query=any,contains,991000635749702656","Catalog Record")</f>
        <v/>
      </c>
      <c r="AT1008">
        <f>HYPERLINK("http://www.worldcat.org/oclc/12081025","WorldCat Record")</f>
        <v/>
      </c>
      <c r="AU1008" t="inlineStr">
        <is>
          <t>795370474:eng</t>
        </is>
      </c>
      <c r="AV1008" t="inlineStr">
        <is>
          <t>12081025</t>
        </is>
      </c>
      <c r="AW1008" t="inlineStr">
        <is>
          <t>991000635749702656</t>
        </is>
      </c>
      <c r="AX1008" t="inlineStr">
        <is>
          <t>991000635749702656</t>
        </is>
      </c>
      <c r="AY1008" t="inlineStr">
        <is>
          <t>2266255820002656</t>
        </is>
      </c>
      <c r="AZ1008" t="inlineStr">
        <is>
          <t>BOOK</t>
        </is>
      </c>
      <c r="BB1008" t="inlineStr">
        <is>
          <t>9780300033403</t>
        </is>
      </c>
      <c r="BC1008" t="inlineStr">
        <is>
          <t>32285003548780</t>
        </is>
      </c>
      <c r="BD1008" t="inlineStr">
        <is>
          <t>893608127</t>
        </is>
      </c>
    </row>
    <row r="1009">
      <c r="A1009" t="inlineStr">
        <is>
          <t>No</t>
        </is>
      </c>
      <c r="B1009" t="inlineStr">
        <is>
          <t>QH481 .M53 1995</t>
        </is>
      </c>
      <c r="C1009" t="inlineStr">
        <is>
          <t>0                      QH 0481000M  53          1995</t>
        </is>
      </c>
      <c r="D1009" t="inlineStr">
        <is>
          <t>Eros and evolution : a natural philosophy of sex / Richard E. Michod.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Michod, Richard E.</t>
        </is>
      </c>
      <c r="L1009" t="inlineStr">
        <is>
          <t>Reading, Mass. : Addison-Wesley Pub. Co., c1995.</t>
        </is>
      </c>
      <c r="M1009" t="inlineStr">
        <is>
          <t>1995</t>
        </is>
      </c>
      <c r="O1009" t="inlineStr">
        <is>
          <t>eng</t>
        </is>
      </c>
      <c r="P1009" t="inlineStr">
        <is>
          <t>mau</t>
        </is>
      </c>
      <c r="Q1009" t="inlineStr">
        <is>
          <t>Helix books</t>
        </is>
      </c>
      <c r="R1009" t="inlineStr">
        <is>
          <t xml:space="preserve">QH </t>
        </is>
      </c>
      <c r="S1009" t="n">
        <v>5</v>
      </c>
      <c r="T1009" t="n">
        <v>5</v>
      </c>
      <c r="U1009" t="inlineStr">
        <is>
          <t>2008-11-25</t>
        </is>
      </c>
      <c r="V1009" t="inlineStr">
        <is>
          <t>2008-11-25</t>
        </is>
      </c>
      <c r="W1009" t="inlineStr">
        <is>
          <t>1995-03-01</t>
        </is>
      </c>
      <c r="X1009" t="inlineStr">
        <is>
          <t>1995-03-01</t>
        </is>
      </c>
      <c r="Y1009" t="n">
        <v>373</v>
      </c>
      <c r="Z1009" t="n">
        <v>302</v>
      </c>
      <c r="AA1009" t="n">
        <v>311</v>
      </c>
      <c r="AB1009" t="n">
        <v>4</v>
      </c>
      <c r="AC1009" t="n">
        <v>4</v>
      </c>
      <c r="AD1009" t="n">
        <v>13</v>
      </c>
      <c r="AE1009" t="n">
        <v>13</v>
      </c>
      <c r="AF1009" t="n">
        <v>2</v>
      </c>
      <c r="AG1009" t="n">
        <v>2</v>
      </c>
      <c r="AH1009" t="n">
        <v>4</v>
      </c>
      <c r="AI1009" t="n">
        <v>4</v>
      </c>
      <c r="AJ1009" t="n">
        <v>7</v>
      </c>
      <c r="AK1009" t="n">
        <v>7</v>
      </c>
      <c r="AL1009" t="n">
        <v>3</v>
      </c>
      <c r="AM1009" t="n">
        <v>3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HYPERLINK("http://catalog.hathitrust.org/Record/002912305","HathiTrust Record")</f>
        <v/>
      </c>
      <c r="AS1009">
        <f>HYPERLINK("https://creighton-primo.hosted.exlibrisgroup.com/primo-explore/search?tab=default_tab&amp;search_scope=EVERYTHING&amp;vid=01CRU&amp;lang=en_US&amp;offset=0&amp;query=any,contains,991002353529702656","Catalog Record")</f>
        <v/>
      </c>
      <c r="AT1009">
        <f>HYPERLINK("http://www.worldcat.org/oclc/30625193","WorldCat Record")</f>
        <v/>
      </c>
      <c r="AU1009" t="inlineStr">
        <is>
          <t>308751375:eng</t>
        </is>
      </c>
      <c r="AV1009" t="inlineStr">
        <is>
          <t>30625193</t>
        </is>
      </c>
      <c r="AW1009" t="inlineStr">
        <is>
          <t>991002353529702656</t>
        </is>
      </c>
      <c r="AX1009" t="inlineStr">
        <is>
          <t>991002353529702656</t>
        </is>
      </c>
      <c r="AY1009" t="inlineStr">
        <is>
          <t>2260751340002656</t>
        </is>
      </c>
      <c r="AZ1009" t="inlineStr">
        <is>
          <t>BOOK</t>
        </is>
      </c>
      <c r="BB1009" t="inlineStr">
        <is>
          <t>9780201407549</t>
        </is>
      </c>
      <c r="BC1009" t="inlineStr">
        <is>
          <t>32285002001120</t>
        </is>
      </c>
      <c r="BD1009" t="inlineStr">
        <is>
          <t>893873407</t>
        </is>
      </c>
    </row>
    <row r="1010">
      <c r="A1010" t="inlineStr">
        <is>
          <t>No</t>
        </is>
      </c>
      <c r="B1010" t="inlineStr">
        <is>
          <t>QH481 .N63 1987</t>
        </is>
      </c>
      <c r="C1010" t="inlineStr">
        <is>
          <t>0                      QH 0481000N  63          1987</t>
        </is>
      </c>
      <c r="D1010" t="inlineStr">
        <is>
          <t>The evolution of sex / Noble Conference XXIII ; John Maynard Smith ... [et al.] ; edited by Robert Bellig and George Stevens.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Yes</t>
        </is>
      </c>
      <c r="J1010" t="inlineStr">
        <is>
          <t>0</t>
        </is>
      </c>
      <c r="K1010" t="inlineStr">
        <is>
          <t>Nobel Conference (23rd : 1987 : Gustavus Adolphus College)</t>
        </is>
      </c>
      <c r="L1010" t="inlineStr">
        <is>
          <t>San Francisco : Harper &amp; Row, c1988.</t>
        </is>
      </c>
      <c r="M1010" t="inlineStr">
        <is>
          <t>1988</t>
        </is>
      </c>
      <c r="N1010" t="inlineStr">
        <is>
          <t>1st ed.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QH </t>
        </is>
      </c>
      <c r="S1010" t="n">
        <v>13</v>
      </c>
      <c r="T1010" t="n">
        <v>13</v>
      </c>
      <c r="U1010" t="inlineStr">
        <is>
          <t>2008-11-19</t>
        </is>
      </c>
      <c r="V1010" t="inlineStr">
        <is>
          <t>2008-11-19</t>
        </is>
      </c>
      <c r="W1010" t="inlineStr">
        <is>
          <t>1993-04-26</t>
        </is>
      </c>
      <c r="X1010" t="inlineStr">
        <is>
          <t>1993-04-26</t>
        </is>
      </c>
      <c r="Y1010" t="n">
        <v>447</v>
      </c>
      <c r="Z1010" t="n">
        <v>416</v>
      </c>
      <c r="AA1010" t="n">
        <v>774</v>
      </c>
      <c r="AB1010" t="n">
        <v>5</v>
      </c>
      <c r="AC1010" t="n">
        <v>7</v>
      </c>
      <c r="AD1010" t="n">
        <v>20</v>
      </c>
      <c r="AE1010" t="n">
        <v>29</v>
      </c>
      <c r="AF1010" t="n">
        <v>7</v>
      </c>
      <c r="AG1010" t="n">
        <v>10</v>
      </c>
      <c r="AH1010" t="n">
        <v>5</v>
      </c>
      <c r="AI1010" t="n">
        <v>6</v>
      </c>
      <c r="AJ1010" t="n">
        <v>10</v>
      </c>
      <c r="AK1010" t="n">
        <v>15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HYPERLINK("https://creighton-primo.hosted.exlibrisgroup.com/primo-explore/search?tab=default_tab&amp;search_scope=EVERYTHING&amp;vid=01CRU&amp;lang=en_US&amp;offset=0&amp;query=any,contains,991001323289702656","Catalog Record")</f>
        <v/>
      </c>
      <c r="AT1010">
        <f>HYPERLINK("http://www.worldcat.org/oclc/18256335","WorldCat Record")</f>
        <v/>
      </c>
      <c r="AU1010" t="inlineStr">
        <is>
          <t>149592405:eng</t>
        </is>
      </c>
      <c r="AV1010" t="inlineStr">
        <is>
          <t>18256335</t>
        </is>
      </c>
      <c r="AW1010" t="inlineStr">
        <is>
          <t>991001323289702656</t>
        </is>
      </c>
      <c r="AX1010" t="inlineStr">
        <is>
          <t>991001323289702656</t>
        </is>
      </c>
      <c r="AY1010" t="inlineStr">
        <is>
          <t>2257311430002656</t>
        </is>
      </c>
      <c r="AZ1010" t="inlineStr">
        <is>
          <t>BOOK</t>
        </is>
      </c>
      <c r="BB1010" t="inlineStr">
        <is>
          <t>9780062502919</t>
        </is>
      </c>
      <c r="BC1010" t="inlineStr">
        <is>
          <t>32285001640811</t>
        </is>
      </c>
      <c r="BD1010" t="inlineStr">
        <is>
          <t>893809034</t>
        </is>
      </c>
    </row>
    <row r="1011">
      <c r="A1011" t="inlineStr">
        <is>
          <t>No</t>
        </is>
      </c>
      <c r="B1011" t="inlineStr">
        <is>
          <t>QH481 .O75 1985</t>
        </is>
      </c>
      <c r="C1011" t="inlineStr">
        <is>
          <t>0                      QH 0481000O  75          1985</t>
        </is>
      </c>
      <c r="D1011" t="inlineStr">
        <is>
          <t>The Origin and evolution of sex / editors, Harlyn O. Halvorson, Alberto Monroy.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L1011" t="inlineStr">
        <is>
          <t>New York : A.R. Liss, c1985.</t>
        </is>
      </c>
      <c r="M1011" t="inlineStr">
        <is>
          <t>1985</t>
        </is>
      </c>
      <c r="O1011" t="inlineStr">
        <is>
          <t>eng</t>
        </is>
      </c>
      <c r="P1011" t="inlineStr">
        <is>
          <t>nyu</t>
        </is>
      </c>
      <c r="Q1011" t="inlineStr">
        <is>
          <t>MBL lectures in biology ; v. 7</t>
        </is>
      </c>
      <c r="R1011" t="inlineStr">
        <is>
          <t xml:space="preserve">QH </t>
        </is>
      </c>
      <c r="S1011" t="n">
        <v>8</v>
      </c>
      <c r="T1011" t="n">
        <v>8</v>
      </c>
      <c r="U1011" t="inlineStr">
        <is>
          <t>2008-11-25</t>
        </is>
      </c>
      <c r="V1011" t="inlineStr">
        <is>
          <t>2008-11-25</t>
        </is>
      </c>
      <c r="W1011" t="inlineStr">
        <is>
          <t>1993-04-26</t>
        </is>
      </c>
      <c r="X1011" t="inlineStr">
        <is>
          <t>1993-04-26</t>
        </is>
      </c>
      <c r="Y1011" t="n">
        <v>257</v>
      </c>
      <c r="Z1011" t="n">
        <v>210</v>
      </c>
      <c r="AA1011" t="n">
        <v>219</v>
      </c>
      <c r="AB1011" t="n">
        <v>2</v>
      </c>
      <c r="AC1011" t="n">
        <v>2</v>
      </c>
      <c r="AD1011" t="n">
        <v>9</v>
      </c>
      <c r="AE1011" t="n">
        <v>9</v>
      </c>
      <c r="AF1011" t="n">
        <v>1</v>
      </c>
      <c r="AG1011" t="n">
        <v>1</v>
      </c>
      <c r="AH1011" t="n">
        <v>4</v>
      </c>
      <c r="AI1011" t="n">
        <v>4</v>
      </c>
      <c r="AJ1011" t="n">
        <v>5</v>
      </c>
      <c r="AK1011" t="n">
        <v>5</v>
      </c>
      <c r="AL1011" t="n">
        <v>1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HYPERLINK("http://catalog.hathitrust.org/Record/000422340","HathiTrust Record")</f>
        <v/>
      </c>
      <c r="AS1011">
        <f>HYPERLINK("https://creighton-primo.hosted.exlibrisgroup.com/primo-explore/search?tab=default_tab&amp;search_scope=EVERYTHING&amp;vid=01CRU&amp;lang=en_US&amp;offset=0&amp;query=any,contains,991000627689702656","Catalog Record")</f>
        <v/>
      </c>
      <c r="AT1011">
        <f>HYPERLINK("http://www.worldcat.org/oclc/12049916","WorldCat Record")</f>
        <v/>
      </c>
      <c r="AU1011" t="inlineStr">
        <is>
          <t>349961147:eng</t>
        </is>
      </c>
      <c r="AV1011" t="inlineStr">
        <is>
          <t>12049916</t>
        </is>
      </c>
      <c r="AW1011" t="inlineStr">
        <is>
          <t>991000627689702656</t>
        </is>
      </c>
      <c r="AX1011" t="inlineStr">
        <is>
          <t>991000627689702656</t>
        </is>
      </c>
      <c r="AY1011" t="inlineStr">
        <is>
          <t>2256300190002656</t>
        </is>
      </c>
      <c r="AZ1011" t="inlineStr">
        <is>
          <t>BOOK</t>
        </is>
      </c>
      <c r="BB1011" t="inlineStr">
        <is>
          <t>9780845122068</t>
        </is>
      </c>
      <c r="BC1011" t="inlineStr">
        <is>
          <t>32285001640829</t>
        </is>
      </c>
      <c r="BD1011" t="inlineStr">
        <is>
          <t>893884586</t>
        </is>
      </c>
    </row>
    <row r="1012">
      <c r="A1012" t="inlineStr">
        <is>
          <t>No</t>
        </is>
      </c>
      <c r="B1012" t="inlineStr">
        <is>
          <t>QH485 .B53 1985</t>
        </is>
      </c>
      <c r="C1012" t="inlineStr">
        <is>
          <t>0                      QH 0485000B  53          1985</t>
        </is>
      </c>
      <c r="D1012" t="inlineStr">
        <is>
          <t>Biology of fertilization / edited by Charles B. Metz, Alberto Monroy.</t>
        </is>
      </c>
      <c r="E1012" t="inlineStr">
        <is>
          <t>V.1</t>
        </is>
      </c>
      <c r="F1012" t="inlineStr">
        <is>
          <t>Yes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Orlando : Academic Press, 1985.</t>
        </is>
      </c>
      <c r="M1012" t="inlineStr">
        <is>
          <t>1985</t>
        </is>
      </c>
      <c r="O1012" t="inlineStr">
        <is>
          <t>eng</t>
        </is>
      </c>
      <c r="P1012" t="inlineStr">
        <is>
          <t>flu</t>
        </is>
      </c>
      <c r="R1012" t="inlineStr">
        <is>
          <t xml:space="preserve">QH </t>
        </is>
      </c>
      <c r="S1012" t="n">
        <v>2</v>
      </c>
      <c r="T1012" t="n">
        <v>8</v>
      </c>
      <c r="U1012" t="inlineStr">
        <is>
          <t>1998-10-09</t>
        </is>
      </c>
      <c r="V1012" t="inlineStr">
        <is>
          <t>1998-10-09</t>
        </is>
      </c>
      <c r="W1012" t="inlineStr">
        <is>
          <t>1993-04-26</t>
        </is>
      </c>
      <c r="X1012" t="inlineStr">
        <is>
          <t>1993-04-26</t>
        </is>
      </c>
      <c r="Y1012" t="n">
        <v>436</v>
      </c>
      <c r="Z1012" t="n">
        <v>363</v>
      </c>
      <c r="AA1012" t="n">
        <v>402</v>
      </c>
      <c r="AB1012" t="n">
        <v>3</v>
      </c>
      <c r="AC1012" t="n">
        <v>3</v>
      </c>
      <c r="AD1012" t="n">
        <v>15</v>
      </c>
      <c r="AE1012" t="n">
        <v>17</v>
      </c>
      <c r="AF1012" t="n">
        <v>3</v>
      </c>
      <c r="AG1012" t="n">
        <v>5</v>
      </c>
      <c r="AH1012" t="n">
        <v>5</v>
      </c>
      <c r="AI1012" t="n">
        <v>6</v>
      </c>
      <c r="AJ1012" t="n">
        <v>9</v>
      </c>
      <c r="AK1012" t="n">
        <v>9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HYPERLINK("http://catalog.hathitrust.org/Record/000359419","HathiTrust Record")</f>
        <v/>
      </c>
      <c r="AS1012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2">
        <f>HYPERLINK("http://www.worldcat.org/oclc/10777114","WorldCat Record")</f>
        <v/>
      </c>
      <c r="AU1012" t="inlineStr">
        <is>
          <t>4757658376:eng</t>
        </is>
      </c>
      <c r="AV1012" t="inlineStr">
        <is>
          <t>10777114</t>
        </is>
      </c>
      <c r="AW1012" t="inlineStr">
        <is>
          <t>991000428879702656</t>
        </is>
      </c>
      <c r="AX1012" t="inlineStr">
        <is>
          <t>991000428879702656</t>
        </is>
      </c>
      <c r="AY1012" t="inlineStr">
        <is>
          <t>2265399640002656</t>
        </is>
      </c>
      <c r="AZ1012" t="inlineStr">
        <is>
          <t>BOOK</t>
        </is>
      </c>
      <c r="BB1012" t="inlineStr">
        <is>
          <t>9780124926035</t>
        </is>
      </c>
      <c r="BC1012" t="inlineStr">
        <is>
          <t>32285001640852</t>
        </is>
      </c>
      <c r="BD1012" t="inlineStr">
        <is>
          <t>893890670</t>
        </is>
      </c>
    </row>
    <row r="1013">
      <c r="A1013" t="inlineStr">
        <is>
          <t>No</t>
        </is>
      </c>
      <c r="B1013" t="inlineStr">
        <is>
          <t>QH485 .B53 1985</t>
        </is>
      </c>
      <c r="C1013" t="inlineStr">
        <is>
          <t>0                      QH 0485000B  53          1985</t>
        </is>
      </c>
      <c r="D1013" t="inlineStr">
        <is>
          <t>Biology of fertilization / edited by Charles B. Metz, Alberto Monroy.</t>
        </is>
      </c>
      <c r="E1013" t="inlineStr">
        <is>
          <t>V.3</t>
        </is>
      </c>
      <c r="F1013" t="inlineStr">
        <is>
          <t>Yes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Orlando : Academic Press, 1985.</t>
        </is>
      </c>
      <c r="M1013" t="inlineStr">
        <is>
          <t>1985</t>
        </is>
      </c>
      <c r="O1013" t="inlineStr">
        <is>
          <t>eng</t>
        </is>
      </c>
      <c r="P1013" t="inlineStr">
        <is>
          <t>flu</t>
        </is>
      </c>
      <c r="R1013" t="inlineStr">
        <is>
          <t xml:space="preserve">QH </t>
        </is>
      </c>
      <c r="S1013" t="n">
        <v>3</v>
      </c>
      <c r="T1013" t="n">
        <v>8</v>
      </c>
      <c r="U1013" t="inlineStr">
        <is>
          <t>1998-10-09</t>
        </is>
      </c>
      <c r="V1013" t="inlineStr">
        <is>
          <t>1998-10-09</t>
        </is>
      </c>
      <c r="W1013" t="inlineStr">
        <is>
          <t>1993-04-26</t>
        </is>
      </c>
      <c r="X1013" t="inlineStr">
        <is>
          <t>1993-04-26</t>
        </is>
      </c>
      <c r="Y1013" t="n">
        <v>436</v>
      </c>
      <c r="Z1013" t="n">
        <v>363</v>
      </c>
      <c r="AA1013" t="n">
        <v>402</v>
      </c>
      <c r="AB1013" t="n">
        <v>3</v>
      </c>
      <c r="AC1013" t="n">
        <v>3</v>
      </c>
      <c r="AD1013" t="n">
        <v>15</v>
      </c>
      <c r="AE1013" t="n">
        <v>17</v>
      </c>
      <c r="AF1013" t="n">
        <v>3</v>
      </c>
      <c r="AG1013" t="n">
        <v>5</v>
      </c>
      <c r="AH1013" t="n">
        <v>5</v>
      </c>
      <c r="AI1013" t="n">
        <v>6</v>
      </c>
      <c r="AJ1013" t="n">
        <v>9</v>
      </c>
      <c r="AK1013" t="n">
        <v>9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HYPERLINK("http://catalog.hathitrust.org/Record/000359419","HathiTrust Record")</f>
        <v/>
      </c>
      <c r="AS1013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3">
        <f>HYPERLINK("http://www.worldcat.org/oclc/10777114","WorldCat Record")</f>
        <v/>
      </c>
      <c r="AU1013" t="inlineStr">
        <is>
          <t>4757658376:eng</t>
        </is>
      </c>
      <c r="AV1013" t="inlineStr">
        <is>
          <t>10777114</t>
        </is>
      </c>
      <c r="AW1013" t="inlineStr">
        <is>
          <t>991000428879702656</t>
        </is>
      </c>
      <c r="AX1013" t="inlineStr">
        <is>
          <t>991000428879702656</t>
        </is>
      </c>
      <c r="AY1013" t="inlineStr">
        <is>
          <t>2265399640002656</t>
        </is>
      </c>
      <c r="AZ1013" t="inlineStr">
        <is>
          <t>BOOK</t>
        </is>
      </c>
      <c r="BB1013" t="inlineStr">
        <is>
          <t>9780124926035</t>
        </is>
      </c>
      <c r="BC1013" t="inlineStr">
        <is>
          <t>32285001640878</t>
        </is>
      </c>
      <c r="BD1013" t="inlineStr">
        <is>
          <t>893878018</t>
        </is>
      </c>
    </row>
    <row r="1014">
      <c r="A1014" t="inlineStr">
        <is>
          <t>No</t>
        </is>
      </c>
      <c r="B1014" t="inlineStr">
        <is>
          <t>QH485 .B53 1985</t>
        </is>
      </c>
      <c r="C1014" t="inlineStr">
        <is>
          <t>0                      QH 0485000B  53          1985</t>
        </is>
      </c>
      <c r="D1014" t="inlineStr">
        <is>
          <t>Biology of fertilization / edited by Charles B. Metz, Alberto Monroy.</t>
        </is>
      </c>
      <c r="E1014" t="inlineStr">
        <is>
          <t>V.2</t>
        </is>
      </c>
      <c r="F1014" t="inlineStr">
        <is>
          <t>Yes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Orlando : Academic Press, 1985.</t>
        </is>
      </c>
      <c r="M1014" t="inlineStr">
        <is>
          <t>1985</t>
        </is>
      </c>
      <c r="O1014" t="inlineStr">
        <is>
          <t>eng</t>
        </is>
      </c>
      <c r="P1014" t="inlineStr">
        <is>
          <t>flu</t>
        </is>
      </c>
      <c r="R1014" t="inlineStr">
        <is>
          <t xml:space="preserve">QH </t>
        </is>
      </c>
      <c r="S1014" t="n">
        <v>3</v>
      </c>
      <c r="T1014" t="n">
        <v>8</v>
      </c>
      <c r="U1014" t="inlineStr">
        <is>
          <t>1998-10-09</t>
        </is>
      </c>
      <c r="V1014" t="inlineStr">
        <is>
          <t>1998-10-09</t>
        </is>
      </c>
      <c r="W1014" t="inlineStr">
        <is>
          <t>1993-04-26</t>
        </is>
      </c>
      <c r="X1014" t="inlineStr">
        <is>
          <t>1993-04-26</t>
        </is>
      </c>
      <c r="Y1014" t="n">
        <v>436</v>
      </c>
      <c r="Z1014" t="n">
        <v>363</v>
      </c>
      <c r="AA1014" t="n">
        <v>402</v>
      </c>
      <c r="AB1014" t="n">
        <v>3</v>
      </c>
      <c r="AC1014" t="n">
        <v>3</v>
      </c>
      <c r="AD1014" t="n">
        <v>15</v>
      </c>
      <c r="AE1014" t="n">
        <v>17</v>
      </c>
      <c r="AF1014" t="n">
        <v>3</v>
      </c>
      <c r="AG1014" t="n">
        <v>5</v>
      </c>
      <c r="AH1014" t="n">
        <v>5</v>
      </c>
      <c r="AI1014" t="n">
        <v>6</v>
      </c>
      <c r="AJ1014" t="n">
        <v>9</v>
      </c>
      <c r="AK1014" t="n">
        <v>9</v>
      </c>
      <c r="AL1014" t="n">
        <v>2</v>
      </c>
      <c r="AM1014" t="n">
        <v>2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HYPERLINK("http://catalog.hathitrust.org/Record/000359419","HathiTrust Record")</f>
        <v/>
      </c>
      <c r="AS1014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4">
        <f>HYPERLINK("http://www.worldcat.org/oclc/10777114","WorldCat Record")</f>
        <v/>
      </c>
      <c r="AU1014" t="inlineStr">
        <is>
          <t>4757658376:eng</t>
        </is>
      </c>
      <c r="AV1014" t="inlineStr">
        <is>
          <t>10777114</t>
        </is>
      </c>
      <c r="AW1014" t="inlineStr">
        <is>
          <t>991000428879702656</t>
        </is>
      </c>
      <c r="AX1014" t="inlineStr">
        <is>
          <t>991000428879702656</t>
        </is>
      </c>
      <c r="AY1014" t="inlineStr">
        <is>
          <t>2265399640002656</t>
        </is>
      </c>
      <c r="AZ1014" t="inlineStr">
        <is>
          <t>BOOK</t>
        </is>
      </c>
      <c r="BB1014" t="inlineStr">
        <is>
          <t>9780124926035</t>
        </is>
      </c>
      <c r="BC1014" t="inlineStr">
        <is>
          <t>32285001640860</t>
        </is>
      </c>
      <c r="BD1014" t="inlineStr">
        <is>
          <t>893890669</t>
        </is>
      </c>
    </row>
    <row r="1015">
      <c r="A1015" t="inlineStr">
        <is>
          <t>No</t>
        </is>
      </c>
      <c r="B1015" t="inlineStr">
        <is>
          <t>QH491 .B37 1990</t>
        </is>
      </c>
      <c r="C1015" t="inlineStr">
        <is>
          <t>0                      QH 0491000B  37          1990</t>
        </is>
      </c>
      <c r="D1015" t="inlineStr">
        <is>
          <t>Morphogenesis : the cellular and molecular processes of developmental anatomy / Jonathan Bard.</t>
        </is>
      </c>
      <c r="F1015" t="inlineStr">
        <is>
          <t>No</t>
        </is>
      </c>
      <c r="G1015" t="inlineStr">
        <is>
          <t>1</t>
        </is>
      </c>
      <c r="H1015" t="inlineStr">
        <is>
          <t>Yes</t>
        </is>
      </c>
      <c r="I1015" t="inlineStr">
        <is>
          <t>No</t>
        </is>
      </c>
      <c r="J1015" t="inlineStr">
        <is>
          <t>0</t>
        </is>
      </c>
      <c r="K1015" t="inlineStr">
        <is>
          <t>Bard, Jonathan B. L.</t>
        </is>
      </c>
      <c r="L1015" t="inlineStr">
        <is>
          <t>Cambridge [England] ; New York : Cambridge University Press, 1990.</t>
        </is>
      </c>
      <c r="M1015" t="inlineStr">
        <is>
          <t>1990</t>
        </is>
      </c>
      <c r="O1015" t="inlineStr">
        <is>
          <t>eng</t>
        </is>
      </c>
      <c r="P1015" t="inlineStr">
        <is>
          <t>enk</t>
        </is>
      </c>
      <c r="Q1015" t="inlineStr">
        <is>
          <t>Developmental and cell biology series ; 23</t>
        </is>
      </c>
      <c r="R1015" t="inlineStr">
        <is>
          <t xml:space="preserve">QH </t>
        </is>
      </c>
      <c r="S1015" t="n">
        <v>4</v>
      </c>
      <c r="T1015" t="n">
        <v>4</v>
      </c>
      <c r="U1015" t="inlineStr">
        <is>
          <t>1996-09-28</t>
        </is>
      </c>
      <c r="V1015" t="inlineStr">
        <is>
          <t>1996-09-28</t>
        </is>
      </c>
      <c r="W1015" t="inlineStr">
        <is>
          <t>1991-01-16</t>
        </is>
      </c>
      <c r="X1015" t="inlineStr">
        <is>
          <t>1991-01-16</t>
        </is>
      </c>
      <c r="Y1015" t="n">
        <v>313</v>
      </c>
      <c r="Z1015" t="n">
        <v>222</v>
      </c>
      <c r="AA1015" t="n">
        <v>262</v>
      </c>
      <c r="AB1015" t="n">
        <v>2</v>
      </c>
      <c r="AC1015" t="n">
        <v>3</v>
      </c>
      <c r="AD1015" t="n">
        <v>11</v>
      </c>
      <c r="AE1015" t="n">
        <v>14</v>
      </c>
      <c r="AF1015" t="n">
        <v>2</v>
      </c>
      <c r="AG1015" t="n">
        <v>2</v>
      </c>
      <c r="AH1015" t="n">
        <v>4</v>
      </c>
      <c r="AI1015" t="n">
        <v>4</v>
      </c>
      <c r="AJ1015" t="n">
        <v>9</v>
      </c>
      <c r="AK1015" t="n">
        <v>11</v>
      </c>
      <c r="AL1015" t="n">
        <v>0</v>
      </c>
      <c r="AM1015" t="n">
        <v>1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HYPERLINK("https://creighton-primo.hosted.exlibrisgroup.com/primo-explore/search?tab=default_tab&amp;search_scope=EVERYTHING&amp;vid=01CRU&amp;lang=en_US&amp;offset=0&amp;query=any,contains,991001536419702656","Catalog Record")</f>
        <v/>
      </c>
      <c r="AT1015">
        <f>HYPERLINK("http://www.worldcat.org/oclc/20088925","WorldCat Record")</f>
        <v/>
      </c>
      <c r="AU1015" t="inlineStr">
        <is>
          <t>286712536:eng</t>
        </is>
      </c>
      <c r="AV1015" t="inlineStr">
        <is>
          <t>20088925</t>
        </is>
      </c>
      <c r="AW1015" t="inlineStr">
        <is>
          <t>991001536419702656</t>
        </is>
      </c>
      <c r="AX1015" t="inlineStr">
        <is>
          <t>991001536419702656</t>
        </is>
      </c>
      <c r="AY1015" t="inlineStr">
        <is>
          <t>2271918710002656</t>
        </is>
      </c>
      <c r="AZ1015" t="inlineStr">
        <is>
          <t>BOOK</t>
        </is>
      </c>
      <c r="BB1015" t="inlineStr">
        <is>
          <t>9780521361965</t>
        </is>
      </c>
      <c r="BC1015" t="inlineStr">
        <is>
          <t>32285000408236</t>
        </is>
      </c>
      <c r="BD1015" t="inlineStr">
        <is>
          <t>893232049</t>
        </is>
      </c>
    </row>
    <row r="1016">
      <c r="A1016" t="inlineStr">
        <is>
          <t>No</t>
        </is>
      </c>
      <c r="B1016" t="inlineStr">
        <is>
          <t>QH491 .B56 1995</t>
        </is>
      </c>
      <c r="C1016" t="inlineStr">
        <is>
          <t>0                      QH 0491000B  56          1995</t>
        </is>
      </c>
      <c r="D1016" t="inlineStr">
        <is>
          <t>Extracellular regulators of differentiation and development / organized and edited by K. Chapman ... [et al.]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Biochemical Society (Great Britain). Symposium (62nd : 1995 : University of Leicester)</t>
        </is>
      </c>
      <c r="L1016" t="inlineStr">
        <is>
          <t>London : Portland Press on behalf of the Biochemical Society ; Brookfield, Vermont : Ashgate Publishing [distributor],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enk</t>
        </is>
      </c>
      <c r="Q1016" t="inlineStr">
        <is>
          <t>Biochemical Society Symposium, 0067-8964 ; no. 62</t>
        </is>
      </c>
      <c r="R1016" t="inlineStr">
        <is>
          <t xml:space="preserve">QH </t>
        </is>
      </c>
      <c r="S1016" t="n">
        <v>9</v>
      </c>
      <c r="T1016" t="n">
        <v>9</v>
      </c>
      <c r="U1016" t="inlineStr">
        <is>
          <t>1999-04-20</t>
        </is>
      </c>
      <c r="V1016" t="inlineStr">
        <is>
          <t>1999-04-20</t>
        </is>
      </c>
      <c r="W1016" t="inlineStr">
        <is>
          <t>1996-12-20</t>
        </is>
      </c>
      <c r="X1016" t="inlineStr">
        <is>
          <t>1996-12-20</t>
        </is>
      </c>
      <c r="Y1016" t="n">
        <v>201</v>
      </c>
      <c r="Z1016" t="n">
        <v>132</v>
      </c>
      <c r="AA1016" t="n">
        <v>132</v>
      </c>
      <c r="AB1016" t="n">
        <v>3</v>
      </c>
      <c r="AC1016" t="n">
        <v>3</v>
      </c>
      <c r="AD1016" t="n">
        <v>6</v>
      </c>
      <c r="AE1016" t="n">
        <v>6</v>
      </c>
      <c r="AF1016" t="n">
        <v>0</v>
      </c>
      <c r="AG1016" t="n">
        <v>0</v>
      </c>
      <c r="AH1016" t="n">
        <v>3</v>
      </c>
      <c r="AI1016" t="n">
        <v>3</v>
      </c>
      <c r="AJ1016" t="n">
        <v>4</v>
      </c>
      <c r="AK1016" t="n">
        <v>4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HYPERLINK("https://creighton-primo.hosted.exlibrisgroup.com/primo-explore/search?tab=default_tab&amp;search_scope=EVERYTHING&amp;vid=01CRU&amp;lang=en_US&amp;offset=0&amp;query=any,contains,991002699229702656","Catalog Record")</f>
        <v/>
      </c>
      <c r="AT1016">
        <f>HYPERLINK("http://www.worldcat.org/oclc/35239106","WorldCat Record")</f>
        <v/>
      </c>
      <c r="AU1016" t="inlineStr">
        <is>
          <t>505646182:eng</t>
        </is>
      </c>
      <c r="AV1016" t="inlineStr">
        <is>
          <t>35239106</t>
        </is>
      </c>
      <c r="AW1016" t="inlineStr">
        <is>
          <t>991002699229702656</t>
        </is>
      </c>
      <c r="AX1016" t="inlineStr">
        <is>
          <t>991002699229702656</t>
        </is>
      </c>
      <c r="AY1016" t="inlineStr">
        <is>
          <t>2255690100002656</t>
        </is>
      </c>
      <c r="AZ1016" t="inlineStr">
        <is>
          <t>BOOK</t>
        </is>
      </c>
      <c r="BB1016" t="inlineStr">
        <is>
          <t>9781855780705</t>
        </is>
      </c>
      <c r="BC1016" t="inlineStr">
        <is>
          <t>32285002400710</t>
        </is>
      </c>
      <c r="BD1016" t="inlineStr">
        <is>
          <t>893773930</t>
        </is>
      </c>
    </row>
    <row r="1017">
      <c r="A1017" t="inlineStr">
        <is>
          <t>No</t>
        </is>
      </c>
      <c r="B1017" t="inlineStr">
        <is>
          <t>QH491 .D426 1985, v.2</t>
        </is>
      </c>
      <c r="C1017" t="inlineStr">
        <is>
          <t>0                      QH 0491000D  426         1985                                        v.2</t>
        </is>
      </c>
      <c r="D1017" t="inlineStr">
        <is>
          <t>The Cellular basis of morphogenesis / edited by Leon W. Browder.</t>
        </is>
      </c>
      <c r="E1017" t="inlineStr">
        <is>
          <t>V. 2</t>
        </is>
      </c>
      <c r="F1017" t="inlineStr">
        <is>
          <t>No</t>
        </is>
      </c>
      <c r="G1017" t="inlineStr">
        <is>
          <t>1</t>
        </is>
      </c>
      <c r="H1017" t="inlineStr">
        <is>
          <t>Yes</t>
        </is>
      </c>
      <c r="I1017" t="inlineStr">
        <is>
          <t>No</t>
        </is>
      </c>
      <c r="J1017" t="inlineStr">
        <is>
          <t>0</t>
        </is>
      </c>
      <c r="L1017" t="inlineStr">
        <is>
          <t>New York : Plenum Press, c1986.</t>
        </is>
      </c>
      <c r="M1017" t="inlineStr">
        <is>
          <t>1986</t>
        </is>
      </c>
      <c r="O1017" t="inlineStr">
        <is>
          <t>eng</t>
        </is>
      </c>
      <c r="P1017" t="inlineStr">
        <is>
          <t>xxu</t>
        </is>
      </c>
      <c r="Q1017" t="inlineStr">
        <is>
          <t>Developmental biology ; v. 2</t>
        </is>
      </c>
      <c r="R1017" t="inlineStr">
        <is>
          <t xml:space="preserve">QH </t>
        </is>
      </c>
      <c r="S1017" t="n">
        <v>1</v>
      </c>
      <c r="T1017" t="n">
        <v>3</v>
      </c>
      <c r="V1017" t="inlineStr">
        <is>
          <t>1996-01-30</t>
        </is>
      </c>
      <c r="W1017" t="inlineStr">
        <is>
          <t>1993-09-22</t>
        </is>
      </c>
      <c r="X1017" t="inlineStr">
        <is>
          <t>1993-09-22</t>
        </is>
      </c>
      <c r="Y1017" t="n">
        <v>111</v>
      </c>
      <c r="Z1017" t="n">
        <v>69</v>
      </c>
      <c r="AA1017" t="n">
        <v>91</v>
      </c>
      <c r="AB1017" t="n">
        <v>2</v>
      </c>
      <c r="AC1017" t="n">
        <v>2</v>
      </c>
      <c r="AD1017" t="n">
        <v>6</v>
      </c>
      <c r="AE1017" t="n">
        <v>7</v>
      </c>
      <c r="AF1017" t="n">
        <v>1</v>
      </c>
      <c r="AG1017" t="n">
        <v>2</v>
      </c>
      <c r="AH1017" t="n">
        <v>2</v>
      </c>
      <c r="AI1017" t="n">
        <v>2</v>
      </c>
      <c r="AJ1017" t="n">
        <v>5</v>
      </c>
      <c r="AK1017" t="n">
        <v>6</v>
      </c>
      <c r="AL1017" t="n">
        <v>0</v>
      </c>
      <c r="AM1017" t="n">
        <v>0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HYPERLINK("http://catalog.hathitrust.org/Record/000398943","HathiTrust Record")</f>
        <v/>
      </c>
      <c r="AS1017">
        <f>HYPERLINK("https://creighton-primo.hosted.exlibrisgroup.com/primo-explore/search?tab=default_tab&amp;search_scope=EVERYTHING&amp;vid=01CRU&amp;lang=en_US&amp;offset=0&amp;query=any,contains,991001770499702656","Catalog Record")</f>
        <v/>
      </c>
      <c r="AT1017">
        <f>HYPERLINK("http://www.worldcat.org/oclc/13327828","WorldCat Record")</f>
        <v/>
      </c>
      <c r="AU1017" t="inlineStr">
        <is>
          <t>54799774:eng</t>
        </is>
      </c>
      <c r="AV1017" t="inlineStr">
        <is>
          <t>13327828</t>
        </is>
      </c>
      <c r="AW1017" t="inlineStr">
        <is>
          <t>991001770499702656</t>
        </is>
      </c>
      <c r="AX1017" t="inlineStr">
        <is>
          <t>991001770499702656</t>
        </is>
      </c>
      <c r="AY1017" t="inlineStr">
        <is>
          <t>2259115920002656</t>
        </is>
      </c>
      <c r="AZ1017" t="inlineStr">
        <is>
          <t>BOOK</t>
        </is>
      </c>
      <c r="BB1017" t="inlineStr">
        <is>
          <t>9780306421648</t>
        </is>
      </c>
      <c r="BC1017" t="inlineStr">
        <is>
          <t>32285001771046</t>
        </is>
      </c>
      <c r="BD1017" t="inlineStr">
        <is>
          <t>893879156</t>
        </is>
      </c>
    </row>
    <row r="1018">
      <c r="A1018" t="inlineStr">
        <is>
          <t>No</t>
        </is>
      </c>
      <c r="B1018" t="inlineStr">
        <is>
          <t>QH491 .D426 1985, v.3</t>
        </is>
      </c>
      <c r="C1018" t="inlineStr">
        <is>
          <t>0                      QH 0491000D  426         1985                                        v.3</t>
        </is>
      </c>
      <c r="D1018" t="inlineStr">
        <is>
          <t>The Cell surface in development and cancer / edited by Malcolm S. Steinberg.</t>
        </is>
      </c>
      <c r="E1018" t="inlineStr">
        <is>
          <t>V. 3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New York : Plenum Press, c1986.</t>
        </is>
      </c>
      <c r="M1018" t="inlineStr">
        <is>
          <t>1986</t>
        </is>
      </c>
      <c r="O1018" t="inlineStr">
        <is>
          <t>eng</t>
        </is>
      </c>
      <c r="P1018" t="inlineStr">
        <is>
          <t>xxu</t>
        </is>
      </c>
      <c r="Q1018" t="inlineStr">
        <is>
          <t>Developmental biology ; v. 3</t>
        </is>
      </c>
      <c r="R1018" t="inlineStr">
        <is>
          <t xml:space="preserve">QH </t>
        </is>
      </c>
      <c r="S1018" t="n">
        <v>4</v>
      </c>
      <c r="T1018" t="n">
        <v>4</v>
      </c>
      <c r="U1018" t="inlineStr">
        <is>
          <t>1995-09-27</t>
        </is>
      </c>
      <c r="V1018" t="inlineStr">
        <is>
          <t>1995-09-27</t>
        </is>
      </c>
      <c r="W1018" t="inlineStr">
        <is>
          <t>1993-09-22</t>
        </is>
      </c>
      <c r="X1018" t="inlineStr">
        <is>
          <t>1993-09-22</t>
        </is>
      </c>
      <c r="Y1018" t="n">
        <v>112</v>
      </c>
      <c r="Z1018" t="n">
        <v>76</v>
      </c>
      <c r="AA1018" t="n">
        <v>99</v>
      </c>
      <c r="AB1018" t="n">
        <v>1</v>
      </c>
      <c r="AC1018" t="n">
        <v>1</v>
      </c>
      <c r="AD1018" t="n">
        <v>7</v>
      </c>
      <c r="AE1018" t="n">
        <v>8</v>
      </c>
      <c r="AF1018" t="n">
        <v>1</v>
      </c>
      <c r="AG1018" t="n">
        <v>2</v>
      </c>
      <c r="AH1018" t="n">
        <v>3</v>
      </c>
      <c r="AI1018" t="n">
        <v>3</v>
      </c>
      <c r="AJ1018" t="n">
        <v>5</v>
      </c>
      <c r="AK1018" t="n">
        <v>6</v>
      </c>
      <c r="AL1018" t="n">
        <v>0</v>
      </c>
      <c r="AM1018" t="n">
        <v>0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HYPERLINK("http://catalog.hathitrust.org/Record/000825002","HathiTrust Record")</f>
        <v/>
      </c>
      <c r="AS1018">
        <f>HYPERLINK("https://creighton-primo.hosted.exlibrisgroup.com/primo-explore/search?tab=default_tab&amp;search_scope=EVERYTHING&amp;vid=01CRU&amp;lang=en_US&amp;offset=0&amp;query=any,contains,991000820029702656","Catalog Record")</f>
        <v/>
      </c>
      <c r="AT1018">
        <f>HYPERLINK("http://www.worldcat.org/oclc/13394154","WorldCat Record")</f>
        <v/>
      </c>
      <c r="AU1018" t="inlineStr">
        <is>
          <t>7750760:eng</t>
        </is>
      </c>
      <c r="AV1018" t="inlineStr">
        <is>
          <t>13394154</t>
        </is>
      </c>
      <c r="AW1018" t="inlineStr">
        <is>
          <t>991000820029702656</t>
        </is>
      </c>
      <c r="AX1018" t="inlineStr">
        <is>
          <t>991000820029702656</t>
        </is>
      </c>
      <c r="AY1018" t="inlineStr">
        <is>
          <t>2264005740002656</t>
        </is>
      </c>
      <c r="AZ1018" t="inlineStr">
        <is>
          <t>BOOK</t>
        </is>
      </c>
      <c r="BB1018" t="inlineStr">
        <is>
          <t>9780306421655</t>
        </is>
      </c>
      <c r="BC1018" t="inlineStr">
        <is>
          <t>32285001771053</t>
        </is>
      </c>
      <c r="BD1018" t="inlineStr">
        <is>
          <t>893865718</t>
        </is>
      </c>
    </row>
    <row r="1019">
      <c r="A1019" t="inlineStr">
        <is>
          <t>No</t>
        </is>
      </c>
      <c r="B1019" t="inlineStr">
        <is>
          <t>QH491 .D426 1985, v.4</t>
        </is>
      </c>
      <c r="C1019" t="inlineStr">
        <is>
          <t>0                      QH 0491000D  426         1985                                        v.4</t>
        </is>
      </c>
      <c r="D1019" t="inlineStr">
        <is>
          <t>Manipulation of mammalian development / edited by Ralph B.L. Gwatkin.</t>
        </is>
      </c>
      <c r="E1019" t="inlineStr">
        <is>
          <t>V. 4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Plenum Press, c1986.</t>
        </is>
      </c>
      <c r="M1019" t="inlineStr">
        <is>
          <t>1986</t>
        </is>
      </c>
      <c r="O1019" t="inlineStr">
        <is>
          <t>eng</t>
        </is>
      </c>
      <c r="P1019" t="inlineStr">
        <is>
          <t>xxu</t>
        </is>
      </c>
      <c r="Q1019" t="inlineStr">
        <is>
          <t>Developmental biology ; v. 4</t>
        </is>
      </c>
      <c r="R1019" t="inlineStr">
        <is>
          <t xml:space="preserve">QH </t>
        </is>
      </c>
      <c r="S1019" t="n">
        <v>2</v>
      </c>
      <c r="T1019" t="n">
        <v>2</v>
      </c>
      <c r="U1019" t="inlineStr">
        <is>
          <t>1994-09-29</t>
        </is>
      </c>
      <c r="V1019" t="inlineStr">
        <is>
          <t>1994-09-29</t>
        </is>
      </c>
      <c r="W1019" t="inlineStr">
        <is>
          <t>1993-09-22</t>
        </is>
      </c>
      <c r="X1019" t="inlineStr">
        <is>
          <t>1993-09-22</t>
        </is>
      </c>
      <c r="Y1019" t="n">
        <v>107</v>
      </c>
      <c r="Z1019" t="n">
        <v>72</v>
      </c>
      <c r="AA1019" t="n">
        <v>96</v>
      </c>
      <c r="AB1019" t="n">
        <v>1</v>
      </c>
      <c r="AC1019" t="n">
        <v>1</v>
      </c>
      <c r="AD1019" t="n">
        <v>5</v>
      </c>
      <c r="AE1019" t="n">
        <v>6</v>
      </c>
      <c r="AF1019" t="n">
        <v>1</v>
      </c>
      <c r="AG1019" t="n">
        <v>2</v>
      </c>
      <c r="AH1019" t="n">
        <v>2</v>
      </c>
      <c r="AI1019" t="n">
        <v>2</v>
      </c>
      <c r="AJ1019" t="n">
        <v>4</v>
      </c>
      <c r="AK1019" t="n">
        <v>5</v>
      </c>
      <c r="AL1019" t="n">
        <v>0</v>
      </c>
      <c r="AM1019" t="n">
        <v>0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HYPERLINK("http://catalog.hathitrust.org/Record/000860382","HathiTrust Record")</f>
        <v/>
      </c>
      <c r="AS1019">
        <f>HYPERLINK("https://creighton-primo.hosted.exlibrisgroup.com/primo-explore/search?tab=default_tab&amp;search_scope=EVERYTHING&amp;vid=01CRU&amp;lang=en_US&amp;offset=0&amp;query=any,contains,991000819989702656","Catalog Record")</f>
        <v/>
      </c>
      <c r="AT1019">
        <f>HYPERLINK("http://www.worldcat.org/oclc/13394135","WorldCat Record")</f>
        <v/>
      </c>
      <c r="AU1019" t="inlineStr">
        <is>
          <t>9964827582:eng</t>
        </is>
      </c>
      <c r="AV1019" t="inlineStr">
        <is>
          <t>13394135</t>
        </is>
      </c>
      <c r="AW1019" t="inlineStr">
        <is>
          <t>991000819989702656</t>
        </is>
      </c>
      <c r="AX1019" t="inlineStr">
        <is>
          <t>991000819989702656</t>
        </is>
      </c>
      <c r="AY1019" t="inlineStr">
        <is>
          <t>2264006730002656</t>
        </is>
      </c>
      <c r="AZ1019" t="inlineStr">
        <is>
          <t>BOOK</t>
        </is>
      </c>
      <c r="BB1019" t="inlineStr">
        <is>
          <t>9780306421662</t>
        </is>
      </c>
      <c r="BC1019" t="inlineStr">
        <is>
          <t>32285001771061</t>
        </is>
      </c>
      <c r="BD1019" t="inlineStr">
        <is>
          <t>893797016</t>
        </is>
      </c>
    </row>
    <row r="1020">
      <c r="A1020" t="inlineStr">
        <is>
          <t>No</t>
        </is>
      </c>
      <c r="B1020" t="inlineStr">
        <is>
          <t>QH491 .D426 1985, v.6</t>
        </is>
      </c>
      <c r="C1020" t="inlineStr">
        <is>
          <t>0                      QH 0491000D  426         1985                                        v.6</t>
        </is>
      </c>
      <c r="D1020" t="inlineStr">
        <is>
          <t>Genomic adaptability in somatic cell specialization / edited by Marie A. DiBerardino and Laurence D. Etkin.</t>
        </is>
      </c>
      <c r="E1020" t="inlineStr">
        <is>
          <t>V. 6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L1020" t="inlineStr">
        <is>
          <t>New York : Plenum Press, c1989.</t>
        </is>
      </c>
      <c r="M1020" t="inlineStr">
        <is>
          <t>1989</t>
        </is>
      </c>
      <c r="O1020" t="inlineStr">
        <is>
          <t>eng</t>
        </is>
      </c>
      <c r="P1020" t="inlineStr">
        <is>
          <t>nyu</t>
        </is>
      </c>
      <c r="Q1020" t="inlineStr">
        <is>
          <t>Developmental biology : a comprehensive synthesis ; v. 6</t>
        </is>
      </c>
      <c r="R1020" t="inlineStr">
        <is>
          <t xml:space="preserve">QH </t>
        </is>
      </c>
      <c r="S1020" t="n">
        <v>2</v>
      </c>
      <c r="T1020" t="n">
        <v>2</v>
      </c>
      <c r="U1020" t="inlineStr">
        <is>
          <t>1996-09-28</t>
        </is>
      </c>
      <c r="V1020" t="inlineStr">
        <is>
          <t>1996-09-28</t>
        </is>
      </c>
      <c r="W1020" t="inlineStr">
        <is>
          <t>1989-12-05</t>
        </is>
      </c>
      <c r="X1020" t="inlineStr">
        <is>
          <t>1989-12-05</t>
        </is>
      </c>
      <c r="Y1020" t="n">
        <v>85</v>
      </c>
      <c r="Z1020" t="n">
        <v>62</v>
      </c>
      <c r="AA1020" t="n">
        <v>88</v>
      </c>
      <c r="AB1020" t="n">
        <v>1</v>
      </c>
      <c r="AC1020" t="n">
        <v>1</v>
      </c>
      <c r="AD1020" t="n">
        <v>6</v>
      </c>
      <c r="AE1020" t="n">
        <v>7</v>
      </c>
      <c r="AF1020" t="n">
        <v>2</v>
      </c>
      <c r="AG1020" t="n">
        <v>3</v>
      </c>
      <c r="AH1020" t="n">
        <v>3</v>
      </c>
      <c r="AI1020" t="n">
        <v>3</v>
      </c>
      <c r="AJ1020" t="n">
        <v>4</v>
      </c>
      <c r="AK1020" t="n">
        <v>5</v>
      </c>
      <c r="AL1020" t="n">
        <v>0</v>
      </c>
      <c r="AM1020" t="n">
        <v>0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HYPERLINK("http://catalog.hathitrust.org/Record/001547240","HathiTrust Record")</f>
        <v/>
      </c>
      <c r="AS1020">
        <f>HYPERLINK("https://creighton-primo.hosted.exlibrisgroup.com/primo-explore/search?tab=default_tab&amp;search_scope=EVERYTHING&amp;vid=01CRU&amp;lang=en_US&amp;offset=0&amp;query=any,contains,991001552159702656","Catalog Record")</f>
        <v/>
      </c>
      <c r="AT1020">
        <f>HYPERLINK("http://www.worldcat.org/oclc/21195376","WorldCat Record")</f>
        <v/>
      </c>
      <c r="AU1020" t="inlineStr">
        <is>
          <t>365226940:eng</t>
        </is>
      </c>
      <c r="AV1020" t="inlineStr">
        <is>
          <t>21195376</t>
        </is>
      </c>
      <c r="AW1020" t="inlineStr">
        <is>
          <t>991001552159702656</t>
        </is>
      </c>
      <c r="AX1020" t="inlineStr">
        <is>
          <t>991001552159702656</t>
        </is>
      </c>
      <c r="AY1020" t="inlineStr">
        <is>
          <t>2258584390002656</t>
        </is>
      </c>
      <c r="AZ1020" t="inlineStr">
        <is>
          <t>BOOK</t>
        </is>
      </c>
      <c r="BB1020" t="inlineStr">
        <is>
          <t>9780306431777</t>
        </is>
      </c>
      <c r="BC1020" t="inlineStr">
        <is>
          <t>32285000016971</t>
        </is>
      </c>
      <c r="BD1020" t="inlineStr">
        <is>
          <t>893684401</t>
        </is>
      </c>
    </row>
    <row r="1021">
      <c r="A1021" t="inlineStr">
        <is>
          <t>No</t>
        </is>
      </c>
      <c r="B1021" t="inlineStr">
        <is>
          <t>QH491 .E33</t>
        </is>
      </c>
      <c r="C1021" t="inlineStr">
        <is>
          <t>0                      QH 0491000E  33</t>
        </is>
      </c>
      <c r="D1021" t="inlineStr">
        <is>
          <t>An introduction to developmental biology / Donald A. Ede. --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Ede, Donald A.</t>
        </is>
      </c>
      <c r="L1021" t="inlineStr">
        <is>
          <t>New York : Wiley, 1978.</t>
        </is>
      </c>
      <c r="M1021" t="inlineStr">
        <is>
          <t>1978</t>
        </is>
      </c>
      <c r="O1021" t="inlineStr">
        <is>
          <t>eng</t>
        </is>
      </c>
      <c r="P1021" t="inlineStr">
        <is>
          <t>nyu</t>
        </is>
      </c>
      <c r="Q1021" t="inlineStr">
        <is>
          <t>Tertiary level biology</t>
        </is>
      </c>
      <c r="R1021" t="inlineStr">
        <is>
          <t xml:space="preserve">QH </t>
        </is>
      </c>
      <c r="S1021" t="n">
        <v>3</v>
      </c>
      <c r="T1021" t="n">
        <v>3</v>
      </c>
      <c r="U1021" t="inlineStr">
        <is>
          <t>2008-05-19</t>
        </is>
      </c>
      <c r="V1021" t="inlineStr">
        <is>
          <t>2008-05-19</t>
        </is>
      </c>
      <c r="W1021" t="inlineStr">
        <is>
          <t>1993-04-26</t>
        </is>
      </c>
      <c r="X1021" t="inlineStr">
        <is>
          <t>1993-04-26</t>
        </is>
      </c>
      <c r="Y1021" t="n">
        <v>301</v>
      </c>
      <c r="Z1021" t="n">
        <v>267</v>
      </c>
      <c r="AA1021" t="n">
        <v>290</v>
      </c>
      <c r="AB1021" t="n">
        <v>1</v>
      </c>
      <c r="AC1021" t="n">
        <v>2</v>
      </c>
      <c r="AD1021" t="n">
        <v>12</v>
      </c>
      <c r="AE1021" t="n">
        <v>13</v>
      </c>
      <c r="AF1021" t="n">
        <v>3</v>
      </c>
      <c r="AG1021" t="n">
        <v>3</v>
      </c>
      <c r="AH1021" t="n">
        <v>4</v>
      </c>
      <c r="AI1021" t="n">
        <v>4</v>
      </c>
      <c r="AJ1021" t="n">
        <v>11</v>
      </c>
      <c r="AK1021" t="n">
        <v>11</v>
      </c>
      <c r="AL1021" t="n">
        <v>0</v>
      </c>
      <c r="AM1021" t="n">
        <v>1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No</t>
        </is>
      </c>
      <c r="AS1021">
        <f>HYPERLINK("https://creighton-primo.hosted.exlibrisgroup.com/primo-explore/search?tab=default_tab&amp;search_scope=EVERYTHING&amp;vid=01CRU&amp;lang=en_US&amp;offset=0&amp;query=any,contains,991004573699702656","Catalog Record")</f>
        <v/>
      </c>
      <c r="AT1021">
        <f>HYPERLINK("http://www.worldcat.org/oclc/4036851","WorldCat Record")</f>
        <v/>
      </c>
      <c r="AU1021" t="inlineStr">
        <is>
          <t>9489892889:eng</t>
        </is>
      </c>
      <c r="AV1021" t="inlineStr">
        <is>
          <t>4036851</t>
        </is>
      </c>
      <c r="AW1021" t="inlineStr">
        <is>
          <t>991004573699702656</t>
        </is>
      </c>
      <c r="AX1021" t="inlineStr">
        <is>
          <t>991004573699702656</t>
        </is>
      </c>
      <c r="AY1021" t="inlineStr">
        <is>
          <t>2269104400002656</t>
        </is>
      </c>
      <c r="AZ1021" t="inlineStr">
        <is>
          <t>BOOK</t>
        </is>
      </c>
      <c r="BB1021" t="inlineStr">
        <is>
          <t>9780470264690</t>
        </is>
      </c>
      <c r="BC1021" t="inlineStr">
        <is>
          <t>32285001640894</t>
        </is>
      </c>
      <c r="BD1021" t="inlineStr">
        <is>
          <t>893519811</t>
        </is>
      </c>
    </row>
    <row r="1022">
      <c r="A1022" t="inlineStr">
        <is>
          <t>No</t>
        </is>
      </c>
      <c r="B1022" t="inlineStr">
        <is>
          <t>QH491 .G75 1991</t>
        </is>
      </c>
      <c r="C1022" t="inlineStr">
        <is>
          <t>0                      QH 0491000G  75          1991</t>
        </is>
      </c>
      <c r="D1022" t="inlineStr">
        <is>
          <t>Cellular aspects of pattern formation : the problem of assembly / Gary W. Grimes, Karl J. Aufderheide.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Grimes, Gary W., 1948-</t>
        </is>
      </c>
      <c r="L1022" t="inlineStr">
        <is>
          <t>Basel ; New York : Karger, 1991.</t>
        </is>
      </c>
      <c r="M1022" t="inlineStr">
        <is>
          <t>1991</t>
        </is>
      </c>
      <c r="O1022" t="inlineStr">
        <is>
          <t>eng</t>
        </is>
      </c>
      <c r="P1022" t="inlineStr">
        <is>
          <t xml:space="preserve">sz </t>
        </is>
      </c>
      <c r="Q1022" t="inlineStr">
        <is>
          <t>Monographs in developmental biology ; vol. 22</t>
        </is>
      </c>
      <c r="R1022" t="inlineStr">
        <is>
          <t xml:space="preserve">QH </t>
        </is>
      </c>
      <c r="S1022" t="n">
        <v>3</v>
      </c>
      <c r="T1022" t="n">
        <v>3</v>
      </c>
      <c r="U1022" t="inlineStr">
        <is>
          <t>1996-11-05</t>
        </is>
      </c>
      <c r="V1022" t="inlineStr">
        <is>
          <t>1996-11-05</t>
        </is>
      </c>
      <c r="W1022" t="inlineStr">
        <is>
          <t>1991-08-21</t>
        </is>
      </c>
      <c r="X1022" t="inlineStr">
        <is>
          <t>1991-08-21</t>
        </is>
      </c>
      <c r="Y1022" t="n">
        <v>189</v>
      </c>
      <c r="Z1022" t="n">
        <v>134</v>
      </c>
      <c r="AA1022" t="n">
        <v>135</v>
      </c>
      <c r="AB1022" t="n">
        <v>1</v>
      </c>
      <c r="AC1022" t="n">
        <v>1</v>
      </c>
      <c r="AD1022" t="n">
        <v>7</v>
      </c>
      <c r="AE1022" t="n">
        <v>7</v>
      </c>
      <c r="AF1022" t="n">
        <v>2</v>
      </c>
      <c r="AG1022" t="n">
        <v>2</v>
      </c>
      <c r="AH1022" t="n">
        <v>1</v>
      </c>
      <c r="AI1022" t="n">
        <v>1</v>
      </c>
      <c r="AJ1022" t="n">
        <v>6</v>
      </c>
      <c r="AK1022" t="n">
        <v>6</v>
      </c>
      <c r="AL1022" t="n">
        <v>0</v>
      </c>
      <c r="AM1022" t="n">
        <v>0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HYPERLINK("http://catalog.hathitrust.org/Record/002480463","HathiTrust Record")</f>
        <v/>
      </c>
      <c r="AS1022">
        <f>HYPERLINK("https://creighton-primo.hosted.exlibrisgroup.com/primo-explore/search?tab=default_tab&amp;search_scope=EVERYTHING&amp;vid=01CRU&amp;lang=en_US&amp;offset=0&amp;query=any,contains,991001899939702656","Catalog Record")</f>
        <v/>
      </c>
      <c r="AT1022">
        <f>HYPERLINK("http://www.worldcat.org/oclc/24009275","WorldCat Record")</f>
        <v/>
      </c>
      <c r="AU1022" t="inlineStr">
        <is>
          <t>24965247:eng</t>
        </is>
      </c>
      <c r="AV1022" t="inlineStr">
        <is>
          <t>24009275</t>
        </is>
      </c>
      <c r="AW1022" t="inlineStr">
        <is>
          <t>991001899939702656</t>
        </is>
      </c>
      <c r="AX1022" t="inlineStr">
        <is>
          <t>991001899939702656</t>
        </is>
      </c>
      <c r="AY1022" t="inlineStr">
        <is>
          <t>2264278370002656</t>
        </is>
      </c>
      <c r="AZ1022" t="inlineStr">
        <is>
          <t>BOOK</t>
        </is>
      </c>
      <c r="BB1022" t="inlineStr">
        <is>
          <t>9783805553827</t>
        </is>
      </c>
      <c r="BC1022" t="inlineStr">
        <is>
          <t>32285000701655</t>
        </is>
      </c>
      <c r="BD1022" t="inlineStr">
        <is>
          <t>893522952</t>
        </is>
      </c>
    </row>
    <row r="1023">
      <c r="A1023" t="inlineStr">
        <is>
          <t>No</t>
        </is>
      </c>
      <c r="B1023" t="inlineStr">
        <is>
          <t>QH491 .K49 2003</t>
        </is>
      </c>
      <c r="C1023" t="inlineStr">
        <is>
          <t>0                      QH 0491000K  49          2003</t>
        </is>
      </c>
      <c r="D1023" t="inlineStr">
        <is>
          <t>Keywords and concepts in evolutionary developmental biology / editors Brian K. Hall, Wendy M. Olson.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Cambridge, Mass. : Harvard University Press, 2003.</t>
        </is>
      </c>
      <c r="M1023" t="inlineStr">
        <is>
          <t>2003</t>
        </is>
      </c>
      <c r="O1023" t="inlineStr">
        <is>
          <t>eng</t>
        </is>
      </c>
      <c r="P1023" t="inlineStr">
        <is>
          <t>mau</t>
        </is>
      </c>
      <c r="Q1023" t="inlineStr">
        <is>
          <t>Harvard University Press reference library</t>
        </is>
      </c>
      <c r="R1023" t="inlineStr">
        <is>
          <t xml:space="preserve">QH </t>
        </is>
      </c>
      <c r="S1023" t="n">
        <v>2</v>
      </c>
      <c r="T1023" t="n">
        <v>2</v>
      </c>
      <c r="U1023" t="inlineStr">
        <is>
          <t>2005-03-15</t>
        </is>
      </c>
      <c r="V1023" t="inlineStr">
        <is>
          <t>2005-03-15</t>
        </is>
      </c>
      <c r="W1023" t="inlineStr">
        <is>
          <t>2005-03-15</t>
        </is>
      </c>
      <c r="X1023" t="inlineStr">
        <is>
          <t>2005-03-15</t>
        </is>
      </c>
      <c r="Y1023" t="n">
        <v>676</v>
      </c>
      <c r="Z1023" t="n">
        <v>570</v>
      </c>
      <c r="AA1023" t="n">
        <v>730</v>
      </c>
      <c r="AB1023" t="n">
        <v>4</v>
      </c>
      <c r="AC1023" t="n">
        <v>4</v>
      </c>
      <c r="AD1023" t="n">
        <v>32</v>
      </c>
      <c r="AE1023" t="n">
        <v>37</v>
      </c>
      <c r="AF1023" t="n">
        <v>16</v>
      </c>
      <c r="AG1023" t="n">
        <v>20</v>
      </c>
      <c r="AH1023" t="n">
        <v>6</v>
      </c>
      <c r="AI1023" t="n">
        <v>6</v>
      </c>
      <c r="AJ1023" t="n">
        <v>15</v>
      </c>
      <c r="AK1023" t="n">
        <v>16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HYPERLINK("http://catalog.hathitrust.org/Record/004289794","HathiTrust Record")</f>
        <v/>
      </c>
      <c r="AS1023">
        <f>HYPERLINK("https://creighton-primo.hosted.exlibrisgroup.com/primo-explore/search?tab=default_tab&amp;search_scope=EVERYTHING&amp;vid=01CRU&amp;lang=en_US&amp;offset=0&amp;query=any,contains,991004474639702656","Catalog Record")</f>
        <v/>
      </c>
      <c r="AT1023">
        <f>HYPERLINK("http://www.worldcat.org/oclc/50761342","WorldCat Record")</f>
        <v/>
      </c>
      <c r="AU1023" t="inlineStr">
        <is>
          <t>3901203167:eng</t>
        </is>
      </c>
      <c r="AV1023" t="inlineStr">
        <is>
          <t>50761342</t>
        </is>
      </c>
      <c r="AW1023" t="inlineStr">
        <is>
          <t>991004474639702656</t>
        </is>
      </c>
      <c r="AX1023" t="inlineStr">
        <is>
          <t>991004474639702656</t>
        </is>
      </c>
      <c r="AY1023" t="inlineStr">
        <is>
          <t>2264771130002656</t>
        </is>
      </c>
      <c r="AZ1023" t="inlineStr">
        <is>
          <t>BOOK</t>
        </is>
      </c>
      <c r="BB1023" t="inlineStr">
        <is>
          <t>9780674009042</t>
        </is>
      </c>
      <c r="BC1023" t="inlineStr">
        <is>
          <t>32285005041529</t>
        </is>
      </c>
      <c r="BD1023" t="inlineStr">
        <is>
          <t>893718943</t>
        </is>
      </c>
    </row>
    <row r="1024">
      <c r="A1024" t="inlineStr">
        <is>
          <t>No</t>
        </is>
      </c>
      <c r="B1024" t="inlineStr">
        <is>
          <t>QH491 .M43 1982</t>
        </is>
      </c>
      <c r="C1024" t="inlineStr">
        <is>
          <t>0                      QH 0491000M  43          1982</t>
        </is>
      </c>
      <c r="D1024" t="inlineStr">
        <is>
          <t>Models of biological pattern formation / Hans Meinhardt.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Meinhardt, Hans.</t>
        </is>
      </c>
      <c r="L1024" t="inlineStr">
        <is>
          <t>London ; New York : Academic Press, c1982, 1983 printing.</t>
        </is>
      </c>
      <c r="M1024" t="inlineStr">
        <is>
          <t>1982</t>
        </is>
      </c>
      <c r="O1024" t="inlineStr">
        <is>
          <t>eng</t>
        </is>
      </c>
      <c r="P1024" t="inlineStr">
        <is>
          <t>enk</t>
        </is>
      </c>
      <c r="R1024" t="inlineStr">
        <is>
          <t xml:space="preserve">QH </t>
        </is>
      </c>
      <c r="S1024" t="n">
        <v>4</v>
      </c>
      <c r="T1024" t="n">
        <v>4</v>
      </c>
      <c r="U1024" t="inlineStr">
        <is>
          <t>2005-08-17</t>
        </is>
      </c>
      <c r="V1024" t="inlineStr">
        <is>
          <t>2005-08-17</t>
        </is>
      </c>
      <c r="W1024" t="inlineStr">
        <is>
          <t>1993-04-26</t>
        </is>
      </c>
      <c r="X1024" t="inlineStr">
        <is>
          <t>1993-04-26</t>
        </is>
      </c>
      <c r="Y1024" t="n">
        <v>305</v>
      </c>
      <c r="Z1024" t="n">
        <v>195</v>
      </c>
      <c r="AA1024" t="n">
        <v>197</v>
      </c>
      <c r="AB1024" t="n">
        <v>2</v>
      </c>
      <c r="AC1024" t="n">
        <v>2</v>
      </c>
      <c r="AD1024" t="n">
        <v>5</v>
      </c>
      <c r="AE1024" t="n">
        <v>5</v>
      </c>
      <c r="AF1024" t="n">
        <v>0</v>
      </c>
      <c r="AG1024" t="n">
        <v>0</v>
      </c>
      <c r="AH1024" t="n">
        <v>2</v>
      </c>
      <c r="AI1024" t="n">
        <v>2</v>
      </c>
      <c r="AJ1024" t="n">
        <v>3</v>
      </c>
      <c r="AK1024" t="n">
        <v>3</v>
      </c>
      <c r="AL1024" t="n">
        <v>1</v>
      </c>
      <c r="AM1024" t="n">
        <v>1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HYPERLINK("http://catalog.hathitrust.org/Record/000770565","HathiTrust Record")</f>
        <v/>
      </c>
      <c r="AS1024">
        <f>HYPERLINK("https://creighton-primo.hosted.exlibrisgroup.com/primo-explore/search?tab=default_tab&amp;search_scope=EVERYTHING&amp;vid=01CRU&amp;lang=en_US&amp;offset=0&amp;query=any,contains,991000156929702656","Catalog Record")</f>
        <v/>
      </c>
      <c r="AT1024">
        <f>HYPERLINK("http://www.worldcat.org/oclc/9241146","WorldCat Record")</f>
        <v/>
      </c>
      <c r="AU1024" t="inlineStr">
        <is>
          <t>43455811:eng</t>
        </is>
      </c>
      <c r="AV1024" t="inlineStr">
        <is>
          <t>9241146</t>
        </is>
      </c>
      <c r="AW1024" t="inlineStr">
        <is>
          <t>991000156929702656</t>
        </is>
      </c>
      <c r="AX1024" t="inlineStr">
        <is>
          <t>991000156929702656</t>
        </is>
      </c>
      <c r="AY1024" t="inlineStr">
        <is>
          <t>2259570940002656</t>
        </is>
      </c>
      <c r="AZ1024" t="inlineStr">
        <is>
          <t>BOOK</t>
        </is>
      </c>
      <c r="BB1024" t="inlineStr">
        <is>
          <t>9780124886209</t>
        </is>
      </c>
      <c r="BC1024" t="inlineStr">
        <is>
          <t>32285001640928</t>
        </is>
      </c>
      <c r="BD1024" t="inlineStr">
        <is>
          <t>893689477</t>
        </is>
      </c>
    </row>
    <row r="1025">
      <c r="A1025" t="inlineStr">
        <is>
          <t>No</t>
        </is>
      </c>
      <c r="B1025" t="inlineStr">
        <is>
          <t>QH491 .M635 1993</t>
        </is>
      </c>
      <c r="C1025" t="inlineStr">
        <is>
          <t>0                      QH 0491000M  635         1993</t>
        </is>
      </c>
      <c r="D1025" t="inlineStr">
        <is>
          <t>Molecular basis of morphogenesis / editor, Merton Bernfield.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New York : Wiley-Liss, c1993.</t>
        </is>
      </c>
      <c r="M1025" t="inlineStr">
        <is>
          <t>1993</t>
        </is>
      </c>
      <c r="O1025" t="inlineStr">
        <is>
          <t>eng</t>
        </is>
      </c>
      <c r="P1025" t="inlineStr">
        <is>
          <t>nyu</t>
        </is>
      </c>
      <c r="R1025" t="inlineStr">
        <is>
          <t xml:space="preserve">QH </t>
        </is>
      </c>
      <c r="S1025" t="n">
        <v>4</v>
      </c>
      <c r="T1025" t="n">
        <v>4</v>
      </c>
      <c r="U1025" t="inlineStr">
        <is>
          <t>2002-02-10</t>
        </is>
      </c>
      <c r="V1025" t="inlineStr">
        <is>
          <t>2002-02-10</t>
        </is>
      </c>
      <c r="W1025" t="inlineStr">
        <is>
          <t>1994-07-12</t>
        </is>
      </c>
      <c r="X1025" t="inlineStr">
        <is>
          <t>1994-07-12</t>
        </is>
      </c>
      <c r="Y1025" t="n">
        <v>284</v>
      </c>
      <c r="Z1025" t="n">
        <v>238</v>
      </c>
      <c r="AA1025" t="n">
        <v>240</v>
      </c>
      <c r="AB1025" t="n">
        <v>1</v>
      </c>
      <c r="AC1025" t="n">
        <v>1</v>
      </c>
      <c r="AD1025" t="n">
        <v>11</v>
      </c>
      <c r="AE1025" t="n">
        <v>11</v>
      </c>
      <c r="AF1025" t="n">
        <v>4</v>
      </c>
      <c r="AG1025" t="n">
        <v>4</v>
      </c>
      <c r="AH1025" t="n">
        <v>2</v>
      </c>
      <c r="AI1025" t="n">
        <v>2</v>
      </c>
      <c r="AJ1025" t="n">
        <v>8</v>
      </c>
      <c r="AK1025" t="n">
        <v>8</v>
      </c>
      <c r="AL1025" t="n">
        <v>0</v>
      </c>
      <c r="AM1025" t="n">
        <v>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HYPERLINK("http://catalog.hathitrust.org/Record/002753423","HathiTrust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HYPERLINK("https://creighton-primo.hosted.exlibrisgroup.com/primo-explore/search?tab=default_tab&amp;search_scope=EVERYTHING&amp;vid=01CRU&amp;lang=en_US&amp;offset=0&amp;query=any,contains,991002202509702656","Catalog Record")</f>
        <v/>
      </c>
      <c r="AT1025">
        <f>HYPERLINK("http://www.worldcat.org/oclc/28336311","WorldCat Record")</f>
        <v/>
      </c>
      <c r="AU1025" t="inlineStr">
        <is>
          <t>364473177:eng</t>
        </is>
      </c>
      <c r="AV1025" t="inlineStr">
        <is>
          <t>28336311</t>
        </is>
      </c>
      <c r="AW1025" t="inlineStr">
        <is>
          <t>991002202509702656</t>
        </is>
      </c>
      <c r="AX1025" t="inlineStr">
        <is>
          <t>991002202509702656</t>
        </is>
      </c>
      <c r="AY1025" t="inlineStr">
        <is>
          <t>2261098240002656</t>
        </is>
      </c>
      <c r="AZ1025" t="inlineStr">
        <is>
          <t>BOOK</t>
        </is>
      </c>
      <c r="BB1025" t="inlineStr">
        <is>
          <t>9780471305156</t>
        </is>
      </c>
      <c r="BC1025" t="inlineStr">
        <is>
          <t>32285001931251</t>
        </is>
      </c>
      <c r="BD1025" t="inlineStr">
        <is>
          <t>893504121</t>
        </is>
      </c>
    </row>
    <row r="1026">
      <c r="A1026" t="inlineStr">
        <is>
          <t>No</t>
        </is>
      </c>
      <c r="B1026" t="inlineStr">
        <is>
          <t>QH491 .M65</t>
        </is>
      </c>
      <c r="C1026" t="inlineStr">
        <is>
          <t>0                      QH 0491000M  65</t>
        </is>
      </c>
      <c r="D1026" t="inlineStr">
        <is>
          <t>Introductory concepts in developmental biology / A. A. Monroy and A. Moscona.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Monroy, Alberto.</t>
        </is>
      </c>
      <c r="L1026" t="inlineStr">
        <is>
          <t>Chicago : University of Chicago Press, c1979.</t>
        </is>
      </c>
      <c r="M1026" t="inlineStr">
        <is>
          <t>1979</t>
        </is>
      </c>
      <c r="O1026" t="inlineStr">
        <is>
          <t>eng</t>
        </is>
      </c>
      <c r="P1026" t="inlineStr">
        <is>
          <t>ilu</t>
        </is>
      </c>
      <c r="R1026" t="inlineStr">
        <is>
          <t xml:space="preserve">QH </t>
        </is>
      </c>
      <c r="S1026" t="n">
        <v>1</v>
      </c>
      <c r="T1026" t="n">
        <v>1</v>
      </c>
      <c r="U1026" t="inlineStr">
        <is>
          <t>2008-02-05</t>
        </is>
      </c>
      <c r="V1026" t="inlineStr">
        <is>
          <t>2008-02-05</t>
        </is>
      </c>
      <c r="W1026" t="inlineStr">
        <is>
          <t>1993-04-26</t>
        </is>
      </c>
      <c r="X1026" t="inlineStr">
        <is>
          <t>1993-04-26</t>
        </is>
      </c>
      <c r="Y1026" t="n">
        <v>208</v>
      </c>
      <c r="Z1026" t="n">
        <v>158</v>
      </c>
      <c r="AA1026" t="n">
        <v>161</v>
      </c>
      <c r="AB1026" t="n">
        <v>3</v>
      </c>
      <c r="AC1026" t="n">
        <v>3</v>
      </c>
      <c r="AD1026" t="n">
        <v>6</v>
      </c>
      <c r="AE1026" t="n">
        <v>6</v>
      </c>
      <c r="AF1026" t="n">
        <v>0</v>
      </c>
      <c r="AG1026" t="n">
        <v>0</v>
      </c>
      <c r="AH1026" t="n">
        <v>1</v>
      </c>
      <c r="AI1026" t="n">
        <v>1</v>
      </c>
      <c r="AJ1026" t="n">
        <v>4</v>
      </c>
      <c r="AK1026" t="n">
        <v>4</v>
      </c>
      <c r="AL1026" t="n">
        <v>2</v>
      </c>
      <c r="AM1026" t="n">
        <v>2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HYPERLINK("https://creighton-primo.hosted.exlibrisgroup.com/primo-explore/search?tab=default_tab&amp;search_scope=EVERYTHING&amp;vid=01CRU&amp;lang=en_US&amp;offset=0&amp;query=any,contains,991004536089702656","Catalog Record")</f>
        <v/>
      </c>
      <c r="AT1026">
        <f>HYPERLINK("http://www.worldcat.org/oclc/3869776","WorldCat Record")</f>
        <v/>
      </c>
      <c r="AU1026" t="inlineStr">
        <is>
          <t>418877:eng</t>
        </is>
      </c>
      <c r="AV1026" t="inlineStr">
        <is>
          <t>3869776</t>
        </is>
      </c>
      <c r="AW1026" t="inlineStr">
        <is>
          <t>991004536089702656</t>
        </is>
      </c>
      <c r="AX1026" t="inlineStr">
        <is>
          <t>991004536089702656</t>
        </is>
      </c>
      <c r="AY1026" t="inlineStr">
        <is>
          <t>2262939940002656</t>
        </is>
      </c>
      <c r="AZ1026" t="inlineStr">
        <is>
          <t>BOOK</t>
        </is>
      </c>
      <c r="BB1026" t="inlineStr">
        <is>
          <t>9780226534763</t>
        </is>
      </c>
      <c r="BC1026" t="inlineStr">
        <is>
          <t>32285001640951</t>
        </is>
      </c>
      <c r="BD1026" t="inlineStr">
        <is>
          <t>893776125</t>
        </is>
      </c>
    </row>
    <row r="1027">
      <c r="A1027" t="inlineStr">
        <is>
          <t>No</t>
        </is>
      </c>
      <c r="B1027" t="inlineStr">
        <is>
          <t>QH491 .P37 1969</t>
        </is>
      </c>
      <c r="C1027" t="inlineStr">
        <is>
          <t>0                      QH 0491000P  37          1969</t>
        </is>
      </c>
      <c r="D1027" t="inlineStr">
        <is>
          <t>Problems in biology: RNA in development E. W. Hanly, editor.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Park City International Symposium on Problems in Biology (1969)</t>
        </is>
      </c>
      <c r="L1027" t="inlineStr">
        <is>
          <t>Salt Lake City, University of Utah Press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utu</t>
        </is>
      </c>
      <c r="R1027" t="inlineStr">
        <is>
          <t xml:space="preserve">QH </t>
        </is>
      </c>
      <c r="S1027" t="n">
        <v>1</v>
      </c>
      <c r="T1027" t="n">
        <v>1</v>
      </c>
      <c r="U1027" t="inlineStr">
        <is>
          <t>2006-09-13</t>
        </is>
      </c>
      <c r="V1027" t="inlineStr">
        <is>
          <t>2006-09-13</t>
        </is>
      </c>
      <c r="W1027" t="inlineStr">
        <is>
          <t>1997-07-02</t>
        </is>
      </c>
      <c r="X1027" t="inlineStr">
        <is>
          <t>1997-07-02</t>
        </is>
      </c>
      <c r="Y1027" t="n">
        <v>214</v>
      </c>
      <c r="Z1027" t="n">
        <v>176</v>
      </c>
      <c r="AA1027" t="n">
        <v>177</v>
      </c>
      <c r="AB1027" t="n">
        <v>3</v>
      </c>
      <c r="AC1027" t="n">
        <v>3</v>
      </c>
      <c r="AD1027" t="n">
        <v>8</v>
      </c>
      <c r="AE1027" t="n">
        <v>8</v>
      </c>
      <c r="AF1027" t="n">
        <v>2</v>
      </c>
      <c r="AG1027" t="n">
        <v>2</v>
      </c>
      <c r="AH1027" t="n">
        <v>1</v>
      </c>
      <c r="AI1027" t="n">
        <v>1</v>
      </c>
      <c r="AJ1027" t="n">
        <v>4</v>
      </c>
      <c r="AK1027" t="n">
        <v>4</v>
      </c>
      <c r="AL1027" t="n">
        <v>2</v>
      </c>
      <c r="AM1027" t="n">
        <v>2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HYPERLINK("http://catalog.hathitrust.org/Record/001492508","HathiTrust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HYPERLINK("https://creighton-primo.hosted.exlibrisgroup.com/primo-explore/search?tab=default_tab&amp;search_scope=EVERYTHING&amp;vid=01CRU&amp;lang=en_US&amp;offset=0&amp;query=any,contains,991000565989702656","Catalog Record")</f>
        <v/>
      </c>
      <c r="AT1027">
        <f>HYPERLINK("http://www.worldcat.org/oclc/94231","WorldCat Record")</f>
        <v/>
      </c>
      <c r="AU1027" t="inlineStr">
        <is>
          <t>1313211:eng</t>
        </is>
      </c>
      <c r="AV1027" t="inlineStr">
        <is>
          <t>94231</t>
        </is>
      </c>
      <c r="AW1027" t="inlineStr">
        <is>
          <t>991000565989702656</t>
        </is>
      </c>
      <c r="AX1027" t="inlineStr">
        <is>
          <t>991000565989702656</t>
        </is>
      </c>
      <c r="AY1027" t="inlineStr">
        <is>
          <t>2266126550002656</t>
        </is>
      </c>
      <c r="AZ1027" t="inlineStr">
        <is>
          <t>BOOK</t>
        </is>
      </c>
      <c r="BB1027" t="inlineStr">
        <is>
          <t>9780874800173</t>
        </is>
      </c>
      <c r="BC1027" t="inlineStr">
        <is>
          <t>32285002912110</t>
        </is>
      </c>
      <c r="BD1027" t="inlineStr">
        <is>
          <t>893231212</t>
        </is>
      </c>
    </row>
    <row r="1028">
      <c r="A1028" t="inlineStr">
        <is>
          <t>No</t>
        </is>
      </c>
      <c r="B1028" t="inlineStr">
        <is>
          <t>QH491 .P38 1984</t>
        </is>
      </c>
      <c r="C1028" t="inlineStr">
        <is>
          <t>0                      QH 0491000P  38          1984</t>
        </is>
      </c>
      <c r="D1028" t="inlineStr">
        <is>
          <t>Pattern formation : a primer in developmental biology / George M. Malacinski, editor ; Susan V. Brant, consulting editor.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L1028" t="inlineStr">
        <is>
          <t>New York : Macmillan Pub. Co., c1984.</t>
        </is>
      </c>
      <c r="M1028" t="inlineStr">
        <is>
          <t>1984</t>
        </is>
      </c>
      <c r="O1028" t="inlineStr">
        <is>
          <t>eng</t>
        </is>
      </c>
      <c r="P1028" t="inlineStr">
        <is>
          <t>nyu</t>
        </is>
      </c>
      <c r="Q1028" t="inlineStr">
        <is>
          <t>Primers in developmental biology ; v. 1</t>
        </is>
      </c>
      <c r="R1028" t="inlineStr">
        <is>
          <t xml:space="preserve">QH </t>
        </is>
      </c>
      <c r="S1028" t="n">
        <v>5</v>
      </c>
      <c r="T1028" t="n">
        <v>5</v>
      </c>
      <c r="U1028" t="inlineStr">
        <is>
          <t>1998-10-08</t>
        </is>
      </c>
      <c r="V1028" t="inlineStr">
        <is>
          <t>1998-10-08</t>
        </is>
      </c>
      <c r="W1028" t="inlineStr">
        <is>
          <t>1993-04-26</t>
        </is>
      </c>
      <c r="X1028" t="inlineStr">
        <is>
          <t>1993-04-26</t>
        </is>
      </c>
      <c r="Y1028" t="n">
        <v>448</v>
      </c>
      <c r="Z1028" t="n">
        <v>355</v>
      </c>
      <c r="AA1028" t="n">
        <v>358</v>
      </c>
      <c r="AB1028" t="n">
        <v>2</v>
      </c>
      <c r="AC1028" t="n">
        <v>2</v>
      </c>
      <c r="AD1028" t="n">
        <v>16</v>
      </c>
      <c r="AE1028" t="n">
        <v>16</v>
      </c>
      <c r="AF1028" t="n">
        <v>2</v>
      </c>
      <c r="AG1028" t="n">
        <v>2</v>
      </c>
      <c r="AH1028" t="n">
        <v>4</v>
      </c>
      <c r="AI1028" t="n">
        <v>4</v>
      </c>
      <c r="AJ1028" t="n">
        <v>12</v>
      </c>
      <c r="AK1028" t="n">
        <v>12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HYPERLINK("http://catalog.hathitrust.org/Record/000573108","HathiTrust Record")</f>
        <v/>
      </c>
      <c r="AS1028">
        <f>HYPERLINK("https://creighton-primo.hosted.exlibrisgroup.com/primo-explore/search?tab=default_tab&amp;search_scope=EVERYTHING&amp;vid=01CRU&amp;lang=en_US&amp;offset=0&amp;query=any,contains,991000333169702656","Catalog Record")</f>
        <v/>
      </c>
      <c r="AT1028">
        <f>HYPERLINK("http://www.worldcat.org/oclc/10208287","WorldCat Record")</f>
        <v/>
      </c>
      <c r="AU1028" t="inlineStr">
        <is>
          <t>796132050:eng</t>
        </is>
      </c>
      <c r="AV1028" t="inlineStr">
        <is>
          <t>10208287</t>
        </is>
      </c>
      <c r="AW1028" t="inlineStr">
        <is>
          <t>991000333169702656</t>
        </is>
      </c>
      <c r="AX1028" t="inlineStr">
        <is>
          <t>991000333169702656</t>
        </is>
      </c>
      <c r="AY1028" t="inlineStr">
        <is>
          <t>2264311690002656</t>
        </is>
      </c>
      <c r="AZ1028" t="inlineStr">
        <is>
          <t>BOOK</t>
        </is>
      </c>
      <c r="BB1028" t="inlineStr">
        <is>
          <t>9780029494806</t>
        </is>
      </c>
      <c r="BC1028" t="inlineStr">
        <is>
          <t>32285001640977</t>
        </is>
      </c>
      <c r="BD1028" t="inlineStr">
        <is>
          <t>893865267</t>
        </is>
      </c>
    </row>
    <row r="1029">
      <c r="A1029" t="inlineStr">
        <is>
          <t>No</t>
        </is>
      </c>
      <c r="B1029" t="inlineStr">
        <is>
          <t>QH491 .S38 1984</t>
        </is>
      </c>
      <c r="C1029" t="inlineStr">
        <is>
          <t>0                      QH 0491000S  38          1984</t>
        </is>
      </c>
      <c r="D1029" t="inlineStr">
        <is>
          <t>Developmental biology of cultured nerve, muscle, and glia / David Schubert.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Schubert, David, 1943-</t>
        </is>
      </c>
      <c r="L1029" t="inlineStr">
        <is>
          <t>New York : Wiley, c1984.</t>
        </is>
      </c>
      <c r="M1029" t="inlineStr">
        <is>
          <t>1984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QH </t>
        </is>
      </c>
      <c r="S1029" t="n">
        <v>2</v>
      </c>
      <c r="T1029" t="n">
        <v>2</v>
      </c>
      <c r="U1029" t="inlineStr">
        <is>
          <t>1996-09-28</t>
        </is>
      </c>
      <c r="V1029" t="inlineStr">
        <is>
          <t>1996-09-28</t>
        </is>
      </c>
      <c r="W1029" t="inlineStr">
        <is>
          <t>1993-04-26</t>
        </is>
      </c>
      <c r="X1029" t="inlineStr">
        <is>
          <t>1993-04-26</t>
        </is>
      </c>
      <c r="Y1029" t="n">
        <v>321</v>
      </c>
      <c r="Z1029" t="n">
        <v>270</v>
      </c>
      <c r="AA1029" t="n">
        <v>272</v>
      </c>
      <c r="AB1029" t="n">
        <v>2</v>
      </c>
      <c r="AC1029" t="n">
        <v>2</v>
      </c>
      <c r="AD1029" t="n">
        <v>11</v>
      </c>
      <c r="AE1029" t="n">
        <v>11</v>
      </c>
      <c r="AF1029" t="n">
        <v>3</v>
      </c>
      <c r="AG1029" t="n">
        <v>3</v>
      </c>
      <c r="AH1029" t="n">
        <v>3</v>
      </c>
      <c r="AI1029" t="n">
        <v>3</v>
      </c>
      <c r="AJ1029" t="n">
        <v>6</v>
      </c>
      <c r="AK1029" t="n">
        <v>6</v>
      </c>
      <c r="AL1029" t="n">
        <v>1</v>
      </c>
      <c r="AM1029" t="n">
        <v>1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HYPERLINK("http://catalog.hathitrust.org/Record/000122804","HathiTrust Record")</f>
        <v/>
      </c>
      <c r="AS1029">
        <f>HYPERLINK("https://creighton-primo.hosted.exlibrisgroup.com/primo-explore/search?tab=default_tab&amp;search_scope=EVERYTHING&amp;vid=01CRU&amp;lang=en_US&amp;offset=0&amp;query=any,contains,991000348279702656","Catalog Record")</f>
        <v/>
      </c>
      <c r="AT1029">
        <f>HYPERLINK("http://www.worldcat.org/oclc/10299323","WorldCat Record")</f>
        <v/>
      </c>
      <c r="AU1029" t="inlineStr">
        <is>
          <t>353789024:eng</t>
        </is>
      </c>
      <c r="AV1029" t="inlineStr">
        <is>
          <t>10299323</t>
        </is>
      </c>
      <c r="AW1029" t="inlineStr">
        <is>
          <t>991000348279702656</t>
        </is>
      </c>
      <c r="AX1029" t="inlineStr">
        <is>
          <t>991000348279702656</t>
        </is>
      </c>
      <c r="AY1029" t="inlineStr">
        <is>
          <t>2255374710002656</t>
        </is>
      </c>
      <c r="AZ1029" t="inlineStr">
        <is>
          <t>BOOK</t>
        </is>
      </c>
      <c r="BB1029" t="inlineStr">
        <is>
          <t>9780471865926</t>
        </is>
      </c>
      <c r="BC1029" t="inlineStr">
        <is>
          <t>32285001640993</t>
        </is>
      </c>
      <c r="BD1029" t="inlineStr">
        <is>
          <t>893790427</t>
        </is>
      </c>
    </row>
    <row r="1030">
      <c r="A1030" t="inlineStr">
        <is>
          <t>No</t>
        </is>
      </c>
      <c r="B1030" t="inlineStr">
        <is>
          <t>QH491 .S43 2007</t>
        </is>
      </c>
      <c r="C1030" t="inlineStr">
        <is>
          <t>0                      QH 0491000S  43          2007</t>
        </is>
      </c>
      <c r="D1030" t="inlineStr">
        <is>
          <t>First the egg / Laura Vaccaro Seeger.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Seeger, Laura Vaccaro.</t>
        </is>
      </c>
      <c r="L1030" t="inlineStr">
        <is>
          <t>New Milford, Conn. : Roaring Brook Press, 2007.</t>
        </is>
      </c>
      <c r="M1030" t="inlineStr">
        <is>
          <t>2007</t>
        </is>
      </c>
      <c r="N1030" t="inlineStr">
        <is>
          <t>1st ed.</t>
        </is>
      </c>
      <c r="O1030" t="inlineStr">
        <is>
          <t>eng</t>
        </is>
      </c>
      <c r="P1030" t="inlineStr">
        <is>
          <t>ctu</t>
        </is>
      </c>
      <c r="R1030" t="inlineStr">
        <is>
          <t xml:space="preserve">QH </t>
        </is>
      </c>
      <c r="S1030" t="n">
        <v>2</v>
      </c>
      <c r="T1030" t="n">
        <v>2</v>
      </c>
      <c r="U1030" t="inlineStr">
        <is>
          <t>2007-12-06</t>
        </is>
      </c>
      <c r="V1030" t="inlineStr">
        <is>
          <t>2007-12-06</t>
        </is>
      </c>
      <c r="W1030" t="inlineStr">
        <is>
          <t>2007-12-06</t>
        </is>
      </c>
      <c r="X1030" t="inlineStr">
        <is>
          <t>2007-12-06</t>
        </is>
      </c>
      <c r="Y1030" t="n">
        <v>2864</v>
      </c>
      <c r="Z1030" t="n">
        <v>2769</v>
      </c>
      <c r="AA1030" t="n">
        <v>3001</v>
      </c>
      <c r="AB1030" t="n">
        <v>30</v>
      </c>
      <c r="AC1030" t="n">
        <v>32</v>
      </c>
      <c r="AD1030" t="n">
        <v>35</v>
      </c>
      <c r="AE1030" t="n">
        <v>38</v>
      </c>
      <c r="AF1030" t="n">
        <v>19</v>
      </c>
      <c r="AG1030" t="n">
        <v>21</v>
      </c>
      <c r="AH1030" t="n">
        <v>6</v>
      </c>
      <c r="AI1030" t="n">
        <v>6</v>
      </c>
      <c r="AJ1030" t="n">
        <v>12</v>
      </c>
      <c r="AK1030" t="n">
        <v>13</v>
      </c>
      <c r="AL1030" t="n">
        <v>7</v>
      </c>
      <c r="AM1030" t="n">
        <v>8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HYPERLINK("https://creighton-primo.hosted.exlibrisgroup.com/primo-explore/search?tab=default_tab&amp;search_scope=EVERYTHING&amp;vid=01CRU&amp;lang=en_US&amp;offset=0&amp;query=any,contains,991005155889702656","Catalog Record")</f>
        <v/>
      </c>
      <c r="AT1030">
        <f>HYPERLINK("http://www.worldcat.org/oclc/71842805","WorldCat Record")</f>
        <v/>
      </c>
      <c r="AU1030" t="inlineStr">
        <is>
          <t>58708844:eng</t>
        </is>
      </c>
      <c r="AV1030" t="inlineStr">
        <is>
          <t>71842805</t>
        </is>
      </c>
      <c r="AW1030" t="inlineStr">
        <is>
          <t>991005155889702656</t>
        </is>
      </c>
      <c r="AX1030" t="inlineStr">
        <is>
          <t>991005155889702656</t>
        </is>
      </c>
      <c r="AY1030" t="inlineStr">
        <is>
          <t>2257067790002656</t>
        </is>
      </c>
      <c r="AZ1030" t="inlineStr">
        <is>
          <t>BOOK</t>
        </is>
      </c>
      <c r="BB1030" t="inlineStr">
        <is>
          <t>9781596432727</t>
        </is>
      </c>
      <c r="BC1030" t="inlineStr">
        <is>
          <t>32285005370548</t>
        </is>
      </c>
      <c r="BD1030" t="inlineStr">
        <is>
          <t>893768497</t>
        </is>
      </c>
    </row>
    <row r="1031">
      <c r="A1031" t="inlineStr">
        <is>
          <t>No</t>
        </is>
      </c>
      <c r="B1031" t="inlineStr">
        <is>
          <t>QH491 .T4813 1983</t>
        </is>
      </c>
      <c r="C1031" t="inlineStr">
        <is>
          <t>0                      QH 0491000T  4813        1983</t>
        </is>
      </c>
      <c r="D1031" t="inlineStr">
        <is>
          <t>Mathematical models of morphogenesis / René Thom ; translated by W.M. Brookes, D. Rand.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Thom, René, 1923-2002.</t>
        </is>
      </c>
      <c r="L1031" t="inlineStr">
        <is>
          <t>Chichester : Ellis Horwood ; New York : Halsted Press, 1983.</t>
        </is>
      </c>
      <c r="M1031" t="inlineStr">
        <is>
          <t>1983</t>
        </is>
      </c>
      <c r="O1031" t="inlineStr">
        <is>
          <t>eng</t>
        </is>
      </c>
      <c r="P1031" t="inlineStr">
        <is>
          <t>enk</t>
        </is>
      </c>
      <c r="Q1031" t="inlineStr">
        <is>
          <t>Ellis Horwood series in mathematics and its applications</t>
        </is>
      </c>
      <c r="R1031" t="inlineStr">
        <is>
          <t xml:space="preserve">QH </t>
        </is>
      </c>
      <c r="S1031" t="n">
        <v>1</v>
      </c>
      <c r="T1031" t="n">
        <v>1</v>
      </c>
      <c r="U1031" t="inlineStr">
        <is>
          <t>2000-10-09</t>
        </is>
      </c>
      <c r="V1031" t="inlineStr">
        <is>
          <t>2000-10-09</t>
        </is>
      </c>
      <c r="W1031" t="inlineStr">
        <is>
          <t>1993-04-26</t>
        </is>
      </c>
      <c r="X1031" t="inlineStr">
        <is>
          <t>1993-04-26</t>
        </is>
      </c>
      <c r="Y1031" t="n">
        <v>303</v>
      </c>
      <c r="Z1031" t="n">
        <v>217</v>
      </c>
      <c r="AA1031" t="n">
        <v>218</v>
      </c>
      <c r="AB1031" t="n">
        <v>1</v>
      </c>
      <c r="AC1031" t="n">
        <v>1</v>
      </c>
      <c r="AD1031" t="n">
        <v>7</v>
      </c>
      <c r="AE1031" t="n">
        <v>7</v>
      </c>
      <c r="AF1031" t="n">
        <v>0</v>
      </c>
      <c r="AG1031" t="n">
        <v>0</v>
      </c>
      <c r="AH1031" t="n">
        <v>1</v>
      </c>
      <c r="AI1031" t="n">
        <v>1</v>
      </c>
      <c r="AJ1031" t="n">
        <v>6</v>
      </c>
      <c r="AK1031" t="n">
        <v>6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HYPERLINK("http://catalog.hathitrust.org/Record/000624555","HathiTrust Record")</f>
        <v/>
      </c>
      <c r="AS1031">
        <f>HYPERLINK("https://creighton-primo.hosted.exlibrisgroup.com/primo-explore/search?tab=default_tab&amp;search_scope=EVERYTHING&amp;vid=01CRU&amp;lang=en_US&amp;offset=0&amp;query=any,contains,991000255199702656","Catalog Record")</f>
        <v/>
      </c>
      <c r="AT1031">
        <f>HYPERLINK("http://www.worldcat.org/oclc/9762597","WorldCat Record")</f>
        <v/>
      </c>
      <c r="AU1031" t="inlineStr">
        <is>
          <t>4160760529:eng</t>
        </is>
      </c>
      <c r="AV1031" t="inlineStr">
        <is>
          <t>9762597</t>
        </is>
      </c>
      <c r="AW1031" t="inlineStr">
        <is>
          <t>991000255199702656</t>
        </is>
      </c>
      <c r="AX1031" t="inlineStr">
        <is>
          <t>991000255199702656</t>
        </is>
      </c>
      <c r="AY1031" t="inlineStr">
        <is>
          <t>2260592380002656</t>
        </is>
      </c>
      <c r="AZ1031" t="inlineStr">
        <is>
          <t>BOOK</t>
        </is>
      </c>
      <c r="BB1031" t="inlineStr">
        <is>
          <t>9780470274996</t>
        </is>
      </c>
      <c r="BC1031" t="inlineStr">
        <is>
          <t>32285001641017</t>
        </is>
      </c>
      <c r="BD1031" t="inlineStr">
        <is>
          <t>893790372</t>
        </is>
      </c>
    </row>
    <row r="1032">
      <c r="A1032" t="inlineStr">
        <is>
          <t>No</t>
        </is>
      </c>
      <c r="B1032" t="inlineStr">
        <is>
          <t>QH491 .T74</t>
        </is>
      </c>
      <c r="C1032" t="inlineStr">
        <is>
          <t>0                      QH 0491000T  74</t>
        </is>
      </c>
      <c r="D1032" t="inlineStr">
        <is>
          <t>Cells into organs : the forces that shape the embryo / [by] J. P. Trinkaus.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Trinkaus, John Philip, 1918-</t>
        </is>
      </c>
      <c r="L1032" t="inlineStr">
        <is>
          <t>Englewood Cliffs, N.J. : Prentice-Hall, [1969]</t>
        </is>
      </c>
      <c r="M1032" t="inlineStr">
        <is>
          <t>1969</t>
        </is>
      </c>
      <c r="O1032" t="inlineStr">
        <is>
          <t>eng</t>
        </is>
      </c>
      <c r="P1032" t="inlineStr">
        <is>
          <t>nju</t>
        </is>
      </c>
      <c r="Q1032" t="inlineStr">
        <is>
          <t>Prentice-Hall foundations of developmental biology series</t>
        </is>
      </c>
      <c r="R1032" t="inlineStr">
        <is>
          <t xml:space="preserve">QH </t>
        </is>
      </c>
      <c r="S1032" t="n">
        <v>6</v>
      </c>
      <c r="T1032" t="n">
        <v>6</v>
      </c>
      <c r="U1032" t="inlineStr">
        <is>
          <t>1999-04-19</t>
        </is>
      </c>
      <c r="V1032" t="inlineStr">
        <is>
          <t>1999-04-19</t>
        </is>
      </c>
      <c r="W1032" t="inlineStr">
        <is>
          <t>1994-11-08</t>
        </is>
      </c>
      <c r="X1032" t="inlineStr">
        <is>
          <t>1994-11-08</t>
        </is>
      </c>
      <c r="Y1032" t="n">
        <v>745</v>
      </c>
      <c r="Z1032" t="n">
        <v>627</v>
      </c>
      <c r="AA1032" t="n">
        <v>785</v>
      </c>
      <c r="AB1032" t="n">
        <v>8</v>
      </c>
      <c r="AC1032" t="n">
        <v>8</v>
      </c>
      <c r="AD1032" t="n">
        <v>22</v>
      </c>
      <c r="AE1032" t="n">
        <v>31</v>
      </c>
      <c r="AF1032" t="n">
        <v>7</v>
      </c>
      <c r="AG1032" t="n">
        <v>9</v>
      </c>
      <c r="AH1032" t="n">
        <v>3</v>
      </c>
      <c r="AI1032" t="n">
        <v>7</v>
      </c>
      <c r="AJ1032" t="n">
        <v>11</v>
      </c>
      <c r="AK1032" t="n">
        <v>16</v>
      </c>
      <c r="AL1032" t="n">
        <v>7</v>
      </c>
      <c r="AM1032" t="n">
        <v>7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HYPERLINK("http://catalog.hathitrust.org/Record/001492511","HathiTrust Record")</f>
        <v/>
      </c>
      <c r="AS1032">
        <f>HYPERLINK("https://creighton-primo.hosted.exlibrisgroup.com/primo-explore/search?tab=default_tab&amp;search_scope=EVERYTHING&amp;vid=01CRU&amp;lang=en_US&amp;offset=0&amp;query=any,contains,991000087969702656","Catalog Record")</f>
        <v/>
      </c>
      <c r="AT1032">
        <f>HYPERLINK("http://www.worldcat.org/oclc/34412","WorldCat Record")</f>
        <v/>
      </c>
      <c r="AU1032" t="inlineStr">
        <is>
          <t>796144384:eng</t>
        </is>
      </c>
      <c r="AV1032" t="inlineStr">
        <is>
          <t>34412</t>
        </is>
      </c>
      <c r="AW1032" t="inlineStr">
        <is>
          <t>991000087969702656</t>
        </is>
      </c>
      <c r="AX1032" t="inlineStr">
        <is>
          <t>991000087969702656</t>
        </is>
      </c>
      <c r="AY1032" t="inlineStr">
        <is>
          <t>2259750620002656</t>
        </is>
      </c>
      <c r="AZ1032" t="inlineStr">
        <is>
          <t>BOOK</t>
        </is>
      </c>
      <c r="BB1032" t="inlineStr">
        <is>
          <t>9780131216570</t>
        </is>
      </c>
      <c r="BC1032" t="inlineStr">
        <is>
          <t>32285001964906</t>
        </is>
      </c>
      <c r="BD1032" t="inlineStr">
        <is>
          <t>893601441</t>
        </is>
      </c>
    </row>
    <row r="1033">
      <c r="A1033" t="inlineStr">
        <is>
          <t>No</t>
        </is>
      </c>
      <c r="B1033" t="inlineStr">
        <is>
          <t>QH491 .T95 1994</t>
        </is>
      </c>
      <c r="C1033" t="inlineStr">
        <is>
          <t>0                      QH 0491000T  95          1994</t>
        </is>
      </c>
      <c r="D1033" t="inlineStr">
        <is>
          <t>Developmental biology : a guide for experimental study / Mary S. Tyler.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Tyler, Mary S., 1949-</t>
        </is>
      </c>
      <c r="L1033" t="inlineStr">
        <is>
          <t>Sunderland, Mass. : Sinauer Associates, c1994.</t>
        </is>
      </c>
      <c r="M1033" t="inlineStr">
        <is>
          <t>1994</t>
        </is>
      </c>
      <c r="O1033" t="inlineStr">
        <is>
          <t>eng</t>
        </is>
      </c>
      <c r="P1033" t="inlineStr">
        <is>
          <t>mau</t>
        </is>
      </c>
      <c r="R1033" t="inlineStr">
        <is>
          <t xml:space="preserve">QH </t>
        </is>
      </c>
      <c r="S1033" t="n">
        <v>3</v>
      </c>
      <c r="T1033" t="n">
        <v>3</v>
      </c>
      <c r="U1033" t="inlineStr">
        <is>
          <t>2004-01-22</t>
        </is>
      </c>
      <c r="V1033" t="inlineStr">
        <is>
          <t>2004-01-22</t>
        </is>
      </c>
      <c r="W1033" t="inlineStr">
        <is>
          <t>1994-12-15</t>
        </is>
      </c>
      <c r="X1033" t="inlineStr">
        <is>
          <t>1994-12-15</t>
        </is>
      </c>
      <c r="Y1033" t="n">
        <v>129</v>
      </c>
      <c r="Z1033" t="n">
        <v>76</v>
      </c>
      <c r="AA1033" t="n">
        <v>111</v>
      </c>
      <c r="AB1033" t="n">
        <v>2</v>
      </c>
      <c r="AC1033" t="n">
        <v>2</v>
      </c>
      <c r="AD1033" t="n">
        <v>2</v>
      </c>
      <c r="AE1033" t="n">
        <v>2</v>
      </c>
      <c r="AF1033" t="n">
        <v>1</v>
      </c>
      <c r="AG1033" t="n">
        <v>1</v>
      </c>
      <c r="AH1033" t="n">
        <v>0</v>
      </c>
      <c r="AI1033" t="n">
        <v>0</v>
      </c>
      <c r="AJ1033" t="n">
        <v>1</v>
      </c>
      <c r="AK1033" t="n">
        <v>1</v>
      </c>
      <c r="AL1033" t="n">
        <v>1</v>
      </c>
      <c r="AM1033" t="n">
        <v>1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HYPERLINK("http://catalog.hathitrust.org/Record/101955484","HathiTrust Record")</f>
        <v/>
      </c>
      <c r="AS1033">
        <f>HYPERLINK("https://creighton-primo.hosted.exlibrisgroup.com/primo-explore/search?tab=default_tab&amp;search_scope=EVERYTHING&amp;vid=01CRU&amp;lang=en_US&amp;offset=0&amp;query=any,contains,991002288439702656","Catalog Record")</f>
        <v/>
      </c>
      <c r="AT1033">
        <f>HYPERLINK("http://www.worldcat.org/oclc/29668525","WorldCat Record")</f>
        <v/>
      </c>
      <c r="AU1033" t="inlineStr">
        <is>
          <t>3944078008:eng</t>
        </is>
      </c>
      <c r="AV1033" t="inlineStr">
        <is>
          <t>29668525</t>
        </is>
      </c>
      <c r="AW1033" t="inlineStr">
        <is>
          <t>991002288439702656</t>
        </is>
      </c>
      <c r="AX1033" t="inlineStr">
        <is>
          <t>991002288439702656</t>
        </is>
      </c>
      <c r="AY1033" t="inlineStr">
        <is>
          <t>2271050900002656</t>
        </is>
      </c>
      <c r="AZ1033" t="inlineStr">
        <is>
          <t>BOOK</t>
        </is>
      </c>
      <c r="BB1033" t="inlineStr">
        <is>
          <t>9780878938346</t>
        </is>
      </c>
      <c r="BC1033" t="inlineStr">
        <is>
          <t>32285001977742</t>
        </is>
      </c>
      <c r="BD1033" t="inlineStr">
        <is>
          <t>893804430</t>
        </is>
      </c>
    </row>
    <row r="1034">
      <c r="A1034" t="inlineStr">
        <is>
          <t>No</t>
        </is>
      </c>
      <c r="B1034" t="inlineStr">
        <is>
          <t>QH491 .W55 2002</t>
        </is>
      </c>
      <c r="C1034" t="inlineStr">
        <is>
          <t>0                      QH 0491000W  55          2002</t>
        </is>
      </c>
      <c r="D1034" t="inlineStr">
        <is>
          <t>The evolution of developmental pathways / Adam S. Wilkins.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Wilkins, A. S. (Adam S.), 1945-</t>
        </is>
      </c>
      <c r="L1034" t="inlineStr">
        <is>
          <t>Sunderland, Mass. : Sinauer Associates, c2002.</t>
        </is>
      </c>
      <c r="M1034" t="inlineStr">
        <is>
          <t>2002</t>
        </is>
      </c>
      <c r="O1034" t="inlineStr">
        <is>
          <t>eng</t>
        </is>
      </c>
      <c r="P1034" t="inlineStr">
        <is>
          <t>mau</t>
        </is>
      </c>
      <c r="R1034" t="inlineStr">
        <is>
          <t xml:space="preserve">QH </t>
        </is>
      </c>
      <c r="S1034" t="n">
        <v>2</v>
      </c>
      <c r="T1034" t="n">
        <v>2</v>
      </c>
      <c r="U1034" t="inlineStr">
        <is>
          <t>2002-12-10</t>
        </is>
      </c>
      <c r="V1034" t="inlineStr">
        <is>
          <t>2002-12-10</t>
        </is>
      </c>
      <c r="W1034" t="inlineStr">
        <is>
          <t>2002-12-10</t>
        </is>
      </c>
      <c r="X1034" t="inlineStr">
        <is>
          <t>2002-12-10</t>
        </is>
      </c>
      <c r="Y1034" t="n">
        <v>427</v>
      </c>
      <c r="Z1034" t="n">
        <v>311</v>
      </c>
      <c r="AA1034" t="n">
        <v>316</v>
      </c>
      <c r="AB1034" t="n">
        <v>4</v>
      </c>
      <c r="AC1034" t="n">
        <v>4</v>
      </c>
      <c r="AD1034" t="n">
        <v>17</v>
      </c>
      <c r="AE1034" t="n">
        <v>17</v>
      </c>
      <c r="AF1034" t="n">
        <v>7</v>
      </c>
      <c r="AG1034" t="n">
        <v>7</v>
      </c>
      <c r="AH1034" t="n">
        <v>3</v>
      </c>
      <c r="AI1034" t="n">
        <v>3</v>
      </c>
      <c r="AJ1034" t="n">
        <v>7</v>
      </c>
      <c r="AK1034" t="n">
        <v>7</v>
      </c>
      <c r="AL1034" t="n">
        <v>3</v>
      </c>
      <c r="AM1034" t="n">
        <v>3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HYPERLINK("https://creighton-primo.hosted.exlibrisgroup.com/primo-explore/search?tab=default_tab&amp;search_scope=EVERYTHING&amp;vid=01CRU&amp;lang=en_US&amp;offset=0&amp;query=any,contains,991003923199702656","Catalog Record")</f>
        <v/>
      </c>
      <c r="AT1034">
        <f>HYPERLINK("http://www.worldcat.org/oclc/48170763","WorldCat Record")</f>
        <v/>
      </c>
      <c r="AU1034" t="inlineStr">
        <is>
          <t>1091344:eng</t>
        </is>
      </c>
      <c r="AV1034" t="inlineStr">
        <is>
          <t>48170763</t>
        </is>
      </c>
      <c r="AW1034" t="inlineStr">
        <is>
          <t>991003923199702656</t>
        </is>
      </c>
      <c r="AX1034" t="inlineStr">
        <is>
          <t>991003923199702656</t>
        </is>
      </c>
      <c r="AY1034" t="inlineStr">
        <is>
          <t>2261509460002656</t>
        </is>
      </c>
      <c r="AZ1034" t="inlineStr">
        <is>
          <t>BOOK</t>
        </is>
      </c>
      <c r="BB1034" t="inlineStr">
        <is>
          <t>9780878939169</t>
        </is>
      </c>
      <c r="BC1034" t="inlineStr">
        <is>
          <t>32285004669999</t>
        </is>
      </c>
      <c r="BD1034" t="inlineStr">
        <is>
          <t>893512570</t>
        </is>
      </c>
    </row>
    <row r="1035">
      <c r="A1035" t="inlineStr">
        <is>
          <t>No</t>
        </is>
      </c>
      <c r="B1035" t="inlineStr">
        <is>
          <t>QH499 .H57 1991</t>
        </is>
      </c>
      <c r="C1035" t="inlineStr">
        <is>
          <t>0                      QH 0499000H  57          1991</t>
        </is>
      </c>
      <c r="D1035" t="inlineStr">
        <is>
          <t>A History of regeneration research : milestones in the evolution of a science / edited by Charles E. Dinsmore.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Cambridge [England] ; New York : Cambridge University Press, 1991.</t>
        </is>
      </c>
      <c r="M1035" t="inlineStr">
        <is>
          <t>1991</t>
        </is>
      </c>
      <c r="N1035" t="inlineStr">
        <is>
          <t>1st ed.</t>
        </is>
      </c>
      <c r="O1035" t="inlineStr">
        <is>
          <t>eng</t>
        </is>
      </c>
      <c r="P1035" t="inlineStr">
        <is>
          <t>enk</t>
        </is>
      </c>
      <c r="R1035" t="inlineStr">
        <is>
          <t xml:space="preserve">QH </t>
        </is>
      </c>
      <c r="S1035" t="n">
        <v>11</v>
      </c>
      <c r="T1035" t="n">
        <v>11</v>
      </c>
      <c r="U1035" t="inlineStr">
        <is>
          <t>1998-04-26</t>
        </is>
      </c>
      <c r="V1035" t="inlineStr">
        <is>
          <t>1998-04-26</t>
        </is>
      </c>
      <c r="W1035" t="inlineStr">
        <is>
          <t>1992-10-08</t>
        </is>
      </c>
      <c r="X1035" t="inlineStr">
        <is>
          <t>1992-10-08</t>
        </is>
      </c>
      <c r="Y1035" t="n">
        <v>265</v>
      </c>
      <c r="Z1035" t="n">
        <v>206</v>
      </c>
      <c r="AA1035" t="n">
        <v>208</v>
      </c>
      <c r="AB1035" t="n">
        <v>2</v>
      </c>
      <c r="AC1035" t="n">
        <v>2</v>
      </c>
      <c r="AD1035" t="n">
        <v>6</v>
      </c>
      <c r="AE1035" t="n">
        <v>6</v>
      </c>
      <c r="AF1035" t="n">
        <v>1</v>
      </c>
      <c r="AG1035" t="n">
        <v>1</v>
      </c>
      <c r="AH1035" t="n">
        <v>1</v>
      </c>
      <c r="AI1035" t="n">
        <v>1</v>
      </c>
      <c r="AJ1035" t="n">
        <v>3</v>
      </c>
      <c r="AK1035" t="n">
        <v>3</v>
      </c>
      <c r="AL1035" t="n">
        <v>1</v>
      </c>
      <c r="AM1035" t="n">
        <v>1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HYPERLINK("https://creighton-primo.hosted.exlibrisgroup.com/primo-explore/search?tab=default_tab&amp;search_scope=EVERYTHING&amp;vid=01CRU&amp;lang=en_US&amp;offset=0&amp;query=any,contains,991001821199702656","Catalog Record")</f>
        <v/>
      </c>
      <c r="AT1035">
        <f>HYPERLINK("http://www.worldcat.org/oclc/22890868","WorldCat Record")</f>
        <v/>
      </c>
      <c r="AU1035" t="inlineStr">
        <is>
          <t>795605380:eng</t>
        </is>
      </c>
      <c r="AV1035" t="inlineStr">
        <is>
          <t>22890868</t>
        </is>
      </c>
      <c r="AW1035" t="inlineStr">
        <is>
          <t>991001821199702656</t>
        </is>
      </c>
      <c r="AX1035" t="inlineStr">
        <is>
          <t>991001821199702656</t>
        </is>
      </c>
      <c r="AY1035" t="inlineStr">
        <is>
          <t>2257644120002656</t>
        </is>
      </c>
      <c r="AZ1035" t="inlineStr">
        <is>
          <t>BOOK</t>
        </is>
      </c>
      <c r="BB1035" t="inlineStr">
        <is>
          <t>9780521392716</t>
        </is>
      </c>
      <c r="BC1035" t="inlineStr">
        <is>
          <t>32285001316271</t>
        </is>
      </c>
      <c r="BD1035" t="inlineStr">
        <is>
          <t>893250532</t>
        </is>
      </c>
    </row>
    <row r="1036">
      <c r="A1036" t="inlineStr">
        <is>
          <t>No</t>
        </is>
      </c>
      <c r="B1036" t="inlineStr">
        <is>
          <t>QH499 .M37</t>
        </is>
      </c>
      <c r="C1036" t="inlineStr">
        <is>
          <t>0                      QH 0499000M  37</t>
        </is>
      </c>
      <c r="D1036" t="inlineStr">
        <is>
          <t>Regeneration / Priscilla Mattson.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Mattson, Priscilla.</t>
        </is>
      </c>
      <c r="L1036" t="inlineStr">
        <is>
          <t>Indianapolis : Bobbs-Merrill, c1976.</t>
        </is>
      </c>
      <c r="M1036" t="inlineStr">
        <is>
          <t>1976</t>
        </is>
      </c>
      <c r="N1036" t="inlineStr">
        <is>
          <t>1st ed.</t>
        </is>
      </c>
      <c r="O1036" t="inlineStr">
        <is>
          <t>eng</t>
        </is>
      </c>
      <c r="P1036" t="inlineStr">
        <is>
          <t>inu</t>
        </is>
      </c>
      <c r="R1036" t="inlineStr">
        <is>
          <t xml:space="preserve">QH </t>
        </is>
      </c>
      <c r="S1036" t="n">
        <v>2</v>
      </c>
      <c r="T1036" t="n">
        <v>2</v>
      </c>
      <c r="U1036" t="inlineStr">
        <is>
          <t>2002-02-24</t>
        </is>
      </c>
      <c r="V1036" t="inlineStr">
        <is>
          <t>2002-02-24</t>
        </is>
      </c>
      <c r="W1036" t="inlineStr">
        <is>
          <t>1997-07-02</t>
        </is>
      </c>
      <c r="X1036" t="inlineStr">
        <is>
          <t>1997-07-02</t>
        </is>
      </c>
      <c r="Y1036" t="n">
        <v>143</v>
      </c>
      <c r="Z1036" t="n">
        <v>125</v>
      </c>
      <c r="AA1036" t="n">
        <v>127</v>
      </c>
      <c r="AB1036" t="n">
        <v>2</v>
      </c>
      <c r="AC1036" t="n">
        <v>2</v>
      </c>
      <c r="AD1036" t="n">
        <v>3</v>
      </c>
      <c r="AE1036" t="n">
        <v>3</v>
      </c>
      <c r="AF1036" t="n">
        <v>0</v>
      </c>
      <c r="AG1036" t="n">
        <v>0</v>
      </c>
      <c r="AH1036" t="n">
        <v>0</v>
      </c>
      <c r="AI1036" t="n">
        <v>0</v>
      </c>
      <c r="AJ1036" t="n">
        <v>2</v>
      </c>
      <c r="AK1036" t="n">
        <v>2</v>
      </c>
      <c r="AL1036" t="n">
        <v>1</v>
      </c>
      <c r="AM1036" t="n">
        <v>1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HYPERLINK("http://catalog.hathitrust.org/Record/006243170","HathiTrust Record")</f>
        <v/>
      </c>
      <c r="AS1036">
        <f>HYPERLINK("https://creighton-primo.hosted.exlibrisgroup.com/primo-explore/search?tab=default_tab&amp;search_scope=EVERYTHING&amp;vid=01CRU&amp;lang=en_US&amp;offset=0&amp;query=any,contains,991003784739702656","Catalog Record")</f>
        <v/>
      </c>
      <c r="AT1036">
        <f>HYPERLINK("http://www.worldcat.org/oclc/1500199","WorldCat Record")</f>
        <v/>
      </c>
      <c r="AU1036" t="inlineStr">
        <is>
          <t>2289634:eng</t>
        </is>
      </c>
      <c r="AV1036" t="inlineStr">
        <is>
          <t>1500199</t>
        </is>
      </c>
      <c r="AW1036" t="inlineStr">
        <is>
          <t>991003784739702656</t>
        </is>
      </c>
      <c r="AX1036" t="inlineStr">
        <is>
          <t>991003784739702656</t>
        </is>
      </c>
      <c r="AY1036" t="inlineStr">
        <is>
          <t>2260351470002656</t>
        </is>
      </c>
      <c r="AZ1036" t="inlineStr">
        <is>
          <t>BOOK</t>
        </is>
      </c>
      <c r="BB1036" t="inlineStr">
        <is>
          <t>9780672636844</t>
        </is>
      </c>
      <c r="BC1036" t="inlineStr">
        <is>
          <t>32285002912219</t>
        </is>
      </c>
      <c r="BD1036" t="inlineStr">
        <is>
          <t>893800166</t>
        </is>
      </c>
    </row>
    <row r="1037">
      <c r="A1037" t="inlineStr">
        <is>
          <t>No</t>
        </is>
      </c>
      <c r="B1037" t="inlineStr">
        <is>
          <t>QH499 .O73 1984</t>
        </is>
      </c>
      <c r="C1037" t="inlineStr">
        <is>
          <t>0                      QH 0499000O  73          1984</t>
        </is>
      </c>
      <c r="D1037" t="inlineStr">
        <is>
          <t>Cell and tissue regeneration : a biochemical approach / Margery G. Ord, Lloyd A. Stocken.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Ord, Margery G.</t>
        </is>
      </c>
      <c r="L1037" t="inlineStr">
        <is>
          <t>New York : Wiley, c1984.</t>
        </is>
      </c>
      <c r="M1037" t="inlineStr">
        <is>
          <t>1984</t>
        </is>
      </c>
      <c r="O1037" t="inlineStr">
        <is>
          <t>eng</t>
        </is>
      </c>
      <c r="P1037" t="inlineStr">
        <is>
          <t>nyu</t>
        </is>
      </c>
      <c r="Q1037" t="inlineStr">
        <is>
          <t>Cell biology ; v. 2</t>
        </is>
      </c>
      <c r="R1037" t="inlineStr">
        <is>
          <t xml:space="preserve">QH </t>
        </is>
      </c>
      <c r="S1037" t="n">
        <v>14</v>
      </c>
      <c r="T1037" t="n">
        <v>14</v>
      </c>
      <c r="U1037" t="inlineStr">
        <is>
          <t>1999-04-19</t>
        </is>
      </c>
      <c r="V1037" t="inlineStr">
        <is>
          <t>1999-04-19</t>
        </is>
      </c>
      <c r="W1037" t="inlineStr">
        <is>
          <t>1993-04-26</t>
        </is>
      </c>
      <c r="X1037" t="inlineStr">
        <is>
          <t>1993-04-26</t>
        </is>
      </c>
      <c r="Y1037" t="n">
        <v>426</v>
      </c>
      <c r="Z1037" t="n">
        <v>365</v>
      </c>
      <c r="AA1037" t="n">
        <v>367</v>
      </c>
      <c r="AB1037" t="n">
        <v>1</v>
      </c>
      <c r="AC1037" t="n">
        <v>1</v>
      </c>
      <c r="AD1037" t="n">
        <v>16</v>
      </c>
      <c r="AE1037" t="n">
        <v>16</v>
      </c>
      <c r="AF1037" t="n">
        <v>9</v>
      </c>
      <c r="AG1037" t="n">
        <v>9</v>
      </c>
      <c r="AH1037" t="n">
        <v>5</v>
      </c>
      <c r="AI1037" t="n">
        <v>5</v>
      </c>
      <c r="AJ1037" t="n">
        <v>8</v>
      </c>
      <c r="AK1037" t="n">
        <v>8</v>
      </c>
      <c r="AL1037" t="n">
        <v>0</v>
      </c>
      <c r="AM1037" t="n">
        <v>0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HYPERLINK("http://catalog.hathitrust.org/Record/000562743","HathiTrust Record")</f>
        <v/>
      </c>
      <c r="AS1037">
        <f>HYPERLINK("https://creighton-primo.hosted.exlibrisgroup.com/primo-explore/search?tab=default_tab&amp;search_scope=EVERYTHING&amp;vid=01CRU&amp;lang=en_US&amp;offset=0&amp;query=any,contains,991000374549702656","Catalog Record")</f>
        <v/>
      </c>
      <c r="AT1037">
        <f>HYPERLINK("http://www.worldcat.org/oclc/10457382","WorldCat Record")</f>
        <v/>
      </c>
      <c r="AU1037" t="inlineStr">
        <is>
          <t>292083945:eng</t>
        </is>
      </c>
      <c r="AV1037" t="inlineStr">
        <is>
          <t>10457382</t>
        </is>
      </c>
      <c r="AW1037" t="inlineStr">
        <is>
          <t>991000374549702656</t>
        </is>
      </c>
      <c r="AX1037" t="inlineStr">
        <is>
          <t>991000374549702656</t>
        </is>
      </c>
      <c r="AY1037" t="inlineStr">
        <is>
          <t>2262950580002656</t>
        </is>
      </c>
      <c r="AZ1037" t="inlineStr">
        <is>
          <t>BOOK</t>
        </is>
      </c>
      <c r="BB1037" t="inlineStr">
        <is>
          <t>9780471862482</t>
        </is>
      </c>
      <c r="BC1037" t="inlineStr">
        <is>
          <t>32285001641033</t>
        </is>
      </c>
      <c r="BD1037" t="inlineStr">
        <is>
          <t>893419395</t>
        </is>
      </c>
    </row>
    <row r="1038">
      <c r="A1038" t="inlineStr">
        <is>
          <t>No</t>
        </is>
      </c>
      <c r="B1038" t="inlineStr">
        <is>
          <t>QH499 .P64</t>
        </is>
      </c>
      <c r="C1038" t="inlineStr">
        <is>
          <t>0                      QH 0499000P  64</t>
        </is>
      </c>
      <c r="D1038" t="inlineStr">
        <is>
          <t>Organ regeneration in animals; recovery of organ regeneration ability in animals, by L. V. Polezhaev.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Polezhaev, L. V. (Lev Vladimirovich), 1910-</t>
        </is>
      </c>
      <c r="L1038" t="inlineStr">
        <is>
          <t>Springfield, Ill., C. C. Thomas [1972]</t>
        </is>
      </c>
      <c r="M1038" t="inlineStr">
        <is>
          <t>1972</t>
        </is>
      </c>
      <c r="O1038" t="inlineStr">
        <is>
          <t>eng</t>
        </is>
      </c>
      <c r="P1038" t="inlineStr">
        <is>
          <t>ilu</t>
        </is>
      </c>
      <c r="Q1038" t="inlineStr">
        <is>
          <t>American lecture series, publication no. 821. A monograph in the Bannerstone division of American lectures in living chemistry</t>
        </is>
      </c>
      <c r="R1038" t="inlineStr">
        <is>
          <t xml:space="preserve">QH </t>
        </is>
      </c>
      <c r="S1038" t="n">
        <v>3</v>
      </c>
      <c r="T1038" t="n">
        <v>3</v>
      </c>
      <c r="U1038" t="inlineStr">
        <is>
          <t>1999-04-19</t>
        </is>
      </c>
      <c r="V1038" t="inlineStr">
        <is>
          <t>1999-04-19</t>
        </is>
      </c>
      <c r="W1038" t="inlineStr">
        <is>
          <t>1997-07-02</t>
        </is>
      </c>
      <c r="X1038" t="inlineStr">
        <is>
          <t>1997-07-02</t>
        </is>
      </c>
      <c r="Y1038" t="n">
        <v>221</v>
      </c>
      <c r="Z1038" t="n">
        <v>177</v>
      </c>
      <c r="AA1038" t="n">
        <v>179</v>
      </c>
      <c r="AB1038" t="n">
        <v>2</v>
      </c>
      <c r="AC1038" t="n">
        <v>2</v>
      </c>
      <c r="AD1038" t="n">
        <v>4</v>
      </c>
      <c r="AE1038" t="n">
        <v>4</v>
      </c>
      <c r="AF1038" t="n">
        <v>1</v>
      </c>
      <c r="AG1038" t="n">
        <v>1</v>
      </c>
      <c r="AH1038" t="n">
        <v>0</v>
      </c>
      <c r="AI1038" t="n">
        <v>0</v>
      </c>
      <c r="AJ1038" t="n">
        <v>2</v>
      </c>
      <c r="AK1038" t="n">
        <v>2</v>
      </c>
      <c r="AL1038" t="n">
        <v>1</v>
      </c>
      <c r="AM1038" t="n">
        <v>1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HYPERLINK("http://catalog.hathitrust.org/Record/000846045","HathiTrust Record")</f>
        <v/>
      </c>
      <c r="AS1038">
        <f>HYPERLINK("https://creighton-primo.hosted.exlibrisgroup.com/primo-explore/search?tab=default_tab&amp;search_scope=EVERYTHING&amp;vid=01CRU&amp;lang=en_US&amp;offset=0&amp;query=any,contains,991002900829702656","Catalog Record")</f>
        <v/>
      </c>
      <c r="AT1038">
        <f>HYPERLINK("http://www.worldcat.org/oclc/517128","WorldCat Record")</f>
        <v/>
      </c>
      <c r="AU1038" t="inlineStr">
        <is>
          <t>1503411:eng</t>
        </is>
      </c>
      <c r="AV1038" t="inlineStr">
        <is>
          <t>517128</t>
        </is>
      </c>
      <c r="AW1038" t="inlineStr">
        <is>
          <t>991002900829702656</t>
        </is>
      </c>
      <c r="AX1038" t="inlineStr">
        <is>
          <t>991002900829702656</t>
        </is>
      </c>
      <c r="AY1038" t="inlineStr">
        <is>
          <t>2254950860002656</t>
        </is>
      </c>
      <c r="AZ1038" t="inlineStr">
        <is>
          <t>BOOK</t>
        </is>
      </c>
      <c r="BB1038" t="inlineStr">
        <is>
          <t>9780398023812</t>
        </is>
      </c>
      <c r="BC1038" t="inlineStr">
        <is>
          <t>32285002912243</t>
        </is>
      </c>
      <c r="BD1038" t="inlineStr">
        <is>
          <t>893710823</t>
        </is>
      </c>
    </row>
    <row r="1039">
      <c r="A1039" t="inlineStr">
        <is>
          <t>No</t>
        </is>
      </c>
      <c r="B1039" t="inlineStr">
        <is>
          <t>QH499 .R37</t>
        </is>
      </c>
      <c r="C1039" t="inlineStr">
        <is>
          <t>0                      QH 0499000R  37</t>
        </is>
      </c>
      <c r="D1039" t="inlineStr">
        <is>
          <t>Regeneration in lower vertebrates and invertebrates. Papers by James E. Turner [and others]</t>
        </is>
      </c>
      <c r="F1039" t="inlineStr">
        <is>
          <t>Yes</t>
        </is>
      </c>
      <c r="G1039" t="inlineStr">
        <is>
          <t>1</t>
        </is>
      </c>
      <c r="H1039" t="inlineStr">
        <is>
          <t>Yes</t>
        </is>
      </c>
      <c r="I1039" t="inlineStr">
        <is>
          <t>No</t>
        </is>
      </c>
      <c r="J1039" t="inlineStr">
        <is>
          <t>0</t>
        </is>
      </c>
      <c r="L1039" t="inlineStr">
        <is>
          <t>New York, MSS Information Corp. [1972-73, v. 1, 1973]</t>
        </is>
      </c>
      <c r="M1039" t="inlineStr">
        <is>
          <t>1972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QH </t>
        </is>
      </c>
      <c r="S1039" t="n">
        <v>0</v>
      </c>
      <c r="T1039" t="n">
        <v>3</v>
      </c>
      <c r="V1039" t="inlineStr">
        <is>
          <t>1998-10-08</t>
        </is>
      </c>
      <c r="W1039" t="inlineStr">
        <is>
          <t>1997-07-02</t>
        </is>
      </c>
      <c r="X1039" t="inlineStr">
        <is>
          <t>1997-07-02</t>
        </is>
      </c>
      <c r="Y1039" t="n">
        <v>222</v>
      </c>
      <c r="Z1039" t="n">
        <v>197</v>
      </c>
      <c r="AA1039" t="n">
        <v>199</v>
      </c>
      <c r="AB1039" t="n">
        <v>3</v>
      </c>
      <c r="AC1039" t="n">
        <v>3</v>
      </c>
      <c r="AD1039" t="n">
        <v>7</v>
      </c>
      <c r="AE1039" t="n">
        <v>7</v>
      </c>
      <c r="AF1039" t="n">
        <v>3</v>
      </c>
      <c r="AG1039" t="n">
        <v>3</v>
      </c>
      <c r="AH1039" t="n">
        <v>0</v>
      </c>
      <c r="AI1039" t="n">
        <v>0</v>
      </c>
      <c r="AJ1039" t="n">
        <v>3</v>
      </c>
      <c r="AK1039" t="n">
        <v>3</v>
      </c>
      <c r="AL1039" t="n">
        <v>2</v>
      </c>
      <c r="AM1039" t="n">
        <v>2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HYPERLINK("http://catalog.hathitrust.org/Record/007156658","HathiTrust Record")</f>
        <v/>
      </c>
      <c r="AS1039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39">
        <f>HYPERLINK("http://www.worldcat.org/oclc/446261","WorldCat Record")</f>
        <v/>
      </c>
      <c r="AU1039" t="inlineStr">
        <is>
          <t>4820880727:eng</t>
        </is>
      </c>
      <c r="AV1039" t="inlineStr">
        <is>
          <t>446261</t>
        </is>
      </c>
      <c r="AW1039" t="inlineStr">
        <is>
          <t>991002799549702656</t>
        </is>
      </c>
      <c r="AX1039" t="inlineStr">
        <is>
          <t>991002799549702656</t>
        </is>
      </c>
      <c r="AY1039" t="inlineStr">
        <is>
          <t>2265709820002656</t>
        </is>
      </c>
      <c r="AZ1039" t="inlineStr">
        <is>
          <t>BOOK</t>
        </is>
      </c>
      <c r="BB1039" t="inlineStr">
        <is>
          <t>9780842270465</t>
        </is>
      </c>
      <c r="BC1039" t="inlineStr">
        <is>
          <t>32285002912268</t>
        </is>
      </c>
      <c r="BD1039" t="inlineStr">
        <is>
          <t>893329560</t>
        </is>
      </c>
    </row>
    <row r="1040">
      <c r="A1040" t="inlineStr">
        <is>
          <t>No</t>
        </is>
      </c>
      <c r="B1040" t="inlineStr">
        <is>
          <t>QH499 .R37 V3</t>
        </is>
      </c>
      <c r="C1040" t="inlineStr">
        <is>
          <t>0                      QH 0499000R  37                 V  3</t>
        </is>
      </c>
      <c r="D1040" t="inlineStr">
        <is>
          <t>Regeneration in lower vertebrates and invertebrates. Papers by James E. Turner [and others]</t>
        </is>
      </c>
      <c r="F1040" t="inlineStr">
        <is>
          <t>Yes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New York, MSS Information Corp. [1972-73, v. 1, 1973]</t>
        </is>
      </c>
      <c r="M1040" t="inlineStr">
        <is>
          <t>1972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QH </t>
        </is>
      </c>
      <c r="S1040" t="n">
        <v>3</v>
      </c>
      <c r="T1040" t="n">
        <v>3</v>
      </c>
      <c r="U1040" t="inlineStr">
        <is>
          <t>1998-10-08</t>
        </is>
      </c>
      <c r="V1040" t="inlineStr">
        <is>
          <t>1998-10-08</t>
        </is>
      </c>
      <c r="W1040" t="inlineStr">
        <is>
          <t>1997-07-02</t>
        </is>
      </c>
      <c r="X1040" t="inlineStr">
        <is>
          <t>1997-07-02</t>
        </is>
      </c>
      <c r="Y1040" t="n">
        <v>222</v>
      </c>
      <c r="Z1040" t="n">
        <v>197</v>
      </c>
      <c r="AA1040" t="n">
        <v>199</v>
      </c>
      <c r="AB1040" t="n">
        <v>3</v>
      </c>
      <c r="AC1040" t="n">
        <v>3</v>
      </c>
      <c r="AD1040" t="n">
        <v>7</v>
      </c>
      <c r="AE1040" t="n">
        <v>7</v>
      </c>
      <c r="AF1040" t="n">
        <v>3</v>
      </c>
      <c r="AG1040" t="n">
        <v>3</v>
      </c>
      <c r="AH1040" t="n">
        <v>0</v>
      </c>
      <c r="AI1040" t="n">
        <v>0</v>
      </c>
      <c r="AJ1040" t="n">
        <v>3</v>
      </c>
      <c r="AK1040" t="n">
        <v>3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HYPERLINK("http://catalog.hathitrust.org/Record/007156658","HathiTrust Record")</f>
        <v/>
      </c>
      <c r="AS1040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40">
        <f>HYPERLINK("http://www.worldcat.org/oclc/446261","WorldCat Record")</f>
        <v/>
      </c>
      <c r="AU1040" t="inlineStr">
        <is>
          <t>4820880727:eng</t>
        </is>
      </c>
      <c r="AV1040" t="inlineStr">
        <is>
          <t>446261</t>
        </is>
      </c>
      <c r="AW1040" t="inlineStr">
        <is>
          <t>991002799549702656</t>
        </is>
      </c>
      <c r="AX1040" t="inlineStr">
        <is>
          <t>991002799549702656</t>
        </is>
      </c>
      <c r="AY1040" t="inlineStr">
        <is>
          <t>2265709820002656</t>
        </is>
      </c>
      <c r="AZ1040" t="inlineStr">
        <is>
          <t>BOOK</t>
        </is>
      </c>
      <c r="BB1040" t="inlineStr">
        <is>
          <t>9780842270465</t>
        </is>
      </c>
      <c r="BC1040" t="inlineStr">
        <is>
          <t>32285002912276</t>
        </is>
      </c>
      <c r="BD1040" t="inlineStr">
        <is>
          <t>893335724</t>
        </is>
      </c>
    </row>
    <row r="1041">
      <c r="A1041" t="inlineStr">
        <is>
          <t>No</t>
        </is>
      </c>
      <c r="B1041" t="inlineStr">
        <is>
          <t>QH501 .A54 1995</t>
        </is>
      </c>
      <c r="C1041" t="inlineStr">
        <is>
          <t>0                      QH 0501000A  54          1995</t>
        </is>
      </c>
      <c r="D1041" t="inlineStr">
        <is>
          <t>The beauty of the beastly : new views on the nature of life / Natalie Angier.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Angier, Natalie.</t>
        </is>
      </c>
      <c r="L1041" t="inlineStr">
        <is>
          <t>Boston : Houghton Mifflin, 1995.</t>
        </is>
      </c>
      <c r="M1041" t="inlineStr">
        <is>
          <t>1995</t>
        </is>
      </c>
      <c r="O1041" t="inlineStr">
        <is>
          <t>eng</t>
        </is>
      </c>
      <c r="P1041" t="inlineStr">
        <is>
          <t>mau</t>
        </is>
      </c>
      <c r="R1041" t="inlineStr">
        <is>
          <t xml:space="preserve">QH </t>
        </is>
      </c>
      <c r="S1041" t="n">
        <v>1</v>
      </c>
      <c r="T1041" t="n">
        <v>1</v>
      </c>
      <c r="U1041" t="inlineStr">
        <is>
          <t>1996-03-27</t>
        </is>
      </c>
      <c r="V1041" t="inlineStr">
        <is>
          <t>1996-03-27</t>
        </is>
      </c>
      <c r="W1041" t="inlineStr">
        <is>
          <t>1996-03-01</t>
        </is>
      </c>
      <c r="X1041" t="inlineStr">
        <is>
          <t>1996-03-01</t>
        </is>
      </c>
      <c r="Y1041" t="n">
        <v>967</v>
      </c>
      <c r="Z1041" t="n">
        <v>915</v>
      </c>
      <c r="AA1041" t="n">
        <v>928</v>
      </c>
      <c r="AB1041" t="n">
        <v>6</v>
      </c>
      <c r="AC1041" t="n">
        <v>6</v>
      </c>
      <c r="AD1041" t="n">
        <v>29</v>
      </c>
      <c r="AE1041" t="n">
        <v>29</v>
      </c>
      <c r="AF1041" t="n">
        <v>9</v>
      </c>
      <c r="AG1041" t="n">
        <v>9</v>
      </c>
      <c r="AH1041" t="n">
        <v>7</v>
      </c>
      <c r="AI1041" t="n">
        <v>7</v>
      </c>
      <c r="AJ1041" t="n">
        <v>16</v>
      </c>
      <c r="AK1041" t="n">
        <v>16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HYPERLINK("http://catalog.hathitrust.org/Record/002979158","HathiTrust Record")</f>
        <v/>
      </c>
      <c r="AS1041">
        <f>HYPERLINK("https://creighton-primo.hosted.exlibrisgroup.com/primo-explore/search?tab=default_tab&amp;search_scope=EVERYTHING&amp;vid=01CRU&amp;lang=en_US&amp;offset=0&amp;query=any,contains,991002442509702656","Catalog Record")</f>
        <v/>
      </c>
      <c r="AT1041">
        <f>HYPERLINK("http://www.worldcat.org/oclc/31865476","WorldCat Record")</f>
        <v/>
      </c>
      <c r="AU1041" t="inlineStr">
        <is>
          <t>20545706:eng</t>
        </is>
      </c>
      <c r="AV1041" t="inlineStr">
        <is>
          <t>31865476</t>
        </is>
      </c>
      <c r="AW1041" t="inlineStr">
        <is>
          <t>991002442509702656</t>
        </is>
      </c>
      <c r="AX1041" t="inlineStr">
        <is>
          <t>991002442509702656</t>
        </is>
      </c>
      <c r="AY1041" t="inlineStr">
        <is>
          <t>2259298840002656</t>
        </is>
      </c>
      <c r="AZ1041" t="inlineStr">
        <is>
          <t>BOOK</t>
        </is>
      </c>
      <c r="BB1041" t="inlineStr">
        <is>
          <t>9780395718162</t>
        </is>
      </c>
      <c r="BC1041" t="inlineStr">
        <is>
          <t>32285002139292</t>
        </is>
      </c>
      <c r="BD1041" t="inlineStr">
        <is>
          <t>893898759</t>
        </is>
      </c>
    </row>
    <row r="1042">
      <c r="A1042" t="inlineStr">
        <is>
          <t>No</t>
        </is>
      </c>
      <c r="B1042" t="inlineStr">
        <is>
          <t>QH501 .C36</t>
        </is>
      </c>
      <c r="C1042" t="inlineStr">
        <is>
          <t>0                      QH 0501000C  36</t>
        </is>
      </c>
      <c r="D1042" t="inlineStr">
        <is>
          <t>Life cycles : an evolutionary approach to the physiology of reproduction, development, and ageing / Peter Calow.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Calow, Peter.</t>
        </is>
      </c>
      <c r="L1042" t="inlineStr">
        <is>
          <t>London : Chapman and Hall ; New York : distributed in the U.S.A. by Halsted Press, 1978.</t>
        </is>
      </c>
      <c r="M1042" t="inlineStr">
        <is>
          <t>1978</t>
        </is>
      </c>
      <c r="O1042" t="inlineStr">
        <is>
          <t>eng</t>
        </is>
      </c>
      <c r="P1042" t="inlineStr">
        <is>
          <t>enk</t>
        </is>
      </c>
      <c r="R1042" t="inlineStr">
        <is>
          <t xml:space="preserve">QH </t>
        </is>
      </c>
      <c r="S1042" t="n">
        <v>4</v>
      </c>
      <c r="T1042" t="n">
        <v>4</v>
      </c>
      <c r="U1042" t="inlineStr">
        <is>
          <t>1994-10-02</t>
        </is>
      </c>
      <c r="V1042" t="inlineStr">
        <is>
          <t>1994-10-02</t>
        </is>
      </c>
      <c r="W1042" t="inlineStr">
        <is>
          <t>1993-04-26</t>
        </is>
      </c>
      <c r="X1042" t="inlineStr">
        <is>
          <t>1993-04-26</t>
        </is>
      </c>
      <c r="Y1042" t="n">
        <v>366</v>
      </c>
      <c r="Z1042" t="n">
        <v>232</v>
      </c>
      <c r="AA1042" t="n">
        <v>246</v>
      </c>
      <c r="AB1042" t="n">
        <v>3</v>
      </c>
      <c r="AC1042" t="n">
        <v>3</v>
      </c>
      <c r="AD1042" t="n">
        <v>8</v>
      </c>
      <c r="AE1042" t="n">
        <v>9</v>
      </c>
      <c r="AF1042" t="n">
        <v>2</v>
      </c>
      <c r="AG1042" t="n">
        <v>3</v>
      </c>
      <c r="AH1042" t="n">
        <v>1</v>
      </c>
      <c r="AI1042" t="n">
        <v>1</v>
      </c>
      <c r="AJ1042" t="n">
        <v>5</v>
      </c>
      <c r="AK1042" t="n">
        <v>6</v>
      </c>
      <c r="AL1042" t="n">
        <v>2</v>
      </c>
      <c r="AM1042" t="n">
        <v>2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HYPERLINK("http://catalog.hathitrust.org/Record/000178483","HathiTrust Record")</f>
        <v/>
      </c>
      <c r="AS1042">
        <f>HYPERLINK("https://creighton-primo.hosted.exlibrisgroup.com/primo-explore/search?tab=default_tab&amp;search_scope=EVERYTHING&amp;vid=01CRU&amp;lang=en_US&amp;offset=0&amp;query=any,contains,991004580399702656","Catalog Record")</f>
        <v/>
      </c>
      <c r="AT1042">
        <f>HYPERLINK("http://www.worldcat.org/oclc/4056753","WorldCat Record")</f>
        <v/>
      </c>
      <c r="AU1042" t="inlineStr">
        <is>
          <t>63077974:eng</t>
        </is>
      </c>
      <c r="AV1042" t="inlineStr">
        <is>
          <t>4056753</t>
        </is>
      </c>
      <c r="AW1042" t="inlineStr">
        <is>
          <t>991004580399702656</t>
        </is>
      </c>
      <c r="AX1042" t="inlineStr">
        <is>
          <t>991004580399702656</t>
        </is>
      </c>
      <c r="AY1042" t="inlineStr">
        <is>
          <t>2271970830002656</t>
        </is>
      </c>
      <c r="AZ1042" t="inlineStr">
        <is>
          <t>BOOK</t>
        </is>
      </c>
      <c r="BB1042" t="inlineStr">
        <is>
          <t>9780470264744</t>
        </is>
      </c>
      <c r="BC1042" t="inlineStr">
        <is>
          <t>32285001641041</t>
        </is>
      </c>
      <c r="BD1042" t="inlineStr">
        <is>
          <t>893618833</t>
        </is>
      </c>
    </row>
    <row r="1043">
      <c r="A1043" t="inlineStr">
        <is>
          <t>No</t>
        </is>
      </c>
      <c r="B1043" t="inlineStr">
        <is>
          <t>QH501 .C64 1978</t>
        </is>
      </c>
      <c r="C1043" t="inlineStr">
        <is>
          <t>0                      QH 0501000C  64          1978</t>
        </is>
      </c>
      <c r="D1043" t="inlineStr">
        <is>
          <t>Limits of life : proceedings of the Fourth College Park Colloquium on Chemical Evolution, University of Maryland, College Park, Maryland, U.S.A., October 18th to 20th, 1978 / edited by Cyril Ponnamperuma and Lynn Margulis.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College Park Colloquium on Chemical Evolution (4th : 1978)</t>
        </is>
      </c>
      <c r="L1043" t="inlineStr">
        <is>
          <t>Dordrecht, Holland ; Boston : D. Reidel Pub. Co. ; Hingham, MA : sold and distributed in the U.S.A. and Canada by Kluwer Boston, c1980.</t>
        </is>
      </c>
      <c r="M1043" t="inlineStr">
        <is>
          <t>1980</t>
        </is>
      </c>
      <c r="O1043" t="inlineStr">
        <is>
          <t>eng</t>
        </is>
      </c>
      <c r="P1043" t="inlineStr">
        <is>
          <t xml:space="preserve">ne </t>
        </is>
      </c>
      <c r="R1043" t="inlineStr">
        <is>
          <t xml:space="preserve">QH </t>
        </is>
      </c>
      <c r="S1043" t="n">
        <v>2</v>
      </c>
      <c r="T1043" t="n">
        <v>2</v>
      </c>
      <c r="U1043" t="inlineStr">
        <is>
          <t>1994-02-08</t>
        </is>
      </c>
      <c r="V1043" t="inlineStr">
        <is>
          <t>1994-02-08</t>
        </is>
      </c>
      <c r="W1043" t="inlineStr">
        <is>
          <t>1993-04-26</t>
        </is>
      </c>
      <c r="X1043" t="inlineStr">
        <is>
          <t>1993-04-26</t>
        </is>
      </c>
      <c r="Y1043" t="n">
        <v>136</v>
      </c>
      <c r="Z1043" t="n">
        <v>94</v>
      </c>
      <c r="AA1043" t="n">
        <v>118</v>
      </c>
      <c r="AB1043" t="n">
        <v>1</v>
      </c>
      <c r="AC1043" t="n">
        <v>1</v>
      </c>
      <c r="AD1043" t="n">
        <v>0</v>
      </c>
      <c r="AE1043" t="n">
        <v>0</v>
      </c>
      <c r="AF1043" t="n">
        <v>0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0</v>
      </c>
      <c r="AM1043" t="n">
        <v>0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HYPERLINK("http://catalog.hathitrust.org/Record/000230968","HathiTrust Record")</f>
        <v/>
      </c>
      <c r="AS1043">
        <f>HYPERLINK("https://creighton-primo.hosted.exlibrisgroup.com/primo-explore/search?tab=default_tab&amp;search_scope=EVERYTHING&amp;vid=01CRU&amp;lang=en_US&amp;offset=0&amp;query=any,contains,991005008449702656","Catalog Record")</f>
        <v/>
      </c>
      <c r="AT1043">
        <f>HYPERLINK("http://www.worldcat.org/oclc/6581507","WorldCat Record")</f>
        <v/>
      </c>
      <c r="AU1043" t="inlineStr">
        <is>
          <t>23132592:eng</t>
        </is>
      </c>
      <c r="AV1043" t="inlineStr">
        <is>
          <t>6581507</t>
        </is>
      </c>
      <c r="AW1043" t="inlineStr">
        <is>
          <t>991005008449702656</t>
        </is>
      </c>
      <c r="AX1043" t="inlineStr">
        <is>
          <t>991005008449702656</t>
        </is>
      </c>
      <c r="AY1043" t="inlineStr">
        <is>
          <t>2258198820002656</t>
        </is>
      </c>
      <c r="AZ1043" t="inlineStr">
        <is>
          <t>BOOK</t>
        </is>
      </c>
      <c r="BB1043" t="inlineStr">
        <is>
          <t>9789027711557</t>
        </is>
      </c>
      <c r="BC1043" t="inlineStr">
        <is>
          <t>32285001641058</t>
        </is>
      </c>
      <c r="BD1043" t="inlineStr">
        <is>
          <t>893707113</t>
        </is>
      </c>
    </row>
    <row r="1044">
      <c r="A1044" t="inlineStr">
        <is>
          <t>No</t>
        </is>
      </c>
      <c r="B1044" t="inlineStr">
        <is>
          <t>QH501 .N63 1977</t>
        </is>
      </c>
      <c r="C1044" t="inlineStr">
        <is>
          <t>0                      QH 0501000N  63          1977</t>
        </is>
      </c>
      <c r="D1044" t="inlineStr">
        <is>
          <t>The nature of life / XIIIth Nobel Conference ; edited by William H. Heidcamp ; with contributions by René Dubos ... [et al.].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Nobel Conference (13th : 1977 : Gustavus Adolphus College)</t>
        </is>
      </c>
      <c r="L1044" t="inlineStr">
        <is>
          <t>Baltimore : University Park Press, c1978.</t>
        </is>
      </c>
      <c r="M1044" t="inlineStr">
        <is>
          <t>1978</t>
        </is>
      </c>
      <c r="O1044" t="inlineStr">
        <is>
          <t>eng</t>
        </is>
      </c>
      <c r="P1044" t="inlineStr">
        <is>
          <t>mdu</t>
        </is>
      </c>
      <c r="R1044" t="inlineStr">
        <is>
          <t xml:space="preserve">QH </t>
        </is>
      </c>
      <c r="S1044" t="n">
        <v>2</v>
      </c>
      <c r="T1044" t="n">
        <v>2</v>
      </c>
      <c r="U1044" t="inlineStr">
        <is>
          <t>1996-09-03</t>
        </is>
      </c>
      <c r="V1044" t="inlineStr">
        <is>
          <t>1996-09-03</t>
        </is>
      </c>
      <c r="W1044" t="inlineStr">
        <is>
          <t>1993-04-26</t>
        </is>
      </c>
      <c r="X1044" t="inlineStr">
        <is>
          <t>1993-04-26</t>
        </is>
      </c>
      <c r="Y1044" t="n">
        <v>446</v>
      </c>
      <c r="Z1044" t="n">
        <v>375</v>
      </c>
      <c r="AA1044" t="n">
        <v>377</v>
      </c>
      <c r="AB1044" t="n">
        <v>5</v>
      </c>
      <c r="AC1044" t="n">
        <v>5</v>
      </c>
      <c r="AD1044" t="n">
        <v>14</v>
      </c>
      <c r="AE1044" t="n">
        <v>14</v>
      </c>
      <c r="AF1044" t="n">
        <v>5</v>
      </c>
      <c r="AG1044" t="n">
        <v>5</v>
      </c>
      <c r="AH1044" t="n">
        <v>4</v>
      </c>
      <c r="AI1044" t="n">
        <v>4</v>
      </c>
      <c r="AJ1044" t="n">
        <v>4</v>
      </c>
      <c r="AK1044" t="n">
        <v>4</v>
      </c>
      <c r="AL1044" t="n">
        <v>4</v>
      </c>
      <c r="AM1044" t="n">
        <v>4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HYPERLINK("https://creighton-primo.hosted.exlibrisgroup.com/primo-explore/search?tab=default_tab&amp;search_scope=EVERYTHING&amp;vid=01CRU&amp;lang=en_US&amp;offset=0&amp;query=any,contains,991004545159702656","Catalog Record")</f>
        <v/>
      </c>
      <c r="AT1044">
        <f>HYPERLINK("http://www.worldcat.org/oclc/3913168","WorldCat Record")</f>
        <v/>
      </c>
      <c r="AU1044" t="inlineStr">
        <is>
          <t>3699987883:eng</t>
        </is>
      </c>
      <c r="AV1044" t="inlineStr">
        <is>
          <t>3913168</t>
        </is>
      </c>
      <c r="AW1044" t="inlineStr">
        <is>
          <t>991004545159702656</t>
        </is>
      </c>
      <c r="AX1044" t="inlineStr">
        <is>
          <t>991004545159702656</t>
        </is>
      </c>
      <c r="AY1044" t="inlineStr">
        <is>
          <t>2258282310002656</t>
        </is>
      </c>
      <c r="AZ1044" t="inlineStr">
        <is>
          <t>BOOK</t>
        </is>
      </c>
      <c r="BB1044" t="inlineStr">
        <is>
          <t>9780839112808</t>
        </is>
      </c>
      <c r="BC1044" t="inlineStr">
        <is>
          <t>32285001641066</t>
        </is>
      </c>
      <c r="BD1044" t="inlineStr">
        <is>
          <t>893687856</t>
        </is>
      </c>
    </row>
    <row r="1045">
      <c r="A1045" t="inlineStr">
        <is>
          <t>No</t>
        </is>
      </c>
      <c r="B1045" t="inlineStr">
        <is>
          <t>QH501 .R434 2008</t>
        </is>
      </c>
      <c r="C1045" t="inlineStr">
        <is>
          <t>0                      QH 0501000R  434         2008</t>
        </is>
      </c>
      <c r="D1045" t="inlineStr">
        <is>
          <t>What is life? : investigating the nature of life in the age of synthetic biology / Ed Regis.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Regis, Edward, 1944-</t>
        </is>
      </c>
      <c r="L1045" t="inlineStr">
        <is>
          <t>New York : Farrar, Straus, and Giroux, 2008.</t>
        </is>
      </c>
      <c r="M1045" t="inlineStr">
        <is>
          <t>2008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QH </t>
        </is>
      </c>
      <c r="S1045" t="n">
        <v>3</v>
      </c>
      <c r="T1045" t="n">
        <v>3</v>
      </c>
      <c r="U1045" t="inlineStr">
        <is>
          <t>2009-12-12</t>
        </is>
      </c>
      <c r="V1045" t="inlineStr">
        <is>
          <t>2009-12-12</t>
        </is>
      </c>
      <c r="W1045" t="inlineStr">
        <is>
          <t>2008-06-03</t>
        </is>
      </c>
      <c r="X1045" t="inlineStr">
        <is>
          <t>2008-06-03</t>
        </is>
      </c>
      <c r="Y1045" t="n">
        <v>821</v>
      </c>
      <c r="Z1045" t="n">
        <v>758</v>
      </c>
      <c r="AA1045" t="n">
        <v>817</v>
      </c>
      <c r="AB1045" t="n">
        <v>4</v>
      </c>
      <c r="AC1045" t="n">
        <v>5</v>
      </c>
      <c r="AD1045" t="n">
        <v>21</v>
      </c>
      <c r="AE1045" t="n">
        <v>24</v>
      </c>
      <c r="AF1045" t="n">
        <v>8</v>
      </c>
      <c r="AG1045" t="n">
        <v>8</v>
      </c>
      <c r="AH1045" t="n">
        <v>3</v>
      </c>
      <c r="AI1045" t="n">
        <v>3</v>
      </c>
      <c r="AJ1045" t="n">
        <v>12</v>
      </c>
      <c r="AK1045" t="n">
        <v>13</v>
      </c>
      <c r="AL1045" t="n">
        <v>3</v>
      </c>
      <c r="AM1045" t="n">
        <v>4</v>
      </c>
      <c r="AN1045" t="n">
        <v>0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HYPERLINK("https://creighton-primo.hosted.exlibrisgroup.com/primo-explore/search?tab=default_tab&amp;search_scope=EVERYTHING&amp;vid=01CRU&amp;lang=en_US&amp;offset=0&amp;query=any,contains,991005222689702656","Catalog Record")</f>
        <v/>
      </c>
      <c r="AT1045">
        <f>HYPERLINK("http://www.worldcat.org/oclc/166390155","WorldCat Record")</f>
        <v/>
      </c>
      <c r="AU1045" t="inlineStr">
        <is>
          <t>792932057:eng</t>
        </is>
      </c>
      <c r="AV1045" t="inlineStr">
        <is>
          <t>166390155</t>
        </is>
      </c>
      <c r="AW1045" t="inlineStr">
        <is>
          <t>991005222689702656</t>
        </is>
      </c>
      <c r="AX1045" t="inlineStr">
        <is>
          <t>991005222689702656</t>
        </is>
      </c>
      <c r="AY1045" t="inlineStr">
        <is>
          <t>2271251040002656</t>
        </is>
      </c>
      <c r="AZ1045" t="inlineStr">
        <is>
          <t>BOOK</t>
        </is>
      </c>
      <c r="BB1045" t="inlineStr">
        <is>
          <t>9780374288518</t>
        </is>
      </c>
      <c r="BC1045" t="inlineStr">
        <is>
          <t>32285005442115</t>
        </is>
      </c>
      <c r="BD1045" t="inlineStr">
        <is>
          <t>893889889</t>
        </is>
      </c>
    </row>
    <row r="1046">
      <c r="A1046" t="inlineStr">
        <is>
          <t>No</t>
        </is>
      </c>
      <c r="B1046" t="inlineStr">
        <is>
          <t>QH501 .S63 2000</t>
        </is>
      </c>
      <c r="C1046" t="inlineStr">
        <is>
          <t>0                      QH 0501000S  63          2000</t>
        </is>
      </c>
      <c r="D1046" t="inlineStr">
        <is>
          <t>Signs of life : how complexity pervades biology / Ricard Solé and Brian Goodwin.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Solé, Ricard V., 1962-</t>
        </is>
      </c>
      <c r="L1046" t="inlineStr">
        <is>
          <t>New York : Basic Books, c2000.</t>
        </is>
      </c>
      <c r="M1046" t="inlineStr">
        <is>
          <t>2000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QH </t>
        </is>
      </c>
      <c r="S1046" t="n">
        <v>2</v>
      </c>
      <c r="T1046" t="n">
        <v>2</v>
      </c>
      <c r="U1046" t="inlineStr">
        <is>
          <t>2001-04-19</t>
        </is>
      </c>
      <c r="V1046" t="inlineStr">
        <is>
          <t>2001-04-19</t>
        </is>
      </c>
      <c r="W1046" t="inlineStr">
        <is>
          <t>2001-04-19</t>
        </is>
      </c>
      <c r="X1046" t="inlineStr">
        <is>
          <t>2001-04-19</t>
        </is>
      </c>
      <c r="Y1046" t="n">
        <v>510</v>
      </c>
      <c r="Z1046" t="n">
        <v>434</v>
      </c>
      <c r="AA1046" t="n">
        <v>436</v>
      </c>
      <c r="AB1046" t="n">
        <v>5</v>
      </c>
      <c r="AC1046" t="n">
        <v>5</v>
      </c>
      <c r="AD1046" t="n">
        <v>19</v>
      </c>
      <c r="AE1046" t="n">
        <v>19</v>
      </c>
      <c r="AF1046" t="n">
        <v>5</v>
      </c>
      <c r="AG1046" t="n">
        <v>5</v>
      </c>
      <c r="AH1046" t="n">
        <v>4</v>
      </c>
      <c r="AI1046" t="n">
        <v>4</v>
      </c>
      <c r="AJ1046" t="n">
        <v>12</v>
      </c>
      <c r="AK1046" t="n">
        <v>12</v>
      </c>
      <c r="AL1046" t="n">
        <v>4</v>
      </c>
      <c r="AM1046" t="n">
        <v>4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HYPERLINK("http://catalog.hathitrust.org/Record/004138446","HathiTrust Record")</f>
        <v/>
      </c>
      <c r="AS1046">
        <f>HYPERLINK("https://creighton-primo.hosted.exlibrisgroup.com/primo-explore/search?tab=default_tab&amp;search_scope=EVERYTHING&amp;vid=01CRU&amp;lang=en_US&amp;offset=0&amp;query=any,contains,991003508979702656","Catalog Record")</f>
        <v/>
      </c>
      <c r="AT1046">
        <f>HYPERLINK("http://www.worldcat.org/oclc/45122910","WorldCat Record")</f>
        <v/>
      </c>
      <c r="AU1046" t="inlineStr">
        <is>
          <t>46491:eng</t>
        </is>
      </c>
      <c r="AV1046" t="inlineStr">
        <is>
          <t>45122910</t>
        </is>
      </c>
      <c r="AW1046" t="inlineStr">
        <is>
          <t>991003508979702656</t>
        </is>
      </c>
      <c r="AX1046" t="inlineStr">
        <is>
          <t>991003508979702656</t>
        </is>
      </c>
      <c r="AY1046" t="inlineStr">
        <is>
          <t>2256545960002656</t>
        </is>
      </c>
      <c r="AZ1046" t="inlineStr">
        <is>
          <t>BOOK</t>
        </is>
      </c>
      <c r="BB1046" t="inlineStr">
        <is>
          <t>9780465019274</t>
        </is>
      </c>
      <c r="BC1046" t="inlineStr">
        <is>
          <t>32285004313853</t>
        </is>
      </c>
      <c r="BD1046" t="inlineStr">
        <is>
          <t>893348752</t>
        </is>
      </c>
    </row>
    <row r="1047">
      <c r="A1047" t="inlineStr">
        <is>
          <t>No</t>
        </is>
      </c>
      <c r="B1047" t="inlineStr">
        <is>
          <t>QH501 .W48 2006</t>
        </is>
      </c>
      <c r="C1047" t="inlineStr">
        <is>
          <t>0                      QH 0501000W  48          2006</t>
        </is>
      </c>
      <c r="D1047" t="inlineStr">
        <is>
          <t>In the beat of a heart : life, energy, and the unity of nature / John Whitfield.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Whitfield, John, 1970-</t>
        </is>
      </c>
      <c r="L1047" t="inlineStr">
        <is>
          <t>Washington, D.C. : Joseph Henry Press, c2006.</t>
        </is>
      </c>
      <c r="M1047" t="inlineStr">
        <is>
          <t>2006</t>
        </is>
      </c>
      <c r="O1047" t="inlineStr">
        <is>
          <t>eng</t>
        </is>
      </c>
      <c r="P1047" t="inlineStr">
        <is>
          <t>dcu</t>
        </is>
      </c>
      <c r="R1047" t="inlineStr">
        <is>
          <t xml:space="preserve">QH </t>
        </is>
      </c>
      <c r="S1047" t="n">
        <v>1</v>
      </c>
      <c r="T1047" t="n">
        <v>1</v>
      </c>
      <c r="U1047" t="inlineStr">
        <is>
          <t>2006-11-06</t>
        </is>
      </c>
      <c r="V1047" t="inlineStr">
        <is>
          <t>2006-11-06</t>
        </is>
      </c>
      <c r="W1047" t="inlineStr">
        <is>
          <t>2006-11-06</t>
        </is>
      </c>
      <c r="X1047" t="inlineStr">
        <is>
          <t>2006-11-06</t>
        </is>
      </c>
      <c r="Y1047" t="n">
        <v>610</v>
      </c>
      <c r="Z1047" t="n">
        <v>542</v>
      </c>
      <c r="AA1047" t="n">
        <v>564</v>
      </c>
      <c r="AB1047" t="n">
        <v>3</v>
      </c>
      <c r="AC1047" t="n">
        <v>3</v>
      </c>
      <c r="AD1047" t="n">
        <v>15</v>
      </c>
      <c r="AE1047" t="n">
        <v>15</v>
      </c>
      <c r="AF1047" t="n">
        <v>6</v>
      </c>
      <c r="AG1047" t="n">
        <v>6</v>
      </c>
      <c r="AH1047" t="n">
        <v>3</v>
      </c>
      <c r="AI1047" t="n">
        <v>3</v>
      </c>
      <c r="AJ1047" t="n">
        <v>7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HYPERLINK("https://creighton-primo.hosted.exlibrisgroup.com/primo-explore/search?tab=default_tab&amp;search_scope=EVERYTHING&amp;vid=01CRU&amp;lang=en_US&amp;offset=0&amp;query=any,contains,991004955169702656","Catalog Record")</f>
        <v/>
      </c>
      <c r="AT1047">
        <f>HYPERLINK("http://www.worldcat.org/oclc/67346041","WorldCat Record")</f>
        <v/>
      </c>
      <c r="AU1047" t="inlineStr">
        <is>
          <t>796460977:eng</t>
        </is>
      </c>
      <c r="AV1047" t="inlineStr">
        <is>
          <t>67346041</t>
        </is>
      </c>
      <c r="AW1047" t="inlineStr">
        <is>
          <t>991004955169702656</t>
        </is>
      </c>
      <c r="AX1047" t="inlineStr">
        <is>
          <t>991004955169702656</t>
        </is>
      </c>
      <c r="AY1047" t="inlineStr">
        <is>
          <t>2270672200002656</t>
        </is>
      </c>
      <c r="AZ1047" t="inlineStr">
        <is>
          <t>BOOK</t>
        </is>
      </c>
      <c r="BB1047" t="inlineStr">
        <is>
          <t>9780309096812</t>
        </is>
      </c>
      <c r="BC1047" t="inlineStr">
        <is>
          <t>32285005235980</t>
        </is>
      </c>
      <c r="BD1047" t="inlineStr">
        <is>
          <t>893713258</t>
        </is>
      </c>
    </row>
    <row r="1048">
      <c r="A1048" t="inlineStr">
        <is>
          <t>No</t>
        </is>
      </c>
      <c r="B1048" t="inlineStr">
        <is>
          <t>QH505 .B397 1990</t>
        </is>
      </c>
      <c r="C1048" t="inlineStr">
        <is>
          <t>0                      QH 0505000B  397         1990</t>
        </is>
      </c>
      <c r="D1048" t="inlineStr">
        <is>
          <t>Biophysical chemistry : molecules to membranes / P.R. Bergethon, E.R. Simons.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Bergethon, P. R. (Peter R.)</t>
        </is>
      </c>
      <c r="L1048" t="inlineStr">
        <is>
          <t>New York : Springer-Verlag, c1990.</t>
        </is>
      </c>
      <c r="M1048" t="inlineStr">
        <is>
          <t>1990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QH </t>
        </is>
      </c>
      <c r="S1048" t="n">
        <v>4</v>
      </c>
      <c r="T1048" t="n">
        <v>4</v>
      </c>
      <c r="U1048" t="inlineStr">
        <is>
          <t>1995-09-21</t>
        </is>
      </c>
      <c r="V1048" t="inlineStr">
        <is>
          <t>1995-09-21</t>
        </is>
      </c>
      <c r="W1048" t="inlineStr">
        <is>
          <t>1990-07-25</t>
        </is>
      </c>
      <c r="X1048" t="inlineStr">
        <is>
          <t>1990-07-25</t>
        </is>
      </c>
      <c r="Y1048" t="n">
        <v>339</v>
      </c>
      <c r="Z1048" t="n">
        <v>238</v>
      </c>
      <c r="AA1048" t="n">
        <v>259</v>
      </c>
      <c r="AB1048" t="n">
        <v>3</v>
      </c>
      <c r="AC1048" t="n">
        <v>3</v>
      </c>
      <c r="AD1048" t="n">
        <v>8</v>
      </c>
      <c r="AE1048" t="n">
        <v>9</v>
      </c>
      <c r="AF1048" t="n">
        <v>1</v>
      </c>
      <c r="AG1048" t="n">
        <v>2</v>
      </c>
      <c r="AH1048" t="n">
        <v>4</v>
      </c>
      <c r="AI1048" t="n">
        <v>4</v>
      </c>
      <c r="AJ1048" t="n">
        <v>4</v>
      </c>
      <c r="AK1048" t="n">
        <v>5</v>
      </c>
      <c r="AL1048" t="n">
        <v>2</v>
      </c>
      <c r="AM1048" t="n">
        <v>2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HYPERLINK("http://catalog.hathitrust.org/Record/001956065","HathiTrust Record")</f>
        <v/>
      </c>
      <c r="AS1048">
        <f>HYPERLINK("https://creighton-primo.hosted.exlibrisgroup.com/primo-explore/search?tab=default_tab&amp;search_scope=EVERYTHING&amp;vid=01CRU&amp;lang=en_US&amp;offset=0&amp;query=any,contains,991001630329702656","Catalog Record")</f>
        <v/>
      </c>
      <c r="AT1048">
        <f>HYPERLINK("http://www.worldcat.org/oclc/20905774","WorldCat Record")</f>
        <v/>
      </c>
      <c r="AU1048" t="inlineStr">
        <is>
          <t>22082047:eng</t>
        </is>
      </c>
      <c r="AV1048" t="inlineStr">
        <is>
          <t>20905774</t>
        </is>
      </c>
      <c r="AW1048" t="inlineStr">
        <is>
          <t>991001630329702656</t>
        </is>
      </c>
      <c r="AX1048" t="inlineStr">
        <is>
          <t>991001630329702656</t>
        </is>
      </c>
      <c r="AY1048" t="inlineStr">
        <is>
          <t>2260519990002656</t>
        </is>
      </c>
      <c r="AZ1048" t="inlineStr">
        <is>
          <t>BOOK</t>
        </is>
      </c>
      <c r="BB1048" t="inlineStr">
        <is>
          <t>9780387970530</t>
        </is>
      </c>
      <c r="BC1048" t="inlineStr">
        <is>
          <t>32285000240332</t>
        </is>
      </c>
      <c r="BD1048" t="inlineStr">
        <is>
          <t>893885421</t>
        </is>
      </c>
    </row>
    <row r="1049">
      <c r="A1049" t="inlineStr">
        <is>
          <t>No</t>
        </is>
      </c>
      <c r="B1049" t="inlineStr">
        <is>
          <t>QH505 .B4665 1993</t>
        </is>
      </c>
      <c r="C1049" t="inlineStr">
        <is>
          <t>0                      QH 0505000B  4665        1993</t>
        </is>
      </c>
      <c r="D1049" t="inlineStr">
        <is>
          <t>Biological physics / edited by Eugenie V. Mielczarek, Elias Greenbaum, and Robert S. Knox.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L1049" t="inlineStr">
        <is>
          <t>New York : American Institute of Physics, c1993.</t>
        </is>
      </c>
      <c r="M1049" t="inlineStr">
        <is>
          <t>1993</t>
        </is>
      </c>
      <c r="O1049" t="inlineStr">
        <is>
          <t>eng</t>
        </is>
      </c>
      <c r="P1049" t="inlineStr">
        <is>
          <t>nyu</t>
        </is>
      </c>
      <c r="Q1049" t="inlineStr">
        <is>
          <t>Key papers in physics</t>
        </is>
      </c>
      <c r="R1049" t="inlineStr">
        <is>
          <t xml:space="preserve">QH </t>
        </is>
      </c>
      <c r="S1049" t="n">
        <v>6</v>
      </c>
      <c r="T1049" t="n">
        <v>6</v>
      </c>
      <c r="U1049" t="inlineStr">
        <is>
          <t>1995-09-21</t>
        </is>
      </c>
      <c r="V1049" t="inlineStr">
        <is>
          <t>1995-09-21</t>
        </is>
      </c>
      <c r="W1049" t="inlineStr">
        <is>
          <t>1994-11-14</t>
        </is>
      </c>
      <c r="X1049" t="inlineStr">
        <is>
          <t>1994-11-14</t>
        </is>
      </c>
      <c r="Y1049" t="n">
        <v>199</v>
      </c>
      <c r="Z1049" t="n">
        <v>157</v>
      </c>
      <c r="AA1049" t="n">
        <v>157</v>
      </c>
      <c r="AB1049" t="n">
        <v>3</v>
      </c>
      <c r="AC1049" t="n">
        <v>3</v>
      </c>
      <c r="AD1049" t="n">
        <v>8</v>
      </c>
      <c r="AE1049" t="n">
        <v>8</v>
      </c>
      <c r="AF1049" t="n">
        <v>3</v>
      </c>
      <c r="AG1049" t="n">
        <v>3</v>
      </c>
      <c r="AH1049" t="n">
        <v>2</v>
      </c>
      <c r="AI1049" t="n">
        <v>2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HYPERLINK("https://creighton-primo.hosted.exlibrisgroup.com/primo-explore/search?tab=default_tab&amp;search_scope=EVERYTHING&amp;vid=01CRU&amp;lang=en_US&amp;offset=0&amp;query=any,contains,991002155029702656","Catalog Record")</f>
        <v/>
      </c>
      <c r="AT1049">
        <f>HYPERLINK("http://www.worldcat.org/oclc/27769616","WorldCat Record")</f>
        <v/>
      </c>
      <c r="AU1049" t="inlineStr">
        <is>
          <t>3901094712:eng</t>
        </is>
      </c>
      <c r="AV1049" t="inlineStr">
        <is>
          <t>27769616</t>
        </is>
      </c>
      <c r="AW1049" t="inlineStr">
        <is>
          <t>991002155029702656</t>
        </is>
      </c>
      <c r="AX1049" t="inlineStr">
        <is>
          <t>991002155029702656</t>
        </is>
      </c>
      <c r="AY1049" t="inlineStr">
        <is>
          <t>2265247290002656</t>
        </is>
      </c>
      <c r="AZ1049" t="inlineStr">
        <is>
          <t>BOOK</t>
        </is>
      </c>
      <c r="BB1049" t="inlineStr">
        <is>
          <t>9780883188552</t>
        </is>
      </c>
      <c r="BC1049" t="inlineStr">
        <is>
          <t>32285001958353</t>
        </is>
      </c>
      <c r="BD1049" t="inlineStr">
        <is>
          <t>893773271</t>
        </is>
      </c>
    </row>
    <row r="1050">
      <c r="A1050" t="inlineStr">
        <is>
          <t>No</t>
        </is>
      </c>
      <c r="B1050" t="inlineStr">
        <is>
          <t>QH505 .G7 1966</t>
        </is>
      </c>
      <c r="C1050" t="inlineStr">
        <is>
          <t>0                      QH 0505000G  7           1966</t>
        </is>
      </c>
      <c r="D1050" t="inlineStr">
        <is>
          <t>An illustrated approach to medical physics / by Maud E. Greenwood. Illus. by Maud E. Greenwood.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Greenwood, Maud E.</t>
        </is>
      </c>
      <c r="L1050" t="inlineStr">
        <is>
          <t>Philadelphia : F. A. Davis Co., [1966]</t>
        </is>
      </c>
      <c r="M1050" t="inlineStr">
        <is>
          <t>1966</t>
        </is>
      </c>
      <c r="N1050" t="inlineStr">
        <is>
          <t>Ed. 2.</t>
        </is>
      </c>
      <c r="O1050" t="inlineStr">
        <is>
          <t>eng</t>
        </is>
      </c>
      <c r="P1050" t="inlineStr">
        <is>
          <t>pau</t>
        </is>
      </c>
      <c r="R1050" t="inlineStr">
        <is>
          <t xml:space="preserve">QH </t>
        </is>
      </c>
      <c r="S1050" t="n">
        <v>5</v>
      </c>
      <c r="T1050" t="n">
        <v>5</v>
      </c>
      <c r="U1050" t="inlineStr">
        <is>
          <t>2001-11-18</t>
        </is>
      </c>
      <c r="V1050" t="inlineStr">
        <is>
          <t>2001-11-18</t>
        </is>
      </c>
      <c r="W1050" t="inlineStr">
        <is>
          <t>1994-10-05</t>
        </is>
      </c>
      <c r="X1050" t="inlineStr">
        <is>
          <t>1994-10-05</t>
        </is>
      </c>
      <c r="Y1050" t="n">
        <v>139</v>
      </c>
      <c r="Z1050" t="n">
        <v>118</v>
      </c>
      <c r="AA1050" t="n">
        <v>165</v>
      </c>
      <c r="AB1050" t="n">
        <v>1</v>
      </c>
      <c r="AC1050" t="n">
        <v>1</v>
      </c>
      <c r="AD1050" t="n">
        <v>4</v>
      </c>
      <c r="AE1050" t="n">
        <v>5</v>
      </c>
      <c r="AF1050" t="n">
        <v>1</v>
      </c>
      <c r="AG1050" t="n">
        <v>1</v>
      </c>
      <c r="AH1050" t="n">
        <v>0</v>
      </c>
      <c r="AI1050" t="n">
        <v>1</v>
      </c>
      <c r="AJ1050" t="n">
        <v>3</v>
      </c>
      <c r="AK1050" t="n">
        <v>3</v>
      </c>
      <c r="AL1050" t="n">
        <v>0</v>
      </c>
      <c r="AM1050" t="n">
        <v>0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HYPERLINK("http://catalog.hathitrust.org/Record/001558270","HathiTrust Record")</f>
        <v/>
      </c>
      <c r="AS1050">
        <f>HYPERLINK("https://creighton-primo.hosted.exlibrisgroup.com/primo-explore/search?tab=default_tab&amp;search_scope=EVERYTHING&amp;vid=01CRU&amp;lang=en_US&amp;offset=0&amp;query=any,contains,991003181589702656","Catalog Record")</f>
        <v/>
      </c>
      <c r="AT1050">
        <f>HYPERLINK("http://www.worldcat.org/oclc/711863","WorldCat Record")</f>
        <v/>
      </c>
      <c r="AU1050" t="inlineStr">
        <is>
          <t>1661043:eng</t>
        </is>
      </c>
      <c r="AV1050" t="inlineStr">
        <is>
          <t>711863</t>
        </is>
      </c>
      <c r="AW1050" t="inlineStr">
        <is>
          <t>991003181589702656</t>
        </is>
      </c>
      <c r="AX1050" t="inlineStr">
        <is>
          <t>991003181589702656</t>
        </is>
      </c>
      <c r="AY1050" t="inlineStr">
        <is>
          <t>2261911920002656</t>
        </is>
      </c>
      <c r="AZ1050" t="inlineStr">
        <is>
          <t>BOOK</t>
        </is>
      </c>
      <c r="BC1050" t="inlineStr">
        <is>
          <t>32285001953701</t>
        </is>
      </c>
      <c r="BD1050" t="inlineStr">
        <is>
          <t>893428513</t>
        </is>
      </c>
    </row>
    <row r="1051">
      <c r="A1051" t="inlineStr">
        <is>
          <t>No</t>
        </is>
      </c>
      <c r="B1051" t="inlineStr">
        <is>
          <t>QH505 .G88 1986</t>
        </is>
      </c>
      <c r="C1051" t="inlineStr">
        <is>
          <t>0                      QH 0505000G  88          1986</t>
        </is>
      </c>
      <c r="D1051" t="inlineStr">
        <is>
          <t>Physics in living matter : proceedings of the Tenth Gwatt Workshop held in Gwatt, Switzerland, October 16-18, 1986 / D. Baeriswyl ... [et al.], eds.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Gwatt Workshop (10th : 1986 : Gwatt, Switzerland)</t>
        </is>
      </c>
      <c r="L1051" t="inlineStr">
        <is>
          <t>Berlin ; New York : Springer-Verlag, c1987.</t>
        </is>
      </c>
      <c r="M1051" t="inlineStr">
        <is>
          <t>1987</t>
        </is>
      </c>
      <c r="O1051" t="inlineStr">
        <is>
          <t>eng</t>
        </is>
      </c>
      <c r="P1051" t="inlineStr">
        <is>
          <t xml:space="preserve">gw </t>
        </is>
      </c>
      <c r="Q1051" t="inlineStr">
        <is>
          <t>Lecture notes in physics ; 284</t>
        </is>
      </c>
      <c r="R1051" t="inlineStr">
        <is>
          <t xml:space="preserve">QH </t>
        </is>
      </c>
      <c r="S1051" t="n">
        <v>8</v>
      </c>
      <c r="T1051" t="n">
        <v>8</v>
      </c>
      <c r="U1051" t="inlineStr">
        <is>
          <t>1995-09-29</t>
        </is>
      </c>
      <c r="V1051" t="inlineStr">
        <is>
          <t>1995-09-29</t>
        </is>
      </c>
      <c r="W1051" t="inlineStr">
        <is>
          <t>1991-05-01</t>
        </is>
      </c>
      <c r="X1051" t="inlineStr">
        <is>
          <t>1991-05-01</t>
        </is>
      </c>
      <c r="Y1051" t="n">
        <v>217</v>
      </c>
      <c r="Z1051" t="n">
        <v>148</v>
      </c>
      <c r="AA1051" t="n">
        <v>194</v>
      </c>
      <c r="AB1051" t="n">
        <v>3</v>
      </c>
      <c r="AC1051" t="n">
        <v>3</v>
      </c>
      <c r="AD1051" t="n">
        <v>7</v>
      </c>
      <c r="AE1051" t="n">
        <v>7</v>
      </c>
      <c r="AF1051" t="n">
        <v>1</v>
      </c>
      <c r="AG1051" t="n">
        <v>1</v>
      </c>
      <c r="AH1051" t="n">
        <v>2</v>
      </c>
      <c r="AI1051" t="n">
        <v>2</v>
      </c>
      <c r="AJ1051" t="n">
        <v>3</v>
      </c>
      <c r="AK1051" t="n">
        <v>3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HYPERLINK("http://catalog.hathitrust.org/Record/000846492","HathiTrust Record")</f>
        <v/>
      </c>
      <c r="AS1051">
        <f>HYPERLINK("https://creighton-primo.hosted.exlibrisgroup.com/primo-explore/search?tab=default_tab&amp;search_scope=EVERYTHING&amp;vid=01CRU&amp;lang=en_US&amp;offset=0&amp;query=any,contains,991001106199702656","Catalog Record")</f>
        <v/>
      </c>
      <c r="AT1051">
        <f>HYPERLINK("http://www.worldcat.org/oclc/16405430","WorldCat Record")</f>
        <v/>
      </c>
      <c r="AU1051" t="inlineStr">
        <is>
          <t>808694749:eng</t>
        </is>
      </c>
      <c r="AV1051" t="inlineStr">
        <is>
          <t>16405430</t>
        </is>
      </c>
      <c r="AW1051" t="inlineStr">
        <is>
          <t>991001106199702656</t>
        </is>
      </c>
      <c r="AX1051" t="inlineStr">
        <is>
          <t>991001106199702656</t>
        </is>
      </c>
      <c r="AY1051" t="inlineStr">
        <is>
          <t>2263604960002656</t>
        </is>
      </c>
      <c r="AZ1051" t="inlineStr">
        <is>
          <t>BOOK</t>
        </is>
      </c>
      <c r="BB1051" t="inlineStr">
        <is>
          <t>9780387181929</t>
        </is>
      </c>
      <c r="BC1051" t="inlineStr">
        <is>
          <t>32285000570985</t>
        </is>
      </c>
      <c r="BD1051" t="inlineStr">
        <is>
          <t>893243862</t>
        </is>
      </c>
    </row>
    <row r="1052">
      <c r="A1052" t="inlineStr">
        <is>
          <t>No</t>
        </is>
      </c>
      <c r="B1052" t="inlineStr">
        <is>
          <t>QH505 .H78</t>
        </is>
      </c>
      <c r="C1052" t="inlineStr">
        <is>
          <t>0                      QH 0505000H  78</t>
        </is>
      </c>
      <c r="D1052" t="inlineStr">
        <is>
          <t>Aspects of biophysics / William Hughes.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Hughes, William T., 1936-</t>
        </is>
      </c>
      <c r="L1052" t="inlineStr">
        <is>
          <t>New York : Wiley,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QH </t>
        </is>
      </c>
      <c r="S1052" t="n">
        <v>4</v>
      </c>
      <c r="T1052" t="n">
        <v>4</v>
      </c>
      <c r="U1052" t="inlineStr">
        <is>
          <t>1996-02-19</t>
        </is>
      </c>
      <c r="V1052" t="inlineStr">
        <is>
          <t>1996-02-19</t>
        </is>
      </c>
      <c r="W1052" t="inlineStr">
        <is>
          <t>1993-04-27</t>
        </is>
      </c>
      <c r="X1052" t="inlineStr">
        <is>
          <t>1993-04-27</t>
        </is>
      </c>
      <c r="Y1052" t="n">
        <v>340</v>
      </c>
      <c r="Z1052" t="n">
        <v>233</v>
      </c>
      <c r="AA1052" t="n">
        <v>242</v>
      </c>
      <c r="AB1052" t="n">
        <v>3</v>
      </c>
      <c r="AC1052" t="n">
        <v>3</v>
      </c>
      <c r="AD1052" t="n">
        <v>9</v>
      </c>
      <c r="AE1052" t="n">
        <v>9</v>
      </c>
      <c r="AF1052" t="n">
        <v>2</v>
      </c>
      <c r="AG1052" t="n">
        <v>2</v>
      </c>
      <c r="AH1052" t="n">
        <v>3</v>
      </c>
      <c r="AI1052" t="n">
        <v>3</v>
      </c>
      <c r="AJ1052" t="n">
        <v>6</v>
      </c>
      <c r="AK1052" t="n">
        <v>6</v>
      </c>
      <c r="AL1052" t="n">
        <v>2</v>
      </c>
      <c r="AM1052" t="n">
        <v>2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HYPERLINK("http://catalog.hathitrust.org/Record/000731229","HathiTrust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HYPERLINK("https://creighton-primo.hosted.exlibrisgroup.com/primo-explore/search?tab=default_tab&amp;search_scope=EVERYTHING&amp;vid=01CRU&amp;lang=en_US&amp;offset=0&amp;query=any,contains,991004540419702656","Catalog Record")</f>
        <v/>
      </c>
      <c r="AT1052">
        <f>HYPERLINK("http://www.worldcat.org/oclc/3892864","WorldCat Record")</f>
        <v/>
      </c>
      <c r="AU1052" t="inlineStr">
        <is>
          <t>328584937:eng</t>
        </is>
      </c>
      <c r="AV1052" t="inlineStr">
        <is>
          <t>3892864</t>
        </is>
      </c>
      <c r="AW1052" t="inlineStr">
        <is>
          <t>991004540419702656</t>
        </is>
      </c>
      <c r="AX1052" t="inlineStr">
        <is>
          <t>991004540419702656</t>
        </is>
      </c>
      <c r="AY1052" t="inlineStr">
        <is>
          <t>2272313510002656</t>
        </is>
      </c>
      <c r="AZ1052" t="inlineStr">
        <is>
          <t>BOOK</t>
        </is>
      </c>
      <c r="BB1052" t="inlineStr">
        <is>
          <t>9780471019909</t>
        </is>
      </c>
      <c r="BC1052" t="inlineStr">
        <is>
          <t>32285001641728</t>
        </is>
      </c>
      <c r="BD1052" t="inlineStr">
        <is>
          <t>893506969</t>
        </is>
      </c>
    </row>
    <row r="1053">
      <c r="A1053" t="inlineStr">
        <is>
          <t>No</t>
        </is>
      </c>
      <c r="B1053" t="inlineStr">
        <is>
          <t>QH505 .M47 1980</t>
        </is>
      </c>
      <c r="C1053" t="inlineStr">
        <is>
          <t>0                      QH 0505000M  47          1980</t>
        </is>
      </c>
      <c r="D1053" t="inlineStr">
        <is>
          <t>Topics in classical biophysics / Harold J. Metcalf.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Metcalf, Harold J.</t>
        </is>
      </c>
      <c r="L1053" t="inlineStr">
        <is>
          <t>Englewood Cliffs, N.J. : Prentice-Hall, c1980.</t>
        </is>
      </c>
      <c r="M1053" t="inlineStr">
        <is>
          <t>1980</t>
        </is>
      </c>
      <c r="O1053" t="inlineStr">
        <is>
          <t>eng</t>
        </is>
      </c>
      <c r="P1053" t="inlineStr">
        <is>
          <t>nju</t>
        </is>
      </c>
      <c r="R1053" t="inlineStr">
        <is>
          <t xml:space="preserve">QH </t>
        </is>
      </c>
      <c r="S1053" t="n">
        <v>6</v>
      </c>
      <c r="T1053" t="n">
        <v>6</v>
      </c>
      <c r="U1053" t="inlineStr">
        <is>
          <t>1995-04-05</t>
        </is>
      </c>
      <c r="V1053" t="inlineStr">
        <is>
          <t>1995-04-05</t>
        </is>
      </c>
      <c r="W1053" t="inlineStr">
        <is>
          <t>1993-04-27</t>
        </is>
      </c>
      <c r="X1053" t="inlineStr">
        <is>
          <t>1993-04-27</t>
        </is>
      </c>
      <c r="Y1053" t="n">
        <v>422</v>
      </c>
      <c r="Z1053" t="n">
        <v>336</v>
      </c>
      <c r="AA1053" t="n">
        <v>343</v>
      </c>
      <c r="AB1053" t="n">
        <v>5</v>
      </c>
      <c r="AC1053" t="n">
        <v>5</v>
      </c>
      <c r="AD1053" t="n">
        <v>22</v>
      </c>
      <c r="AE1053" t="n">
        <v>22</v>
      </c>
      <c r="AF1053" t="n">
        <v>6</v>
      </c>
      <c r="AG1053" t="n">
        <v>6</v>
      </c>
      <c r="AH1053" t="n">
        <v>4</v>
      </c>
      <c r="AI1053" t="n">
        <v>4</v>
      </c>
      <c r="AJ1053" t="n">
        <v>14</v>
      </c>
      <c r="AK1053" t="n">
        <v>14</v>
      </c>
      <c r="AL1053" t="n">
        <v>4</v>
      </c>
      <c r="AM1053" t="n">
        <v>4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HYPERLINK("http://catalog.hathitrust.org/Record/000707135","HathiTrust Record")</f>
        <v/>
      </c>
      <c r="AS1053">
        <f>HYPERLINK("https://creighton-primo.hosted.exlibrisgroup.com/primo-explore/search?tab=default_tab&amp;search_scope=EVERYTHING&amp;vid=01CRU&amp;lang=en_US&amp;offset=0&amp;query=any,contains,991004720759702656","Catalog Record")</f>
        <v/>
      </c>
      <c r="AT1053">
        <f>HYPERLINK("http://www.worldcat.org/oclc/4804458","WorldCat Record")</f>
        <v/>
      </c>
      <c r="AU1053" t="inlineStr">
        <is>
          <t>14965402:eng</t>
        </is>
      </c>
      <c r="AV1053" t="inlineStr">
        <is>
          <t>4804458</t>
        </is>
      </c>
      <c r="AW1053" t="inlineStr">
        <is>
          <t>991004720759702656</t>
        </is>
      </c>
      <c r="AX1053" t="inlineStr">
        <is>
          <t>991004720759702656</t>
        </is>
      </c>
      <c r="AY1053" t="inlineStr">
        <is>
          <t>2270265020002656</t>
        </is>
      </c>
      <c r="AZ1053" t="inlineStr">
        <is>
          <t>BOOK</t>
        </is>
      </c>
      <c r="BB1053" t="inlineStr">
        <is>
          <t>9780139252556</t>
        </is>
      </c>
      <c r="BC1053" t="inlineStr">
        <is>
          <t>32285001641736</t>
        </is>
      </c>
      <c r="BD1053" t="inlineStr">
        <is>
          <t>893870024</t>
        </is>
      </c>
    </row>
    <row r="1054">
      <c r="A1054" t="inlineStr">
        <is>
          <t>No</t>
        </is>
      </c>
      <c r="B1054" t="inlineStr">
        <is>
          <t>QH505 .R26 1962</t>
        </is>
      </c>
      <c r="C1054" t="inlineStr">
        <is>
          <t>0                      QH 0505000R  26          1962</t>
        </is>
      </c>
      <c r="D1054" t="inlineStr">
        <is>
          <t>Elements of biophysics.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Randall, James E. (James Edwin)</t>
        </is>
      </c>
      <c r="L1054" t="inlineStr">
        <is>
          <t>Chicago : Year Book Medical Publishers, [1962]</t>
        </is>
      </c>
      <c r="M1054" t="inlineStr">
        <is>
          <t>1962</t>
        </is>
      </c>
      <c r="N1054" t="inlineStr">
        <is>
          <t>2d ed.</t>
        </is>
      </c>
      <c r="O1054" t="inlineStr">
        <is>
          <t>eng</t>
        </is>
      </c>
      <c r="P1054" t="inlineStr">
        <is>
          <t>ilu</t>
        </is>
      </c>
      <c r="R1054" t="inlineStr">
        <is>
          <t xml:space="preserve">QH </t>
        </is>
      </c>
      <c r="S1054" t="n">
        <v>3</v>
      </c>
      <c r="T1054" t="n">
        <v>3</v>
      </c>
      <c r="U1054" t="inlineStr">
        <is>
          <t>1996-02-19</t>
        </is>
      </c>
      <c r="V1054" t="inlineStr">
        <is>
          <t>1996-02-19</t>
        </is>
      </c>
      <c r="W1054" t="inlineStr">
        <is>
          <t>1995-03-19</t>
        </is>
      </c>
      <c r="X1054" t="inlineStr">
        <is>
          <t>1995-03-19</t>
        </is>
      </c>
      <c r="Y1054" t="n">
        <v>186</v>
      </c>
      <c r="Z1054" t="n">
        <v>154</v>
      </c>
      <c r="AA1054" t="n">
        <v>238</v>
      </c>
      <c r="AB1054" t="n">
        <v>3</v>
      </c>
      <c r="AC1054" t="n">
        <v>3</v>
      </c>
      <c r="AD1054" t="n">
        <v>8</v>
      </c>
      <c r="AE1054" t="n">
        <v>12</v>
      </c>
      <c r="AF1054" t="n">
        <v>4</v>
      </c>
      <c r="AG1054" t="n">
        <v>5</v>
      </c>
      <c r="AH1054" t="n">
        <v>0</v>
      </c>
      <c r="AI1054" t="n">
        <v>1</v>
      </c>
      <c r="AJ1054" t="n">
        <v>4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Yes</t>
        </is>
      </c>
      <c r="AQ1054" t="inlineStr">
        <is>
          <t>No</t>
        </is>
      </c>
      <c r="AR1054">
        <f>HYPERLINK("http://catalog.hathitrust.org/Record/001492565","HathiTrust Record")</f>
        <v/>
      </c>
      <c r="AS1054">
        <f>HYPERLINK("https://creighton-primo.hosted.exlibrisgroup.com/primo-explore/search?tab=default_tab&amp;search_scope=EVERYTHING&amp;vid=01CRU&amp;lang=en_US&amp;offset=0&amp;query=any,contains,991003777209702656","Catalog Record")</f>
        <v/>
      </c>
      <c r="AT1054">
        <f>HYPERLINK("http://www.worldcat.org/oclc/1486769","WorldCat Record")</f>
        <v/>
      </c>
      <c r="AU1054" t="inlineStr">
        <is>
          <t>2391781:eng</t>
        </is>
      </c>
      <c r="AV1054" t="inlineStr">
        <is>
          <t>1486769</t>
        </is>
      </c>
      <c r="AW1054" t="inlineStr">
        <is>
          <t>991003777209702656</t>
        </is>
      </c>
      <c r="AX1054" t="inlineStr">
        <is>
          <t>991003777209702656</t>
        </is>
      </c>
      <c r="AY1054" t="inlineStr">
        <is>
          <t>2258765820002656</t>
        </is>
      </c>
      <c r="AZ1054" t="inlineStr">
        <is>
          <t>BOOK</t>
        </is>
      </c>
      <c r="BC1054" t="inlineStr">
        <is>
          <t>32285002012119</t>
        </is>
      </c>
      <c r="BD1054" t="inlineStr">
        <is>
          <t>893349128</t>
        </is>
      </c>
    </row>
    <row r="1055">
      <c r="A1055" t="inlineStr">
        <is>
          <t>No</t>
        </is>
      </c>
      <c r="B1055" t="inlineStr">
        <is>
          <t>QH505 .S86</t>
        </is>
      </c>
      <c r="C1055" t="inlineStr">
        <is>
          <t>0                      QH 0505000S  86</t>
        </is>
      </c>
      <c r="D1055" t="inlineStr">
        <is>
          <t>An introduction to biophysics / C. Sybesma.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Sybesma, C.</t>
        </is>
      </c>
      <c r="L1055" t="inlineStr">
        <is>
          <t>New York : Academic Press, 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nyu</t>
        </is>
      </c>
      <c r="R1055" t="inlineStr">
        <is>
          <t xml:space="preserve">QH </t>
        </is>
      </c>
      <c r="S1055" t="n">
        <v>2</v>
      </c>
      <c r="T1055" t="n">
        <v>2</v>
      </c>
      <c r="U1055" t="inlineStr">
        <is>
          <t>1995-09-30</t>
        </is>
      </c>
      <c r="V1055" t="inlineStr">
        <is>
          <t>1995-09-30</t>
        </is>
      </c>
      <c r="W1055" t="inlineStr">
        <is>
          <t>1994-07-20</t>
        </is>
      </c>
      <c r="X1055" t="inlineStr">
        <is>
          <t>1994-07-20</t>
        </is>
      </c>
      <c r="Y1055" t="n">
        <v>471</v>
      </c>
      <c r="Z1055" t="n">
        <v>340</v>
      </c>
      <c r="AA1055" t="n">
        <v>347</v>
      </c>
      <c r="AB1055" t="n">
        <v>2</v>
      </c>
      <c r="AC1055" t="n">
        <v>2</v>
      </c>
      <c r="AD1055" t="n">
        <v>14</v>
      </c>
      <c r="AE1055" t="n">
        <v>14</v>
      </c>
      <c r="AF1055" t="n">
        <v>3</v>
      </c>
      <c r="AG1055" t="n">
        <v>3</v>
      </c>
      <c r="AH1055" t="n">
        <v>5</v>
      </c>
      <c r="AI1055" t="n">
        <v>5</v>
      </c>
      <c r="AJ1055" t="n">
        <v>8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HYPERLINK("http://catalog.hathitrust.org/Record/000127821","HathiTrust Record")</f>
        <v/>
      </c>
      <c r="AS1055">
        <f>HYPERLINK("https://creighton-primo.hosted.exlibrisgroup.com/primo-explore/search?tab=default_tab&amp;search_scope=EVERYTHING&amp;vid=01CRU&amp;lang=en_US&amp;offset=0&amp;query=any,contains,991004185709702656","Catalog Record")</f>
        <v/>
      </c>
      <c r="AT1055">
        <f>HYPERLINK("http://www.worldcat.org/oclc/2615962","WorldCat Record")</f>
        <v/>
      </c>
      <c r="AU1055" t="inlineStr">
        <is>
          <t>5575345:eng</t>
        </is>
      </c>
      <c r="AV1055" t="inlineStr">
        <is>
          <t>2615962</t>
        </is>
      </c>
      <c r="AW1055" t="inlineStr">
        <is>
          <t>991004185709702656</t>
        </is>
      </c>
      <c r="AX1055" t="inlineStr">
        <is>
          <t>991004185709702656</t>
        </is>
      </c>
      <c r="AY1055" t="inlineStr">
        <is>
          <t>2266199030002656</t>
        </is>
      </c>
      <c r="AZ1055" t="inlineStr">
        <is>
          <t>BOOK</t>
        </is>
      </c>
      <c r="BB1055" t="inlineStr">
        <is>
          <t>9780126797503</t>
        </is>
      </c>
      <c r="BC1055" t="inlineStr">
        <is>
          <t>32285001936888</t>
        </is>
      </c>
      <c r="BD1055" t="inlineStr">
        <is>
          <t>893605735</t>
        </is>
      </c>
    </row>
    <row r="1056">
      <c r="A1056" t="inlineStr">
        <is>
          <t>No</t>
        </is>
      </c>
      <c r="B1056" t="inlineStr">
        <is>
          <t>QH505 .T6813 1982</t>
        </is>
      </c>
      <c r="C1056" t="inlineStr">
        <is>
          <t>0                      QH 0505000T  6813        1982</t>
        </is>
      </c>
      <c r="D1056" t="inlineStr">
        <is>
          <t>How life learned to live : adaptation in nature / by Helmut Tributsch ; translated by Miriam Varon.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Tributsch, Helmut, 1943-</t>
        </is>
      </c>
      <c r="L1056" t="inlineStr">
        <is>
          <t>Cambridge, Mass. : MIT Press, c1982, 1984 printing.</t>
        </is>
      </c>
      <c r="M1056" t="inlineStr">
        <is>
          <t>1982</t>
        </is>
      </c>
      <c r="O1056" t="inlineStr">
        <is>
          <t>eng</t>
        </is>
      </c>
      <c r="P1056" t="inlineStr">
        <is>
          <t>mau</t>
        </is>
      </c>
      <c r="R1056" t="inlineStr">
        <is>
          <t xml:space="preserve">QH </t>
        </is>
      </c>
      <c r="S1056" t="n">
        <v>3</v>
      </c>
      <c r="T1056" t="n">
        <v>3</v>
      </c>
      <c r="U1056" t="inlineStr">
        <is>
          <t>1996-09-30</t>
        </is>
      </c>
      <c r="V1056" t="inlineStr">
        <is>
          <t>1996-09-30</t>
        </is>
      </c>
      <c r="W1056" t="inlineStr">
        <is>
          <t>1993-04-27</t>
        </is>
      </c>
      <c r="X1056" t="inlineStr">
        <is>
          <t>1993-04-27</t>
        </is>
      </c>
      <c r="Y1056" t="n">
        <v>802</v>
      </c>
      <c r="Z1056" t="n">
        <v>719</v>
      </c>
      <c r="AA1056" t="n">
        <v>726</v>
      </c>
      <c r="AB1056" t="n">
        <v>4</v>
      </c>
      <c r="AC1056" t="n">
        <v>4</v>
      </c>
      <c r="AD1056" t="n">
        <v>17</v>
      </c>
      <c r="AE1056" t="n">
        <v>17</v>
      </c>
      <c r="AF1056" t="n">
        <v>6</v>
      </c>
      <c r="AG1056" t="n">
        <v>6</v>
      </c>
      <c r="AH1056" t="n">
        <v>3</v>
      </c>
      <c r="AI1056" t="n">
        <v>3</v>
      </c>
      <c r="AJ1056" t="n">
        <v>11</v>
      </c>
      <c r="AK1056" t="n">
        <v>11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HYPERLINK("https://creighton-primo.hosted.exlibrisgroup.com/primo-explore/search?tab=default_tab&amp;search_scope=EVERYTHING&amp;vid=01CRU&amp;lang=en_US&amp;offset=0&amp;query=any,contains,991005251529702656","Catalog Record")</f>
        <v/>
      </c>
      <c r="AT1056">
        <f>HYPERLINK("http://www.worldcat.org/oclc/8494185","WorldCat Record")</f>
        <v/>
      </c>
      <c r="AU1056" t="inlineStr">
        <is>
          <t>32078092:eng</t>
        </is>
      </c>
      <c r="AV1056" t="inlineStr">
        <is>
          <t>8494185</t>
        </is>
      </c>
      <c r="AW1056" t="inlineStr">
        <is>
          <t>991005251529702656</t>
        </is>
      </c>
      <c r="AX1056" t="inlineStr">
        <is>
          <t>991005251529702656</t>
        </is>
      </c>
      <c r="AY1056" t="inlineStr">
        <is>
          <t>2260128740002656</t>
        </is>
      </c>
      <c r="AZ1056" t="inlineStr">
        <is>
          <t>BOOK</t>
        </is>
      </c>
      <c r="BB1056" t="inlineStr">
        <is>
          <t>9780262200455</t>
        </is>
      </c>
      <c r="BC1056" t="inlineStr">
        <is>
          <t>32285001641744</t>
        </is>
      </c>
      <c r="BD1056" t="inlineStr">
        <is>
          <t>893501584</t>
        </is>
      </c>
    </row>
    <row r="1057">
      <c r="A1057" t="inlineStr">
        <is>
          <t>No</t>
        </is>
      </c>
      <c r="B1057" t="inlineStr">
        <is>
          <t>QH505 .V48 1982</t>
        </is>
      </c>
      <c r="C1057" t="inlineStr">
        <is>
          <t>0                      QH 0505000V  48          1982</t>
        </is>
      </c>
      <c r="D1057" t="inlineStr">
        <is>
          <t>Structural biomaterials / Julian F.V. Vincent.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Vincent, Julian F. V.</t>
        </is>
      </c>
      <c r="L1057" t="inlineStr">
        <is>
          <t>New York : Wiley, 1982.</t>
        </is>
      </c>
      <c r="M1057" t="inlineStr">
        <is>
          <t>1981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QH </t>
        </is>
      </c>
      <c r="S1057" t="n">
        <v>4</v>
      </c>
      <c r="T1057" t="n">
        <v>4</v>
      </c>
      <c r="U1057" t="inlineStr">
        <is>
          <t>1997-04-01</t>
        </is>
      </c>
      <c r="V1057" t="inlineStr">
        <is>
          <t>1997-04-01</t>
        </is>
      </c>
      <c r="W1057" t="inlineStr">
        <is>
          <t>1992-09-10</t>
        </is>
      </c>
      <c r="X1057" t="inlineStr">
        <is>
          <t>1992-09-10</t>
        </is>
      </c>
      <c r="Y1057" t="n">
        <v>237</v>
      </c>
      <c r="Z1057" t="n">
        <v>226</v>
      </c>
      <c r="AA1057" t="n">
        <v>643</v>
      </c>
      <c r="AB1057" t="n">
        <v>3</v>
      </c>
      <c r="AC1057" t="n">
        <v>3</v>
      </c>
      <c r="AD1057" t="n">
        <v>9</v>
      </c>
      <c r="AE1057" t="n">
        <v>28</v>
      </c>
      <c r="AF1057" t="n">
        <v>3</v>
      </c>
      <c r="AG1057" t="n">
        <v>12</v>
      </c>
      <c r="AH1057" t="n">
        <v>1</v>
      </c>
      <c r="AI1057" t="n">
        <v>8</v>
      </c>
      <c r="AJ1057" t="n">
        <v>6</v>
      </c>
      <c r="AK1057" t="n">
        <v>16</v>
      </c>
      <c r="AL1057" t="n">
        <v>2</v>
      </c>
      <c r="AM1057" t="n">
        <v>2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HYPERLINK("http://catalog.hathitrust.org/Record/000303880","HathiTrust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HYPERLINK("https://creighton-primo.hosted.exlibrisgroup.com/primo-explore/search?tab=default_tab&amp;search_scope=EVERYTHING&amp;vid=01CRU&amp;lang=en_US&amp;offset=0&amp;query=any,contains,991005138519702656","Catalog Record")</f>
        <v/>
      </c>
      <c r="AT1057">
        <f>HYPERLINK("http://www.worldcat.org/oclc/7596239","WorldCat Record")</f>
        <v/>
      </c>
      <c r="AU1057" t="inlineStr">
        <is>
          <t>891633:eng</t>
        </is>
      </c>
      <c r="AV1057" t="inlineStr">
        <is>
          <t>7596239</t>
        </is>
      </c>
      <c r="AW1057" t="inlineStr">
        <is>
          <t>991005138519702656</t>
        </is>
      </c>
      <c r="AX1057" t="inlineStr">
        <is>
          <t>991005138519702656</t>
        </is>
      </c>
      <c r="AY1057" t="inlineStr">
        <is>
          <t>2255827320002656</t>
        </is>
      </c>
      <c r="AZ1057" t="inlineStr">
        <is>
          <t>BOOK</t>
        </is>
      </c>
      <c r="BB1057" t="inlineStr">
        <is>
          <t>9780470271742</t>
        </is>
      </c>
      <c r="BC1057" t="inlineStr">
        <is>
          <t>32285001300184</t>
        </is>
      </c>
      <c r="BD1057" t="inlineStr">
        <is>
          <t>893412378</t>
        </is>
      </c>
    </row>
    <row r="1058">
      <c r="A1058" t="inlineStr">
        <is>
          <t>No</t>
        </is>
      </c>
      <c r="B1058" t="inlineStr">
        <is>
          <t>QH505 .V6413 1983, v...</t>
        </is>
      </c>
      <c r="C1058" t="inlineStr">
        <is>
          <t>0                      QH 0505000V  6413        1983                                        v...</t>
        </is>
      </c>
      <c r="D1058" t="inlineStr">
        <is>
          <t>General biophysics / [M.V. Volkenstein ; translated I.L. Melamed and M.V. Volkenstein].</t>
        </is>
      </c>
      <c r="E1058" t="inlineStr">
        <is>
          <t>V.2</t>
        </is>
      </c>
      <c r="F1058" t="inlineStr">
        <is>
          <t>Yes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Volʹkenshteĭn, M. V. (Mikhail Vladimirovich), 1912-1992.</t>
        </is>
      </c>
      <c r="L1058" t="inlineStr">
        <is>
          <t>New York, N.Y. : Academic Press, 1983-</t>
        </is>
      </c>
      <c r="M1058" t="inlineStr">
        <is>
          <t>1983</t>
        </is>
      </c>
      <c r="O1058" t="inlineStr">
        <is>
          <t>eng</t>
        </is>
      </c>
      <c r="P1058" t="inlineStr">
        <is>
          <t>nyu</t>
        </is>
      </c>
      <c r="R1058" t="inlineStr">
        <is>
          <t xml:space="preserve">QH </t>
        </is>
      </c>
      <c r="S1058" t="n">
        <v>3</v>
      </c>
      <c r="T1058" t="n">
        <v>6</v>
      </c>
      <c r="U1058" t="inlineStr">
        <is>
          <t>1995-09-20</t>
        </is>
      </c>
      <c r="V1058" t="inlineStr">
        <is>
          <t>1995-09-21</t>
        </is>
      </c>
      <c r="W1058" t="inlineStr">
        <is>
          <t>1993-04-27</t>
        </is>
      </c>
      <c r="X1058" t="inlineStr">
        <is>
          <t>1993-04-27</t>
        </is>
      </c>
      <c r="Y1058" t="n">
        <v>210</v>
      </c>
      <c r="Z1058" t="n">
        <v>160</v>
      </c>
      <c r="AA1058" t="n">
        <v>201</v>
      </c>
      <c r="AB1058" t="n">
        <v>1</v>
      </c>
      <c r="AC1058" t="n">
        <v>2</v>
      </c>
      <c r="AD1058" t="n">
        <v>4</v>
      </c>
      <c r="AE1058" t="n">
        <v>8</v>
      </c>
      <c r="AF1058" t="n">
        <v>0</v>
      </c>
      <c r="AG1058" t="n">
        <v>2</v>
      </c>
      <c r="AH1058" t="n">
        <v>3</v>
      </c>
      <c r="AI1058" t="n">
        <v>5</v>
      </c>
      <c r="AJ1058" t="n">
        <v>2</v>
      </c>
      <c r="AK1058" t="n">
        <v>2</v>
      </c>
      <c r="AL1058" t="n">
        <v>0</v>
      </c>
      <c r="AM1058" t="n">
        <v>1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HYPERLINK("http://catalog.hathitrust.org/Record/000447423","HathiTrust Record")</f>
        <v/>
      </c>
      <c r="AS1058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8">
        <f>HYPERLINK("http://www.worldcat.org/oclc/8533210","WorldCat Record")</f>
        <v/>
      </c>
      <c r="AU1058" t="inlineStr">
        <is>
          <t>7775991:eng</t>
        </is>
      </c>
      <c r="AV1058" t="inlineStr">
        <is>
          <t>8533210</t>
        </is>
      </c>
      <c r="AW1058" t="inlineStr">
        <is>
          <t>991000009089702656</t>
        </is>
      </c>
      <c r="AX1058" t="inlineStr">
        <is>
          <t>991000009089702656</t>
        </is>
      </c>
      <c r="AY1058" t="inlineStr">
        <is>
          <t>2269337620002656</t>
        </is>
      </c>
      <c r="AZ1058" t="inlineStr">
        <is>
          <t>BOOK</t>
        </is>
      </c>
      <c r="BB1058" t="inlineStr">
        <is>
          <t>9780127230016</t>
        </is>
      </c>
      <c r="BC1058" t="inlineStr">
        <is>
          <t>32285001641769</t>
        </is>
      </c>
      <c r="BD1058" t="inlineStr">
        <is>
          <t>893777591</t>
        </is>
      </c>
    </row>
    <row r="1059">
      <c r="A1059" t="inlineStr">
        <is>
          <t>No</t>
        </is>
      </c>
      <c r="B1059" t="inlineStr">
        <is>
          <t>QH505 .V6413 1983, v...</t>
        </is>
      </c>
      <c r="C1059" t="inlineStr">
        <is>
          <t>0                      QH 0505000V  6413        1983                                        v...</t>
        </is>
      </c>
      <c r="D1059" t="inlineStr">
        <is>
          <t>General biophysics / [M.V. Volkenstein ; translated I.L. Melamed and M.V. Volkenstein].</t>
        </is>
      </c>
      <c r="E1059" t="inlineStr">
        <is>
          <t>V.1</t>
        </is>
      </c>
      <c r="F1059" t="inlineStr">
        <is>
          <t>Yes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Volʹkenshteĭn, M. V. (Mikhail Vladimirovich), 1912-1992.</t>
        </is>
      </c>
      <c r="L1059" t="inlineStr">
        <is>
          <t>New York, N.Y. : Academic Press, 1983-</t>
        </is>
      </c>
      <c r="M1059" t="inlineStr">
        <is>
          <t>1983</t>
        </is>
      </c>
      <c r="O1059" t="inlineStr">
        <is>
          <t>eng</t>
        </is>
      </c>
      <c r="P1059" t="inlineStr">
        <is>
          <t>nyu</t>
        </is>
      </c>
      <c r="R1059" t="inlineStr">
        <is>
          <t xml:space="preserve">QH </t>
        </is>
      </c>
      <c r="S1059" t="n">
        <v>3</v>
      </c>
      <c r="T1059" t="n">
        <v>6</v>
      </c>
      <c r="U1059" t="inlineStr">
        <is>
          <t>1995-09-21</t>
        </is>
      </c>
      <c r="V1059" t="inlineStr">
        <is>
          <t>1995-09-21</t>
        </is>
      </c>
      <c r="W1059" t="inlineStr">
        <is>
          <t>1993-04-27</t>
        </is>
      </c>
      <c r="X1059" t="inlineStr">
        <is>
          <t>1993-04-27</t>
        </is>
      </c>
      <c r="Y1059" t="n">
        <v>210</v>
      </c>
      <c r="Z1059" t="n">
        <v>160</v>
      </c>
      <c r="AA1059" t="n">
        <v>201</v>
      </c>
      <c r="AB1059" t="n">
        <v>1</v>
      </c>
      <c r="AC1059" t="n">
        <v>2</v>
      </c>
      <c r="AD1059" t="n">
        <v>4</v>
      </c>
      <c r="AE1059" t="n">
        <v>8</v>
      </c>
      <c r="AF1059" t="n">
        <v>0</v>
      </c>
      <c r="AG1059" t="n">
        <v>2</v>
      </c>
      <c r="AH1059" t="n">
        <v>3</v>
      </c>
      <c r="AI1059" t="n">
        <v>5</v>
      </c>
      <c r="AJ1059" t="n">
        <v>2</v>
      </c>
      <c r="AK1059" t="n">
        <v>2</v>
      </c>
      <c r="AL1059" t="n">
        <v>0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HYPERLINK("http://catalog.hathitrust.org/Record/000447423","HathiTrust Record")</f>
        <v/>
      </c>
      <c r="AS1059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9">
        <f>HYPERLINK("http://www.worldcat.org/oclc/8533210","WorldCat Record")</f>
        <v/>
      </c>
      <c r="AU1059" t="inlineStr">
        <is>
          <t>7775991:eng</t>
        </is>
      </c>
      <c r="AV1059" t="inlineStr">
        <is>
          <t>8533210</t>
        </is>
      </c>
      <c r="AW1059" t="inlineStr">
        <is>
          <t>991000009089702656</t>
        </is>
      </c>
      <c r="AX1059" t="inlineStr">
        <is>
          <t>991000009089702656</t>
        </is>
      </c>
      <c r="AY1059" t="inlineStr">
        <is>
          <t>2269337620002656</t>
        </is>
      </c>
      <c r="AZ1059" t="inlineStr">
        <is>
          <t>BOOK</t>
        </is>
      </c>
      <c r="BB1059" t="inlineStr">
        <is>
          <t>9780127230016</t>
        </is>
      </c>
      <c r="BC1059" t="inlineStr">
        <is>
          <t>32285001641751</t>
        </is>
      </c>
      <c r="BD1059" t="inlineStr">
        <is>
          <t>893802407</t>
        </is>
      </c>
    </row>
    <row r="1060">
      <c r="A1060" t="inlineStr">
        <is>
          <t>No</t>
        </is>
      </c>
      <c r="B1060" t="inlineStr">
        <is>
          <t>QH505 .V643 1982</t>
        </is>
      </c>
      <c r="C1060" t="inlineStr">
        <is>
          <t>0                      QH 0505000V  643         1982</t>
        </is>
      </c>
      <c r="D1060" t="inlineStr">
        <is>
          <t>Physics and biology / M.V. Volkenstein ; translated from Russian by the author.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Volʹkenshteĭn, M. V. (Mikhail Vladimirovich), 1912-1992.</t>
        </is>
      </c>
      <c r="L1060" t="inlineStr">
        <is>
          <t>New York : Academic Press, 1982.</t>
        </is>
      </c>
      <c r="M1060" t="inlineStr">
        <is>
          <t>1982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QH </t>
        </is>
      </c>
      <c r="S1060" t="n">
        <v>4</v>
      </c>
      <c r="T1060" t="n">
        <v>4</v>
      </c>
      <c r="U1060" t="inlineStr">
        <is>
          <t>1995-09-20</t>
        </is>
      </c>
      <c r="V1060" t="inlineStr">
        <is>
          <t>1995-09-20</t>
        </is>
      </c>
      <c r="W1060" t="inlineStr">
        <is>
          <t>1993-04-27</t>
        </is>
      </c>
      <c r="X1060" t="inlineStr">
        <is>
          <t>1993-04-27</t>
        </is>
      </c>
      <c r="Y1060" t="n">
        <v>315</v>
      </c>
      <c r="Z1060" t="n">
        <v>236</v>
      </c>
      <c r="AA1060" t="n">
        <v>280</v>
      </c>
      <c r="AB1060" t="n">
        <v>1</v>
      </c>
      <c r="AC1060" t="n">
        <v>2</v>
      </c>
      <c r="AD1060" t="n">
        <v>15</v>
      </c>
      <c r="AE1060" t="n">
        <v>19</v>
      </c>
      <c r="AF1060" t="n">
        <v>8</v>
      </c>
      <c r="AG1060" t="n">
        <v>10</v>
      </c>
      <c r="AH1060" t="n">
        <v>5</v>
      </c>
      <c r="AI1060" t="n">
        <v>7</v>
      </c>
      <c r="AJ1060" t="n">
        <v>8</v>
      </c>
      <c r="AK1060" t="n">
        <v>8</v>
      </c>
      <c r="AL1060" t="n">
        <v>0</v>
      </c>
      <c r="AM1060" t="n">
        <v>1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HYPERLINK("http://catalog.hathitrust.org/Record/009494288","HathiTrust Record")</f>
        <v/>
      </c>
      <c r="AS1060">
        <f>HYPERLINK("https://creighton-primo.hosted.exlibrisgroup.com/primo-explore/search?tab=default_tab&amp;search_scope=EVERYTHING&amp;vid=01CRU&amp;lang=en_US&amp;offset=0&amp;query=any,contains,991000009029702656","Catalog Record")</f>
        <v/>
      </c>
      <c r="AT1060">
        <f>HYPERLINK("http://www.worldcat.org/oclc/8533196","WorldCat Record")</f>
        <v/>
      </c>
      <c r="AU1060" t="inlineStr">
        <is>
          <t>409932:eng</t>
        </is>
      </c>
      <c r="AV1060" t="inlineStr">
        <is>
          <t>8533196</t>
        </is>
      </c>
      <c r="AW1060" t="inlineStr">
        <is>
          <t>991000009029702656</t>
        </is>
      </c>
      <c r="AX1060" t="inlineStr">
        <is>
          <t>991000009029702656</t>
        </is>
      </c>
      <c r="AY1060" t="inlineStr">
        <is>
          <t>2269479700002656</t>
        </is>
      </c>
      <c r="AZ1060" t="inlineStr">
        <is>
          <t>BOOK</t>
        </is>
      </c>
      <c r="BB1060" t="inlineStr">
        <is>
          <t>9780127231402</t>
        </is>
      </c>
      <c r="BC1060" t="inlineStr">
        <is>
          <t>32285001641777</t>
        </is>
      </c>
      <c r="BD1060" t="inlineStr">
        <is>
          <t>893613793</t>
        </is>
      </c>
    </row>
    <row r="1061">
      <c r="A1061" t="inlineStr">
        <is>
          <t>No</t>
        </is>
      </c>
      <c r="B1061" t="inlineStr">
        <is>
          <t>QH505 .Y43 1992</t>
        </is>
      </c>
      <c r="C1061" t="inlineStr">
        <is>
          <t>0                      QH 0505000Y  43          1992</t>
        </is>
      </c>
      <c r="D1061" t="inlineStr">
        <is>
          <t>Basic biophysics for biology / Edward K. Yeargers.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Yeargers, Edward K.</t>
        </is>
      </c>
      <c r="L1061" t="inlineStr">
        <is>
          <t>Boca Raton : CRC Press, c1992.</t>
        </is>
      </c>
      <c r="M1061" t="inlineStr">
        <is>
          <t>1992</t>
        </is>
      </c>
      <c r="O1061" t="inlineStr">
        <is>
          <t>eng</t>
        </is>
      </c>
      <c r="P1061" t="inlineStr">
        <is>
          <t>flu</t>
        </is>
      </c>
      <c r="R1061" t="inlineStr">
        <is>
          <t xml:space="preserve">QH </t>
        </is>
      </c>
      <c r="S1061" t="n">
        <v>9</v>
      </c>
      <c r="T1061" t="n">
        <v>9</v>
      </c>
      <c r="U1061" t="inlineStr">
        <is>
          <t>1995-09-20</t>
        </is>
      </c>
      <c r="V1061" t="inlineStr">
        <is>
          <t>1995-09-20</t>
        </is>
      </c>
      <c r="W1061" t="inlineStr">
        <is>
          <t>1992-11-02</t>
        </is>
      </c>
      <c r="X1061" t="inlineStr">
        <is>
          <t>1992-11-02</t>
        </is>
      </c>
      <c r="Y1061" t="n">
        <v>448</v>
      </c>
      <c r="Z1061" t="n">
        <v>373</v>
      </c>
      <c r="AA1061" t="n">
        <v>410</v>
      </c>
      <c r="AB1061" t="n">
        <v>1</v>
      </c>
      <c r="AC1061" t="n">
        <v>1</v>
      </c>
      <c r="AD1061" t="n">
        <v>19</v>
      </c>
      <c r="AE1061" t="n">
        <v>19</v>
      </c>
      <c r="AF1061" t="n">
        <v>7</v>
      </c>
      <c r="AG1061" t="n">
        <v>7</v>
      </c>
      <c r="AH1061" t="n">
        <v>6</v>
      </c>
      <c r="AI1061" t="n">
        <v>6</v>
      </c>
      <c r="AJ1061" t="n">
        <v>12</v>
      </c>
      <c r="AK1061" t="n">
        <v>12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HYPERLINK("http://catalog.hathitrust.org/Record/002611913","HathiTrust Record")</f>
        <v/>
      </c>
      <c r="AS1061">
        <f>HYPERLINK("https://creighton-primo.hosted.exlibrisgroup.com/primo-explore/search?tab=default_tab&amp;search_scope=EVERYTHING&amp;vid=01CRU&amp;lang=en_US&amp;offset=0&amp;query=any,contains,991001999569702656","Catalog Record")</f>
        <v/>
      </c>
      <c r="AT1061">
        <f>HYPERLINK("http://www.worldcat.org/oclc/25410343","WorldCat Record")</f>
        <v/>
      </c>
      <c r="AU1061" t="inlineStr">
        <is>
          <t>27848421:eng</t>
        </is>
      </c>
      <c r="AV1061" t="inlineStr">
        <is>
          <t>25410343</t>
        </is>
      </c>
      <c r="AW1061" t="inlineStr">
        <is>
          <t>991001999569702656</t>
        </is>
      </c>
      <c r="AX1061" t="inlineStr">
        <is>
          <t>991001999569702656</t>
        </is>
      </c>
      <c r="AY1061" t="inlineStr">
        <is>
          <t>2255129870002656</t>
        </is>
      </c>
      <c r="AZ1061" t="inlineStr">
        <is>
          <t>BOOK</t>
        </is>
      </c>
      <c r="BB1061" t="inlineStr">
        <is>
          <t>9780849344244</t>
        </is>
      </c>
      <c r="BC1061" t="inlineStr">
        <is>
          <t>32285001360634</t>
        </is>
      </c>
      <c r="BD1061" t="inlineStr">
        <is>
          <t>893715931</t>
        </is>
      </c>
    </row>
    <row r="1062">
      <c r="A1062" t="inlineStr">
        <is>
          <t>No</t>
        </is>
      </c>
      <c r="B1062" t="inlineStr">
        <is>
          <t>QH506 .B543 1991</t>
        </is>
      </c>
      <c r="C1062" t="inlineStr">
        <is>
          <t>0                      QH 0506000B  543         1991</t>
        </is>
      </c>
      <c r="D1062" t="inlineStr">
        <is>
          <t>Biological kinetics / edited by Lee A. Segel.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Cambridge [England] ; New York : Cambridge University Press, 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enk</t>
        </is>
      </c>
      <c r="Q1062" t="inlineStr">
        <is>
          <t>Cambridge studies in mathematical biology ; 12</t>
        </is>
      </c>
      <c r="R1062" t="inlineStr">
        <is>
          <t xml:space="preserve">QH </t>
        </is>
      </c>
      <c r="S1062" t="n">
        <v>1</v>
      </c>
      <c r="T1062" t="n">
        <v>1</v>
      </c>
      <c r="U1062" t="inlineStr">
        <is>
          <t>2000-10-25</t>
        </is>
      </c>
      <c r="V1062" t="inlineStr">
        <is>
          <t>2000-10-25</t>
        </is>
      </c>
      <c r="W1062" t="inlineStr">
        <is>
          <t>1995-09-27</t>
        </is>
      </c>
      <c r="X1062" t="inlineStr">
        <is>
          <t>1995-09-27</t>
        </is>
      </c>
      <c r="Y1062" t="n">
        <v>233</v>
      </c>
      <c r="Z1062" t="n">
        <v>158</v>
      </c>
      <c r="AA1062" t="n">
        <v>159</v>
      </c>
      <c r="AB1062" t="n">
        <v>3</v>
      </c>
      <c r="AC1062" t="n">
        <v>3</v>
      </c>
      <c r="AD1062" t="n">
        <v>6</v>
      </c>
      <c r="AE1062" t="n">
        <v>6</v>
      </c>
      <c r="AF1062" t="n">
        <v>1</v>
      </c>
      <c r="AG1062" t="n">
        <v>1</v>
      </c>
      <c r="AH1062" t="n">
        <v>2</v>
      </c>
      <c r="AI1062" t="n">
        <v>2</v>
      </c>
      <c r="AJ1062" t="n">
        <v>3</v>
      </c>
      <c r="AK1062" t="n">
        <v>3</v>
      </c>
      <c r="AL1062" t="n">
        <v>2</v>
      </c>
      <c r="AM1062" t="n">
        <v>2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HYPERLINK("https://creighton-primo.hosted.exlibrisgroup.com/primo-explore/search?tab=default_tab&amp;search_scope=EVERYTHING&amp;vid=01CRU&amp;lang=en_US&amp;offset=0&amp;query=any,contains,991001750929702656","Catalog Record")</f>
        <v/>
      </c>
      <c r="AT1062">
        <f>HYPERLINK("http://www.worldcat.org/oclc/22181405","WorldCat Record")</f>
        <v/>
      </c>
      <c r="AU1062" t="inlineStr">
        <is>
          <t>23558372:eng</t>
        </is>
      </c>
      <c r="AV1062" t="inlineStr">
        <is>
          <t>22181405</t>
        </is>
      </c>
      <c r="AW1062" t="inlineStr">
        <is>
          <t>991001750929702656</t>
        </is>
      </c>
      <c r="AX1062" t="inlineStr">
        <is>
          <t>991001750929702656</t>
        </is>
      </c>
      <c r="AY1062" t="inlineStr">
        <is>
          <t>2257960550002656</t>
        </is>
      </c>
      <c r="AZ1062" t="inlineStr">
        <is>
          <t>BOOK</t>
        </is>
      </c>
      <c r="BB1062" t="inlineStr">
        <is>
          <t>9780521391849</t>
        </is>
      </c>
      <c r="BC1062" t="inlineStr">
        <is>
          <t>32285002094638</t>
        </is>
      </c>
      <c r="BD1062" t="inlineStr">
        <is>
          <t>893684613</t>
        </is>
      </c>
    </row>
    <row r="1063">
      <c r="A1063" t="inlineStr">
        <is>
          <t>No</t>
        </is>
      </c>
      <c r="B1063" t="inlineStr">
        <is>
          <t>QH506 .B55</t>
        </is>
      </c>
      <c r="C1063" t="inlineStr">
        <is>
          <t>0                      QH 0506000B  55</t>
        </is>
      </c>
      <c r="D1063" t="inlineStr">
        <is>
          <t>Biology and the physical sciences / edited by Samuel Devons.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Columbia University Press, 1969.</t>
        </is>
      </c>
      <c r="M1063" t="inlineStr">
        <is>
          <t>1969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QH </t>
        </is>
      </c>
      <c r="S1063" t="n">
        <v>2</v>
      </c>
      <c r="T1063" t="n">
        <v>2</v>
      </c>
      <c r="U1063" t="inlineStr">
        <is>
          <t>1995-09-21</t>
        </is>
      </c>
      <c r="V1063" t="inlineStr">
        <is>
          <t>1995-09-21</t>
        </is>
      </c>
      <c r="W1063" t="inlineStr">
        <is>
          <t>1994-10-28</t>
        </is>
      </c>
      <c r="X1063" t="inlineStr">
        <is>
          <t>1994-10-28</t>
        </is>
      </c>
      <c r="Y1063" t="n">
        <v>423</v>
      </c>
      <c r="Z1063" t="n">
        <v>340</v>
      </c>
      <c r="AA1063" t="n">
        <v>345</v>
      </c>
      <c r="AB1063" t="n">
        <v>4</v>
      </c>
      <c r="AC1063" t="n">
        <v>4</v>
      </c>
      <c r="AD1063" t="n">
        <v>12</v>
      </c>
      <c r="AE1063" t="n">
        <v>12</v>
      </c>
      <c r="AF1063" t="n">
        <v>2</v>
      </c>
      <c r="AG1063" t="n">
        <v>2</v>
      </c>
      <c r="AH1063" t="n">
        <v>2</v>
      </c>
      <c r="AI1063" t="n">
        <v>2</v>
      </c>
      <c r="AJ1063" t="n">
        <v>7</v>
      </c>
      <c r="AK1063" t="n">
        <v>7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HYPERLINK("https://creighton-primo.hosted.exlibrisgroup.com/primo-explore/search?tab=default_tab&amp;search_scope=EVERYTHING&amp;vid=01CRU&amp;lang=en_US&amp;offset=0&amp;query=any,contains,991000030279702656","Catalog Record")</f>
        <v/>
      </c>
      <c r="AT1063">
        <f>HYPERLINK("http://www.worldcat.org/oclc/19324","WorldCat Record")</f>
        <v/>
      </c>
      <c r="AU1063" t="inlineStr">
        <is>
          <t>1141790:eng</t>
        </is>
      </c>
      <c r="AV1063" t="inlineStr">
        <is>
          <t>19324</t>
        </is>
      </c>
      <c r="AW1063" t="inlineStr">
        <is>
          <t>991000030279702656</t>
        </is>
      </c>
      <c r="AX1063" t="inlineStr">
        <is>
          <t>991000030279702656</t>
        </is>
      </c>
      <c r="AY1063" t="inlineStr">
        <is>
          <t>2271878270002656</t>
        </is>
      </c>
      <c r="AZ1063" t="inlineStr">
        <is>
          <t>BOOK</t>
        </is>
      </c>
      <c r="BC1063" t="inlineStr">
        <is>
          <t>32285001963452</t>
        </is>
      </c>
      <c r="BD1063" t="inlineStr">
        <is>
          <t>893345314</t>
        </is>
      </c>
    </row>
    <row r="1064">
      <c r="A1064" t="inlineStr">
        <is>
          <t>No</t>
        </is>
      </c>
      <c r="B1064" t="inlineStr">
        <is>
          <t>QH506 .E87 1993</t>
        </is>
      </c>
      <c r="C1064" t="inlineStr">
        <is>
          <t>0                      QH 0506000E  87          1993</t>
        </is>
      </c>
      <c r="D1064" t="inlineStr">
        <is>
          <t>Essentials of molecular biology / David Freifelder ; edited by George M. Malacinski.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Yes</t>
        </is>
      </c>
      <c r="J1064" t="inlineStr">
        <is>
          <t>0</t>
        </is>
      </c>
      <c r="K1064" t="inlineStr">
        <is>
          <t>Freifelder, David, 1935-</t>
        </is>
      </c>
      <c r="L1064" t="inlineStr">
        <is>
          <t>Boston : Jones and Bartlett Publishers, c1993.</t>
        </is>
      </c>
      <c r="M1064" t="inlineStr">
        <is>
          <t>1993</t>
        </is>
      </c>
      <c r="N1064" t="inlineStr">
        <is>
          <t>2nd ed.</t>
        </is>
      </c>
      <c r="O1064" t="inlineStr">
        <is>
          <t>eng</t>
        </is>
      </c>
      <c r="P1064" t="inlineStr">
        <is>
          <t>mau</t>
        </is>
      </c>
      <c r="Q1064" t="inlineStr">
        <is>
          <t>The Jones and Bartlett series in biology</t>
        </is>
      </c>
      <c r="R1064" t="inlineStr">
        <is>
          <t xml:space="preserve">QH </t>
        </is>
      </c>
      <c r="S1064" t="n">
        <v>27</v>
      </c>
      <c r="T1064" t="n">
        <v>27</v>
      </c>
      <c r="U1064" t="inlineStr">
        <is>
          <t>2007-09-23</t>
        </is>
      </c>
      <c r="V1064" t="inlineStr">
        <is>
          <t>2007-09-23</t>
        </is>
      </c>
      <c r="W1064" t="inlineStr">
        <is>
          <t>1992-10-13</t>
        </is>
      </c>
      <c r="X1064" t="inlineStr">
        <is>
          <t>1992-10-13</t>
        </is>
      </c>
      <c r="Y1064" t="n">
        <v>239</v>
      </c>
      <c r="Z1064" t="n">
        <v>158</v>
      </c>
      <c r="AA1064" t="n">
        <v>1246</v>
      </c>
      <c r="AB1064" t="n">
        <v>2</v>
      </c>
      <c r="AC1064" t="n">
        <v>7</v>
      </c>
      <c r="AD1064" t="n">
        <v>6</v>
      </c>
      <c r="AE1064" t="n">
        <v>28</v>
      </c>
      <c r="AF1064" t="n">
        <v>2</v>
      </c>
      <c r="AG1064" t="n">
        <v>14</v>
      </c>
      <c r="AH1064" t="n">
        <v>3</v>
      </c>
      <c r="AI1064" t="n">
        <v>8</v>
      </c>
      <c r="AJ1064" t="n">
        <v>2</v>
      </c>
      <c r="AK1064" t="n">
        <v>10</v>
      </c>
      <c r="AL1064" t="n">
        <v>1</v>
      </c>
      <c r="AM1064" t="n">
        <v>6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HYPERLINK("http://catalog.hathitrust.org/Record/007972762","HathiTrust Record")</f>
        <v/>
      </c>
      <c r="AS1064">
        <f>HYPERLINK("https://creighton-primo.hosted.exlibrisgroup.com/primo-explore/search?tab=default_tab&amp;search_scope=EVERYTHING&amp;vid=01CRU&amp;lang=en_US&amp;offset=0&amp;query=any,contains,991001976689702656","Catalog Record")</f>
        <v/>
      </c>
      <c r="AT1064">
        <f>HYPERLINK("http://www.worldcat.org/oclc/25050704","WorldCat Record")</f>
        <v/>
      </c>
      <c r="AU1064" t="inlineStr">
        <is>
          <t>34571420:eng</t>
        </is>
      </c>
      <c r="AV1064" t="inlineStr">
        <is>
          <t>25050704</t>
        </is>
      </c>
      <c r="AW1064" t="inlineStr">
        <is>
          <t>991001976689702656</t>
        </is>
      </c>
      <c r="AX1064" t="inlineStr">
        <is>
          <t>991001976689702656</t>
        </is>
      </c>
      <c r="AY1064" t="inlineStr">
        <is>
          <t>2268992600002656</t>
        </is>
      </c>
      <c r="AZ1064" t="inlineStr">
        <is>
          <t>BOOK</t>
        </is>
      </c>
      <c r="BB1064" t="inlineStr">
        <is>
          <t>9780867201376</t>
        </is>
      </c>
      <c r="BC1064" t="inlineStr">
        <is>
          <t>32285001317337</t>
        </is>
      </c>
      <c r="BD1064" t="inlineStr">
        <is>
          <t>893503876</t>
        </is>
      </c>
    </row>
    <row r="1065">
      <c r="A1065" t="inlineStr">
        <is>
          <t>No</t>
        </is>
      </c>
      <c r="B1065" t="inlineStr">
        <is>
          <t>QH506 .F545 2004</t>
        </is>
      </c>
      <c r="C1065" t="inlineStr">
        <is>
          <t>0                      QH 0506000F  545         2004</t>
        </is>
      </c>
      <c r="D1065" t="inlineStr">
        <is>
          <t>Vital harmonies : molecular biology and our shared humanity / Erwin Fleissner.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Fleissner, Erwin.</t>
        </is>
      </c>
      <c r="L1065" t="inlineStr">
        <is>
          <t>New York : Columbia University Press, c2004.</t>
        </is>
      </c>
      <c r="M1065" t="inlineStr">
        <is>
          <t>2004</t>
        </is>
      </c>
      <c r="O1065" t="inlineStr">
        <is>
          <t>eng</t>
        </is>
      </c>
      <c r="P1065" t="inlineStr">
        <is>
          <t>nyu</t>
        </is>
      </c>
      <c r="R1065" t="inlineStr">
        <is>
          <t xml:space="preserve">QH </t>
        </is>
      </c>
      <c r="S1065" t="n">
        <v>1</v>
      </c>
      <c r="T1065" t="n">
        <v>1</v>
      </c>
      <c r="U1065" t="inlineStr">
        <is>
          <t>2005-09-06</t>
        </is>
      </c>
      <c r="V1065" t="inlineStr">
        <is>
          <t>2005-09-06</t>
        </is>
      </c>
      <c r="W1065" t="inlineStr">
        <is>
          <t>2005-09-06</t>
        </is>
      </c>
      <c r="X1065" t="inlineStr">
        <is>
          <t>2005-09-06</t>
        </is>
      </c>
      <c r="Y1065" t="n">
        <v>364</v>
      </c>
      <c r="Z1065" t="n">
        <v>310</v>
      </c>
      <c r="AA1065" t="n">
        <v>329</v>
      </c>
      <c r="AB1065" t="n">
        <v>3</v>
      </c>
      <c r="AC1065" t="n">
        <v>3</v>
      </c>
      <c r="AD1065" t="n">
        <v>15</v>
      </c>
      <c r="AE1065" t="n">
        <v>15</v>
      </c>
      <c r="AF1065" t="n">
        <v>3</v>
      </c>
      <c r="AG1065" t="n">
        <v>3</v>
      </c>
      <c r="AH1065" t="n">
        <v>4</v>
      </c>
      <c r="AI1065" t="n">
        <v>4</v>
      </c>
      <c r="AJ1065" t="n">
        <v>10</v>
      </c>
      <c r="AK1065" t="n">
        <v>10</v>
      </c>
      <c r="AL1065" t="n">
        <v>2</v>
      </c>
      <c r="AM1065" t="n">
        <v>2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HYPERLINK("https://creighton-primo.hosted.exlibrisgroup.com/primo-explore/search?tab=default_tab&amp;search_scope=EVERYTHING&amp;vid=01CRU&amp;lang=en_US&amp;offset=0&amp;query=any,contains,991004627609702656","Catalog Record")</f>
        <v/>
      </c>
      <c r="AT1065">
        <f>HYPERLINK("http://www.worldcat.org/oclc/54007128","WorldCat Record")</f>
        <v/>
      </c>
      <c r="AU1065" t="inlineStr">
        <is>
          <t>28912:eng</t>
        </is>
      </c>
      <c r="AV1065" t="inlineStr">
        <is>
          <t>54007128</t>
        </is>
      </c>
      <c r="AW1065" t="inlineStr">
        <is>
          <t>991004627609702656</t>
        </is>
      </c>
      <c r="AX1065" t="inlineStr">
        <is>
          <t>991004627609702656</t>
        </is>
      </c>
      <c r="AY1065" t="inlineStr">
        <is>
          <t>2269739440002656</t>
        </is>
      </c>
      <c r="AZ1065" t="inlineStr">
        <is>
          <t>BOOK</t>
        </is>
      </c>
      <c r="BB1065" t="inlineStr">
        <is>
          <t>9780231131124</t>
        </is>
      </c>
      <c r="BC1065" t="inlineStr">
        <is>
          <t>32285005083133</t>
        </is>
      </c>
      <c r="BD1065" t="inlineStr">
        <is>
          <t>893628268</t>
        </is>
      </c>
    </row>
    <row r="1066">
      <c r="A1066" t="inlineStr">
        <is>
          <t>No</t>
        </is>
      </c>
      <c r="B1066" t="inlineStr">
        <is>
          <t>QH506 .F55 1975</t>
        </is>
      </c>
      <c r="C1066" t="inlineStr">
        <is>
          <t>0                      QH 0506000F  55          1975</t>
        </is>
      </c>
      <c r="D1066" t="inlineStr">
        <is>
          <t>Chromosomal proteins and their role in the regulation of gene expression : proceedings of the Florida Colloquium on Molecular Biology, March 13-14, 1975 / sponsored by the Department of Biochemistry, University of Florida, Gainesville,Florida ; colloquium organizing committee, Gary S. Stein ... [et al.] ; edited by Gary S. Stein, Lewis J. Kleinsmith.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Florida Colloquium on Molecular Biology (1975 : Gainesville, Fla.)</t>
        </is>
      </c>
      <c r="L1066" t="inlineStr">
        <is>
          <t>New York : Academic Press, 1975.</t>
        </is>
      </c>
      <c r="M1066" t="inlineStr">
        <is>
          <t>1975</t>
        </is>
      </c>
      <c r="O1066" t="inlineStr">
        <is>
          <t>eng</t>
        </is>
      </c>
      <c r="P1066" t="inlineStr">
        <is>
          <t>nyu</t>
        </is>
      </c>
      <c r="R1066" t="inlineStr">
        <is>
          <t xml:space="preserve">QH </t>
        </is>
      </c>
      <c r="S1066" t="n">
        <v>1</v>
      </c>
      <c r="T1066" t="n">
        <v>1</v>
      </c>
      <c r="U1066" t="inlineStr">
        <is>
          <t>2008-09-27</t>
        </is>
      </c>
      <c r="V1066" t="inlineStr">
        <is>
          <t>2008-09-27</t>
        </is>
      </c>
      <c r="W1066" t="inlineStr">
        <is>
          <t>1997-07-02</t>
        </is>
      </c>
      <c r="X1066" t="inlineStr">
        <is>
          <t>1997-07-02</t>
        </is>
      </c>
      <c r="Y1066" t="n">
        <v>350</v>
      </c>
      <c r="Z1066" t="n">
        <v>260</v>
      </c>
      <c r="AA1066" t="n">
        <v>302</v>
      </c>
      <c r="AB1066" t="n">
        <v>4</v>
      </c>
      <c r="AC1066" t="n">
        <v>4</v>
      </c>
      <c r="AD1066" t="n">
        <v>10</v>
      </c>
      <c r="AE1066" t="n">
        <v>13</v>
      </c>
      <c r="AF1066" t="n">
        <v>1</v>
      </c>
      <c r="AG1066" t="n">
        <v>3</v>
      </c>
      <c r="AH1066" t="n">
        <v>3</v>
      </c>
      <c r="AI1066" t="n">
        <v>5</v>
      </c>
      <c r="AJ1066" t="n">
        <v>6</v>
      </c>
      <c r="AK1066" t="n">
        <v>6</v>
      </c>
      <c r="AL1066" t="n">
        <v>3</v>
      </c>
      <c r="AM1066" t="n">
        <v>3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HYPERLINK("http://catalog.hathitrust.org/Record/000018871","HathiTrust Record")</f>
        <v/>
      </c>
      <c r="AS1066">
        <f>HYPERLINK("https://creighton-primo.hosted.exlibrisgroup.com/primo-explore/search?tab=default_tab&amp;search_scope=EVERYTHING&amp;vid=01CRU&amp;lang=en_US&amp;offset=0&amp;query=any,contains,991003806289702656","Catalog Record")</f>
        <v/>
      </c>
      <c r="AT1066">
        <f>HYPERLINK("http://www.worldcat.org/oclc/1530772","WorldCat Record")</f>
        <v/>
      </c>
      <c r="AU1066" t="inlineStr">
        <is>
          <t>509938528:eng</t>
        </is>
      </c>
      <c r="AV1066" t="inlineStr">
        <is>
          <t>1530772</t>
        </is>
      </c>
      <c r="AW1066" t="inlineStr">
        <is>
          <t>991003806289702656</t>
        </is>
      </c>
      <c r="AX1066" t="inlineStr">
        <is>
          <t>991003806289702656</t>
        </is>
      </c>
      <c r="AY1066" t="inlineStr">
        <is>
          <t>2269828950002656</t>
        </is>
      </c>
      <c r="AZ1066" t="inlineStr">
        <is>
          <t>BOOK</t>
        </is>
      </c>
      <c r="BB1066" t="inlineStr">
        <is>
          <t>9780126647501</t>
        </is>
      </c>
      <c r="BC1066" t="inlineStr">
        <is>
          <t>32285002912581</t>
        </is>
      </c>
      <c r="BD1066" t="inlineStr">
        <is>
          <t>893234611</t>
        </is>
      </c>
    </row>
    <row r="1067">
      <c r="A1067" t="inlineStr">
        <is>
          <t>No</t>
        </is>
      </c>
      <c r="B1067" t="inlineStr">
        <is>
          <t>QH506 .F73 1985</t>
        </is>
      </c>
      <c r="C1067" t="inlineStr">
        <is>
          <t>0                      QH 0506000F  73          1985</t>
        </is>
      </c>
      <c r="D1067" t="inlineStr">
        <is>
          <t>Essentials of molecular biology / David Freifelder.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Yes</t>
        </is>
      </c>
      <c r="J1067" t="inlineStr">
        <is>
          <t>0</t>
        </is>
      </c>
      <c r="K1067" t="inlineStr">
        <is>
          <t>Freifelder, David, 1935-</t>
        </is>
      </c>
      <c r="L1067" t="inlineStr">
        <is>
          <t>Boston : Jones and Bartlett Publishers, 1985.</t>
        </is>
      </c>
      <c r="M1067" t="inlineStr">
        <is>
          <t>1985</t>
        </is>
      </c>
      <c r="O1067" t="inlineStr">
        <is>
          <t>eng</t>
        </is>
      </c>
      <c r="P1067" t="inlineStr">
        <is>
          <t>mau</t>
        </is>
      </c>
      <c r="Q1067" t="inlineStr">
        <is>
          <t>The Jones and Bartlett series in biology</t>
        </is>
      </c>
      <c r="R1067" t="inlineStr">
        <is>
          <t xml:space="preserve">QH </t>
        </is>
      </c>
      <c r="S1067" t="n">
        <v>6</v>
      </c>
      <c r="T1067" t="n">
        <v>6</v>
      </c>
      <c r="U1067" t="inlineStr">
        <is>
          <t>2007-09-23</t>
        </is>
      </c>
      <c r="V1067" t="inlineStr">
        <is>
          <t>2007-09-23</t>
        </is>
      </c>
      <c r="W1067" t="inlineStr">
        <is>
          <t>1990-06-29</t>
        </is>
      </c>
      <c r="X1067" t="inlineStr">
        <is>
          <t>1990-06-29</t>
        </is>
      </c>
      <c r="Y1067" t="n">
        <v>259</v>
      </c>
      <c r="Z1067" t="n">
        <v>184</v>
      </c>
      <c r="AA1067" t="n">
        <v>1246</v>
      </c>
      <c r="AB1067" t="n">
        <v>2</v>
      </c>
      <c r="AC1067" t="n">
        <v>7</v>
      </c>
      <c r="AD1067" t="n">
        <v>5</v>
      </c>
      <c r="AE1067" t="n">
        <v>28</v>
      </c>
      <c r="AF1067" t="n">
        <v>2</v>
      </c>
      <c r="AG1067" t="n">
        <v>14</v>
      </c>
      <c r="AH1067" t="n">
        <v>2</v>
      </c>
      <c r="AI1067" t="n">
        <v>8</v>
      </c>
      <c r="AJ1067" t="n">
        <v>1</v>
      </c>
      <c r="AK1067" t="n">
        <v>10</v>
      </c>
      <c r="AL1067" t="n">
        <v>1</v>
      </c>
      <c r="AM1067" t="n">
        <v>6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HYPERLINK("https://creighton-primo.hosted.exlibrisgroup.com/primo-explore/search?tab=default_tab&amp;search_scope=EVERYTHING&amp;vid=01CRU&amp;lang=en_US&amp;offset=0&amp;query=any,contains,991000565509702656","Catalog Record")</f>
        <v/>
      </c>
      <c r="AT1067">
        <f>HYPERLINK("http://www.worldcat.org/oclc/11621796","WorldCat Record")</f>
        <v/>
      </c>
      <c r="AU1067" t="inlineStr">
        <is>
          <t>34571420:eng</t>
        </is>
      </c>
      <c r="AV1067" t="inlineStr">
        <is>
          <t>11621796</t>
        </is>
      </c>
      <c r="AW1067" t="inlineStr">
        <is>
          <t>991000565509702656</t>
        </is>
      </c>
      <c r="AX1067" t="inlineStr">
        <is>
          <t>991000565509702656</t>
        </is>
      </c>
      <c r="AY1067" t="inlineStr">
        <is>
          <t>2263425320002656</t>
        </is>
      </c>
      <c r="AZ1067" t="inlineStr">
        <is>
          <t>BOOK</t>
        </is>
      </c>
      <c r="BB1067" t="inlineStr">
        <is>
          <t>9780867200515</t>
        </is>
      </c>
      <c r="BC1067" t="inlineStr">
        <is>
          <t>32285000217488</t>
        </is>
      </c>
      <c r="BD1067" t="inlineStr">
        <is>
          <t>893243382</t>
        </is>
      </c>
    </row>
    <row r="1068">
      <c r="A1068" t="inlineStr">
        <is>
          <t>No</t>
        </is>
      </c>
      <c r="B1068" t="inlineStr">
        <is>
          <t>QH506 .F734 1983b</t>
        </is>
      </c>
      <c r="C1068" t="inlineStr">
        <is>
          <t>0                      QH 0506000F  734         1983b</t>
        </is>
      </c>
      <c r="D1068" t="inlineStr">
        <is>
          <t>Problems for Molecular biology : with answers and solutions / David Freifelder.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Freifelder, David, 1935-</t>
        </is>
      </c>
      <c r="L1068" t="inlineStr">
        <is>
          <t>Boston : Jones and Bartlett Publishers, c1983.</t>
        </is>
      </c>
      <c r="M1068" t="inlineStr">
        <is>
          <t>1983</t>
        </is>
      </c>
      <c r="O1068" t="inlineStr">
        <is>
          <t>eng</t>
        </is>
      </c>
      <c r="P1068" t="inlineStr">
        <is>
          <t>mau</t>
        </is>
      </c>
      <c r="R1068" t="inlineStr">
        <is>
          <t xml:space="preserve">QH </t>
        </is>
      </c>
      <c r="S1068" t="n">
        <v>6</v>
      </c>
      <c r="T1068" t="n">
        <v>6</v>
      </c>
      <c r="U1068" t="inlineStr">
        <is>
          <t>1993-07-14</t>
        </is>
      </c>
      <c r="V1068" t="inlineStr">
        <is>
          <t>1993-07-14</t>
        </is>
      </c>
      <c r="W1068" t="inlineStr">
        <is>
          <t>1991-01-07</t>
        </is>
      </c>
      <c r="X1068" t="inlineStr">
        <is>
          <t>1991-01-07</t>
        </is>
      </c>
      <c r="Y1068" t="n">
        <v>101</v>
      </c>
      <c r="Z1068" t="n">
        <v>67</v>
      </c>
      <c r="AA1068" t="n">
        <v>125</v>
      </c>
      <c r="AB1068" t="n">
        <v>1</v>
      </c>
      <c r="AC1068" t="n">
        <v>1</v>
      </c>
      <c r="AD1068" t="n">
        <v>4</v>
      </c>
      <c r="AE1068" t="n">
        <v>5</v>
      </c>
      <c r="AF1068" t="n">
        <v>3</v>
      </c>
      <c r="AG1068" t="n">
        <v>3</v>
      </c>
      <c r="AH1068" t="n">
        <v>0</v>
      </c>
      <c r="AI1068" t="n">
        <v>0</v>
      </c>
      <c r="AJ1068" t="n">
        <v>3</v>
      </c>
      <c r="AK1068" t="n">
        <v>4</v>
      </c>
      <c r="AL1068" t="n">
        <v>0</v>
      </c>
      <c r="AM1068" t="n">
        <v>0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HYPERLINK("https://creighton-primo.hosted.exlibrisgroup.com/primo-explore/search?tab=default_tab&amp;search_scope=EVERYTHING&amp;vid=01CRU&amp;lang=en_US&amp;offset=0&amp;query=any,contains,991000243809702656","Catalog Record")</f>
        <v/>
      </c>
      <c r="AT1068">
        <f>HYPERLINK("http://www.worldcat.org/oclc/9686829","WorldCat Record")</f>
        <v/>
      </c>
      <c r="AU1068" t="inlineStr">
        <is>
          <t>889433588:eng</t>
        </is>
      </c>
      <c r="AV1068" t="inlineStr">
        <is>
          <t>9686829</t>
        </is>
      </c>
      <c r="AW1068" t="inlineStr">
        <is>
          <t>991000243809702656</t>
        </is>
      </c>
      <c r="AX1068" t="inlineStr">
        <is>
          <t>991000243809702656</t>
        </is>
      </c>
      <c r="AY1068" t="inlineStr">
        <is>
          <t>2263782800002656</t>
        </is>
      </c>
      <c r="AZ1068" t="inlineStr">
        <is>
          <t>BOOK</t>
        </is>
      </c>
      <c r="BB1068" t="inlineStr">
        <is>
          <t>9780867200133</t>
        </is>
      </c>
      <c r="BC1068" t="inlineStr">
        <is>
          <t>32285000427376</t>
        </is>
      </c>
      <c r="BD1068" t="inlineStr">
        <is>
          <t>893790365</t>
        </is>
      </c>
    </row>
    <row r="1069">
      <c r="A1069" t="inlineStr">
        <is>
          <t>No</t>
        </is>
      </c>
      <c r="B1069" t="inlineStr">
        <is>
          <t>QH506 .F753 1997</t>
        </is>
      </c>
      <c r="C1069" t="inlineStr">
        <is>
          <t>0                      QH 0506000F  753         1997</t>
        </is>
      </c>
      <c r="D1069" t="inlineStr">
        <is>
          <t>From genes to cells / Stephen R. Bolsover ... [et al.].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Wiley-Liss, 1997.</t>
        </is>
      </c>
      <c r="M1069" t="inlineStr">
        <is>
          <t>1997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QH </t>
        </is>
      </c>
      <c r="S1069" t="n">
        <v>11</v>
      </c>
      <c r="T1069" t="n">
        <v>11</v>
      </c>
      <c r="U1069" t="inlineStr">
        <is>
          <t>2004-01-15</t>
        </is>
      </c>
      <c r="V1069" t="inlineStr">
        <is>
          <t>2004-01-15</t>
        </is>
      </c>
      <c r="W1069" t="inlineStr">
        <is>
          <t>1997-09-18</t>
        </is>
      </c>
      <c r="X1069" t="inlineStr">
        <is>
          <t>1997-09-18</t>
        </is>
      </c>
      <c r="Y1069" t="n">
        <v>431</v>
      </c>
      <c r="Z1069" t="n">
        <v>290</v>
      </c>
      <c r="AA1069" t="n">
        <v>1016</v>
      </c>
      <c r="AB1069" t="n">
        <v>4</v>
      </c>
      <c r="AC1069" t="n">
        <v>5</v>
      </c>
      <c r="AD1069" t="n">
        <v>6</v>
      </c>
      <c r="AE1069" t="n">
        <v>20</v>
      </c>
      <c r="AF1069" t="n">
        <v>2</v>
      </c>
      <c r="AG1069" t="n">
        <v>10</v>
      </c>
      <c r="AH1069" t="n">
        <v>1</v>
      </c>
      <c r="AI1069" t="n">
        <v>3</v>
      </c>
      <c r="AJ1069" t="n">
        <v>3</v>
      </c>
      <c r="AK1069" t="n">
        <v>10</v>
      </c>
      <c r="AL1069" t="n">
        <v>2</v>
      </c>
      <c r="AM1069" t="n">
        <v>3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HYPERLINK("http://catalog.hathitrust.org/Record/003184459","HathiTrust Record")</f>
        <v/>
      </c>
      <c r="AS1069">
        <f>HYPERLINK("https://creighton-primo.hosted.exlibrisgroup.com/primo-explore/search?tab=default_tab&amp;search_scope=EVERYTHING&amp;vid=01CRU&amp;lang=en_US&amp;offset=0&amp;query=any,contains,991002679849702656","Catalog Record")</f>
        <v/>
      </c>
      <c r="AT1069">
        <f>HYPERLINK("http://www.worldcat.org/oclc/35025870","WorldCat Record")</f>
        <v/>
      </c>
      <c r="AU1069" t="inlineStr">
        <is>
          <t>412682054:eng</t>
        </is>
      </c>
      <c r="AV1069" t="inlineStr">
        <is>
          <t>35025870</t>
        </is>
      </c>
      <c r="AW1069" t="inlineStr">
        <is>
          <t>991002679849702656</t>
        </is>
      </c>
      <c r="AX1069" t="inlineStr">
        <is>
          <t>991002679849702656</t>
        </is>
      </c>
      <c r="AY1069" t="inlineStr">
        <is>
          <t>2265718660002656</t>
        </is>
      </c>
      <c r="AZ1069" t="inlineStr">
        <is>
          <t>BOOK</t>
        </is>
      </c>
      <c r="BB1069" t="inlineStr">
        <is>
          <t>9780471597926</t>
        </is>
      </c>
      <c r="BC1069" t="inlineStr">
        <is>
          <t>32285003176400</t>
        </is>
      </c>
      <c r="BD1069" t="inlineStr">
        <is>
          <t>893773904</t>
        </is>
      </c>
    </row>
    <row r="1070">
      <c r="A1070" t="inlineStr">
        <is>
          <t>No</t>
        </is>
      </c>
      <c r="B1070" t="inlineStr">
        <is>
          <t>QH506 .J3313 1998</t>
        </is>
      </c>
      <c r="C1070" t="inlineStr">
        <is>
          <t>0                      QH 0506000J  3313        1998</t>
        </is>
      </c>
      <c r="D1070" t="inlineStr">
        <is>
          <t>Of flies, mice, and men / François Jacob ; translated by Giselle Weiss.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Jacob, François, 1920-2013.</t>
        </is>
      </c>
      <c r="L1070" t="inlineStr">
        <is>
          <t>Cambridge, MA : Harvard University Press, 1998.</t>
        </is>
      </c>
      <c r="M1070" t="inlineStr">
        <is>
          <t>1998</t>
        </is>
      </c>
      <c r="O1070" t="inlineStr">
        <is>
          <t>eng</t>
        </is>
      </c>
      <c r="P1070" t="inlineStr">
        <is>
          <t>mau</t>
        </is>
      </c>
      <c r="R1070" t="inlineStr">
        <is>
          <t xml:space="preserve">QH </t>
        </is>
      </c>
      <c r="S1070" t="n">
        <v>5</v>
      </c>
      <c r="T1070" t="n">
        <v>5</v>
      </c>
      <c r="U1070" t="inlineStr">
        <is>
          <t>2004-02-10</t>
        </is>
      </c>
      <c r="V1070" t="inlineStr">
        <is>
          <t>2004-02-10</t>
        </is>
      </c>
      <c r="W1070" t="inlineStr">
        <is>
          <t>1999-04-07</t>
        </is>
      </c>
      <c r="X1070" t="inlineStr">
        <is>
          <t>1999-04-07</t>
        </is>
      </c>
      <c r="Y1070" t="n">
        <v>748</v>
      </c>
      <c r="Z1070" t="n">
        <v>657</v>
      </c>
      <c r="AA1070" t="n">
        <v>662</v>
      </c>
      <c r="AB1070" t="n">
        <v>6</v>
      </c>
      <c r="AC1070" t="n">
        <v>6</v>
      </c>
      <c r="AD1070" t="n">
        <v>27</v>
      </c>
      <c r="AE1070" t="n">
        <v>27</v>
      </c>
      <c r="AF1070" t="n">
        <v>7</v>
      </c>
      <c r="AG1070" t="n">
        <v>7</v>
      </c>
      <c r="AH1070" t="n">
        <v>7</v>
      </c>
      <c r="AI1070" t="n">
        <v>7</v>
      </c>
      <c r="AJ1070" t="n">
        <v>15</v>
      </c>
      <c r="AK1070" t="n">
        <v>15</v>
      </c>
      <c r="AL1070" t="n">
        <v>5</v>
      </c>
      <c r="AM1070" t="n">
        <v>5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HYPERLINK("https://creighton-primo.hosted.exlibrisgroup.com/primo-explore/search?tab=default_tab&amp;search_scope=EVERYTHING&amp;vid=01CRU&amp;lang=en_US&amp;offset=0&amp;query=any,contains,991002931559702656","Catalog Record")</f>
        <v/>
      </c>
      <c r="AT1070">
        <f>HYPERLINK("http://www.worldcat.org/oclc/38989637","WorldCat Record")</f>
        <v/>
      </c>
      <c r="AU1070" t="inlineStr">
        <is>
          <t>35314142:eng</t>
        </is>
      </c>
      <c r="AV1070" t="inlineStr">
        <is>
          <t>38989637</t>
        </is>
      </c>
      <c r="AW1070" t="inlineStr">
        <is>
          <t>991002931559702656</t>
        </is>
      </c>
      <c r="AX1070" t="inlineStr">
        <is>
          <t>991002931559702656</t>
        </is>
      </c>
      <c r="AY1070" t="inlineStr">
        <is>
          <t>2262226600002656</t>
        </is>
      </c>
      <c r="AZ1070" t="inlineStr">
        <is>
          <t>BOOK</t>
        </is>
      </c>
      <c r="BB1070" t="inlineStr">
        <is>
          <t>9780674631113</t>
        </is>
      </c>
      <c r="BC1070" t="inlineStr">
        <is>
          <t>32285003549473</t>
        </is>
      </c>
      <c r="BD1070" t="inlineStr">
        <is>
          <t>893257897</t>
        </is>
      </c>
    </row>
    <row r="1071">
      <c r="A1071" t="inlineStr">
        <is>
          <t>No</t>
        </is>
      </c>
      <c r="B1071" t="inlineStr">
        <is>
          <t>QH506 .L4 1967</t>
        </is>
      </c>
      <c r="C1071" t="inlineStr">
        <is>
          <t>0                      QH 0506000L  4           1967</t>
        </is>
      </c>
      <c r="D1071" t="inlineStr">
        <is>
          <t>DNA, at the core of life itself / by Lawrence Lessing and the editors of Fortune. Illustrated by Max Gschwind.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Lessing, Lawrence.</t>
        </is>
      </c>
      <c r="L1071" t="inlineStr">
        <is>
          <t>New York : Macmillan, [1967]</t>
        </is>
      </c>
      <c r="M1071" t="inlineStr">
        <is>
          <t>1967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QH </t>
        </is>
      </c>
      <c r="S1071" t="n">
        <v>8</v>
      </c>
      <c r="T1071" t="n">
        <v>8</v>
      </c>
      <c r="U1071" t="inlineStr">
        <is>
          <t>1996-09-28</t>
        </is>
      </c>
      <c r="V1071" t="inlineStr">
        <is>
          <t>1996-09-28</t>
        </is>
      </c>
      <c r="W1071" t="inlineStr">
        <is>
          <t>1994-02-22</t>
        </is>
      </c>
      <c r="X1071" t="inlineStr">
        <is>
          <t>1994-02-22</t>
        </is>
      </c>
      <c r="Y1071" t="n">
        <v>519</v>
      </c>
      <c r="Z1071" t="n">
        <v>469</v>
      </c>
      <c r="AA1071" t="n">
        <v>477</v>
      </c>
      <c r="AB1071" t="n">
        <v>5</v>
      </c>
      <c r="AC1071" t="n">
        <v>5</v>
      </c>
      <c r="AD1071" t="n">
        <v>11</v>
      </c>
      <c r="AE1071" t="n">
        <v>11</v>
      </c>
      <c r="AF1071" t="n">
        <v>4</v>
      </c>
      <c r="AG1071" t="n">
        <v>4</v>
      </c>
      <c r="AH1071" t="n">
        <v>1</v>
      </c>
      <c r="AI1071" t="n">
        <v>1</v>
      </c>
      <c r="AJ1071" t="n">
        <v>5</v>
      </c>
      <c r="AK1071" t="n">
        <v>5</v>
      </c>
      <c r="AL1071" t="n">
        <v>2</v>
      </c>
      <c r="AM1071" t="n">
        <v>2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HYPERLINK("http://catalog.hathitrust.org/Record/001492600","HathiTrust Record")</f>
        <v/>
      </c>
      <c r="AS1071">
        <f>HYPERLINK("https://creighton-primo.hosted.exlibrisgroup.com/primo-explore/search?tab=default_tab&amp;search_scope=EVERYTHING&amp;vid=01CRU&amp;lang=en_US&amp;offset=0&amp;query=any,contains,991003589729702656","Catalog Record")</f>
        <v/>
      </c>
      <c r="AT1071">
        <f>HYPERLINK("http://www.worldcat.org/oclc/1171903","WorldCat Record")</f>
        <v/>
      </c>
      <c r="AU1071" t="inlineStr">
        <is>
          <t>2113225:eng</t>
        </is>
      </c>
      <c r="AV1071" t="inlineStr">
        <is>
          <t>1171903</t>
        </is>
      </c>
      <c r="AW1071" t="inlineStr">
        <is>
          <t>991003589729702656</t>
        </is>
      </c>
      <c r="AX1071" t="inlineStr">
        <is>
          <t>991003589729702656</t>
        </is>
      </c>
      <c r="AY1071" t="inlineStr">
        <is>
          <t>2267533690002656</t>
        </is>
      </c>
      <c r="AZ1071" t="inlineStr">
        <is>
          <t>BOOK</t>
        </is>
      </c>
      <c r="BC1071" t="inlineStr">
        <is>
          <t>32285001839058</t>
        </is>
      </c>
      <c r="BD1071" t="inlineStr">
        <is>
          <t>893524992</t>
        </is>
      </c>
    </row>
    <row r="1072">
      <c r="A1072" t="inlineStr">
        <is>
          <t>No</t>
        </is>
      </c>
      <c r="B1072" t="inlineStr">
        <is>
          <t>QH506 .L43 1993</t>
        </is>
      </c>
      <c r="C1072" t="inlineStr">
        <is>
          <t>0                      QH 0506000L  43          1993</t>
        </is>
      </c>
      <c r="D1072" t="inlineStr">
        <is>
          <t>The secret of life : redesigning the living world / Joseph Levine and David Suzuki.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Levine, Joseph S.</t>
        </is>
      </c>
      <c r="L1072" t="inlineStr">
        <is>
          <t>Boston, MA : WGBH Boston, c1993.</t>
        </is>
      </c>
      <c r="M1072" t="inlineStr">
        <is>
          <t>1993</t>
        </is>
      </c>
      <c r="N1072" t="inlineStr">
        <is>
          <t>1st ed.</t>
        </is>
      </c>
      <c r="O1072" t="inlineStr">
        <is>
          <t>eng</t>
        </is>
      </c>
      <c r="P1072" t="inlineStr">
        <is>
          <t>mau</t>
        </is>
      </c>
      <c r="R1072" t="inlineStr">
        <is>
          <t xml:space="preserve">QH </t>
        </is>
      </c>
      <c r="S1072" t="n">
        <v>1</v>
      </c>
      <c r="T1072" t="n">
        <v>1</v>
      </c>
      <c r="U1072" t="inlineStr">
        <is>
          <t>2008-06-09</t>
        </is>
      </c>
      <c r="V1072" t="inlineStr">
        <is>
          <t>2008-06-09</t>
        </is>
      </c>
      <c r="W1072" t="inlineStr">
        <is>
          <t>2008-06-09</t>
        </is>
      </c>
      <c r="X1072" t="inlineStr">
        <is>
          <t>2008-06-09</t>
        </is>
      </c>
      <c r="Y1072" t="n">
        <v>749</v>
      </c>
      <c r="Z1072" t="n">
        <v>721</v>
      </c>
      <c r="AA1072" t="n">
        <v>765</v>
      </c>
      <c r="AB1072" t="n">
        <v>5</v>
      </c>
      <c r="AC1072" t="n">
        <v>5</v>
      </c>
      <c r="AD1072" t="n">
        <v>21</v>
      </c>
      <c r="AE1072" t="n">
        <v>22</v>
      </c>
      <c r="AF1072" t="n">
        <v>7</v>
      </c>
      <c r="AG1072" t="n">
        <v>7</v>
      </c>
      <c r="AH1072" t="n">
        <v>7</v>
      </c>
      <c r="AI1072" t="n">
        <v>7</v>
      </c>
      <c r="AJ1072" t="n">
        <v>10</v>
      </c>
      <c r="AK1072" t="n">
        <v>11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S1072">
        <f>HYPERLINK("https://creighton-primo.hosted.exlibrisgroup.com/primo-explore/search?tab=default_tab&amp;search_scope=EVERYTHING&amp;vid=01CRU&amp;lang=en_US&amp;offset=0&amp;query=any,contains,991005231009702656","Catalog Record")</f>
        <v/>
      </c>
      <c r="AT1072">
        <f>HYPERLINK("http://www.worldcat.org/oclc/28212595","WorldCat Record")</f>
        <v/>
      </c>
      <c r="AU1072" t="inlineStr">
        <is>
          <t>411228965:eng</t>
        </is>
      </c>
      <c r="AV1072" t="inlineStr">
        <is>
          <t>28212595</t>
        </is>
      </c>
      <c r="AW1072" t="inlineStr">
        <is>
          <t>991005231009702656</t>
        </is>
      </c>
      <c r="AX1072" t="inlineStr">
        <is>
          <t>991005231009702656</t>
        </is>
      </c>
      <c r="AY1072" t="inlineStr">
        <is>
          <t>2265001490002656</t>
        </is>
      </c>
      <c r="AZ1072" t="inlineStr">
        <is>
          <t>BOOK</t>
        </is>
      </c>
      <c r="BB1072" t="inlineStr">
        <is>
          <t>9780963688101</t>
        </is>
      </c>
      <c r="BC1072" t="inlineStr">
        <is>
          <t>32285005443584</t>
        </is>
      </c>
      <c r="BD1072" t="inlineStr">
        <is>
          <t>893628635</t>
        </is>
      </c>
    </row>
    <row r="1073">
      <c r="A1073" t="inlineStr">
        <is>
          <t>No</t>
        </is>
      </c>
      <c r="B1073" t="inlineStr">
        <is>
          <t>QH506 .L443 2000</t>
        </is>
      </c>
      <c r="C1073" t="inlineStr">
        <is>
          <t>0                      QH 0506000L  443         2000</t>
        </is>
      </c>
      <c r="D1073" t="inlineStr">
        <is>
          <t>The triple helix : gene, organism, and environment / Richard Lewontin.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Lewontin, Richard C., 1929-</t>
        </is>
      </c>
      <c r="L1073" t="inlineStr">
        <is>
          <t>Cambridge, Mass. : Harvard University Press, 2000.</t>
        </is>
      </c>
      <c r="M1073" t="inlineStr">
        <is>
          <t>2000</t>
        </is>
      </c>
      <c r="O1073" t="inlineStr">
        <is>
          <t>eng</t>
        </is>
      </c>
      <c r="P1073" t="inlineStr">
        <is>
          <t>mau</t>
        </is>
      </c>
      <c r="R1073" t="inlineStr">
        <is>
          <t xml:space="preserve">QH </t>
        </is>
      </c>
      <c r="S1073" t="n">
        <v>2</v>
      </c>
      <c r="T1073" t="n">
        <v>2</v>
      </c>
      <c r="U1073" t="inlineStr">
        <is>
          <t>2000-08-30</t>
        </is>
      </c>
      <c r="V1073" t="inlineStr">
        <is>
          <t>2000-08-30</t>
        </is>
      </c>
      <c r="W1073" t="inlineStr">
        <is>
          <t>2000-08-30</t>
        </is>
      </c>
      <c r="X1073" t="inlineStr">
        <is>
          <t>2000-08-30</t>
        </is>
      </c>
      <c r="Y1073" t="n">
        <v>1217</v>
      </c>
      <c r="Z1073" t="n">
        <v>1020</v>
      </c>
      <c r="AA1073" t="n">
        <v>1025</v>
      </c>
      <c r="AB1073" t="n">
        <v>8</v>
      </c>
      <c r="AC1073" t="n">
        <v>8</v>
      </c>
      <c r="AD1073" t="n">
        <v>40</v>
      </c>
      <c r="AE1073" t="n">
        <v>40</v>
      </c>
      <c r="AF1073" t="n">
        <v>17</v>
      </c>
      <c r="AG1073" t="n">
        <v>17</v>
      </c>
      <c r="AH1073" t="n">
        <v>6</v>
      </c>
      <c r="AI1073" t="n">
        <v>6</v>
      </c>
      <c r="AJ1073" t="n">
        <v>21</v>
      </c>
      <c r="AK1073" t="n">
        <v>21</v>
      </c>
      <c r="AL1073" t="n">
        <v>7</v>
      </c>
      <c r="AM1073" t="n">
        <v>7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HYPERLINK("https://creighton-primo.hosted.exlibrisgroup.com/primo-explore/search?tab=default_tab&amp;search_scope=EVERYTHING&amp;vid=01CRU&amp;lang=en_US&amp;offset=0&amp;query=any,contains,991003232849702656","Catalog Record")</f>
        <v/>
      </c>
      <c r="AT1073">
        <f>HYPERLINK("http://www.worldcat.org/oclc/42726142","WorldCat Record")</f>
        <v/>
      </c>
      <c r="AU1073" t="inlineStr">
        <is>
          <t>14203778:eng</t>
        </is>
      </c>
      <c r="AV1073" t="inlineStr">
        <is>
          <t>42726142</t>
        </is>
      </c>
      <c r="AW1073" t="inlineStr">
        <is>
          <t>991003232849702656</t>
        </is>
      </c>
      <c r="AX1073" t="inlineStr">
        <is>
          <t>991003232849702656</t>
        </is>
      </c>
      <c r="AY1073" t="inlineStr">
        <is>
          <t>2262309320002656</t>
        </is>
      </c>
      <c r="AZ1073" t="inlineStr">
        <is>
          <t>BOOK</t>
        </is>
      </c>
      <c r="BB1073" t="inlineStr">
        <is>
          <t>9780674001596</t>
        </is>
      </c>
      <c r="BC1073" t="inlineStr">
        <is>
          <t>32285003749685</t>
        </is>
      </c>
      <c r="BD1073" t="inlineStr">
        <is>
          <t>893787091</t>
        </is>
      </c>
    </row>
    <row r="1074">
      <c r="A1074" t="inlineStr">
        <is>
          <t>No</t>
        </is>
      </c>
      <c r="B1074" t="inlineStr">
        <is>
          <t>QH506 .M653 1991</t>
        </is>
      </c>
      <c r="C1074" t="inlineStr">
        <is>
          <t>0                      QH 0506000M  653         1991</t>
        </is>
      </c>
      <c r="D1074" t="inlineStr">
        <is>
          <t>Molecular biology LABFAX / edited by T. A. Brown.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Oxford : BIOS Scientific, 1991.</t>
        </is>
      </c>
      <c r="M1074" t="inlineStr">
        <is>
          <t>1991</t>
        </is>
      </c>
      <c r="O1074" t="inlineStr">
        <is>
          <t>eng</t>
        </is>
      </c>
      <c r="P1074" t="inlineStr">
        <is>
          <t>enk</t>
        </is>
      </c>
      <c r="Q1074" t="inlineStr">
        <is>
          <t>The LABFAX series</t>
        </is>
      </c>
      <c r="R1074" t="inlineStr">
        <is>
          <t xml:space="preserve">QH </t>
        </is>
      </c>
      <c r="S1074" t="n">
        <v>2</v>
      </c>
      <c r="T1074" t="n">
        <v>2</v>
      </c>
      <c r="U1074" t="inlineStr">
        <is>
          <t>2003-10-15</t>
        </is>
      </c>
      <c r="V1074" t="inlineStr">
        <is>
          <t>2003-10-15</t>
        </is>
      </c>
      <c r="W1074" t="inlineStr">
        <is>
          <t>1995-02-03</t>
        </is>
      </c>
      <c r="X1074" t="inlineStr">
        <is>
          <t>1995-02-03</t>
        </is>
      </c>
      <c r="Y1074" t="n">
        <v>278</v>
      </c>
      <c r="Z1074" t="n">
        <v>172</v>
      </c>
      <c r="AA1074" t="n">
        <v>280</v>
      </c>
      <c r="AB1074" t="n">
        <v>2</v>
      </c>
      <c r="AC1074" t="n">
        <v>2</v>
      </c>
      <c r="AD1074" t="n">
        <v>1</v>
      </c>
      <c r="AE1074" t="n">
        <v>4</v>
      </c>
      <c r="AF1074" t="n">
        <v>0</v>
      </c>
      <c r="AG1074" t="n">
        <v>1</v>
      </c>
      <c r="AH1074" t="n">
        <v>0</v>
      </c>
      <c r="AI1074" t="n">
        <v>0</v>
      </c>
      <c r="AJ1074" t="n">
        <v>0</v>
      </c>
      <c r="AK1074" t="n">
        <v>2</v>
      </c>
      <c r="AL1074" t="n">
        <v>1</v>
      </c>
      <c r="AM1074" t="n">
        <v>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HYPERLINK("http://catalog.hathitrust.org/Record/002485528","HathiTrust Record")</f>
        <v/>
      </c>
      <c r="AS1074">
        <f>HYPERLINK("https://creighton-primo.hosted.exlibrisgroup.com/primo-explore/search?tab=default_tab&amp;search_scope=EVERYTHING&amp;vid=01CRU&amp;lang=en_US&amp;offset=0&amp;query=any,contains,991001798679702656","Catalog Record")</f>
        <v/>
      </c>
      <c r="AT1074">
        <f>HYPERLINK("http://www.worldcat.org/oclc/27641780","WorldCat Record")</f>
        <v/>
      </c>
      <c r="AU1074" t="inlineStr">
        <is>
          <t>4721273805:eng</t>
        </is>
      </c>
      <c r="AV1074" t="inlineStr">
        <is>
          <t>27641780</t>
        </is>
      </c>
      <c r="AW1074" t="inlineStr">
        <is>
          <t>991001798679702656</t>
        </is>
      </c>
      <c r="AX1074" t="inlineStr">
        <is>
          <t>991001798679702656</t>
        </is>
      </c>
      <c r="AY1074" t="inlineStr">
        <is>
          <t>2270475830002656</t>
        </is>
      </c>
      <c r="AZ1074" t="inlineStr">
        <is>
          <t>BOOK</t>
        </is>
      </c>
      <c r="BB1074" t="inlineStr">
        <is>
          <t>9781872748009</t>
        </is>
      </c>
      <c r="BC1074" t="inlineStr">
        <is>
          <t>32285001988251</t>
        </is>
      </c>
      <c r="BD1074" t="inlineStr">
        <is>
          <t>893602903</t>
        </is>
      </c>
    </row>
    <row r="1075">
      <c r="A1075" t="inlineStr">
        <is>
          <t>No</t>
        </is>
      </c>
      <c r="B1075" t="inlineStr">
        <is>
          <t>QH506 .M6645 1996</t>
        </is>
      </c>
      <c r="C1075" t="inlineStr">
        <is>
          <t>0                      QH 0506000M  6645        1996</t>
        </is>
      </c>
      <c r="D1075" t="inlineStr">
        <is>
          <t>Molecular zoology : advances, strategies, and protocols / edited by Joan D. Ferraris and Stephen R. Palumbi.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 : Wiley-Liss, c1996.</t>
        </is>
      </c>
      <c r="M1075" t="inlineStr">
        <is>
          <t>1996</t>
        </is>
      </c>
      <c r="O1075" t="inlineStr">
        <is>
          <t>eng</t>
        </is>
      </c>
      <c r="P1075" t="inlineStr">
        <is>
          <t>nyu</t>
        </is>
      </c>
      <c r="R1075" t="inlineStr">
        <is>
          <t xml:space="preserve">QH </t>
        </is>
      </c>
      <c r="S1075" t="n">
        <v>7</v>
      </c>
      <c r="T1075" t="n">
        <v>7</v>
      </c>
      <c r="U1075" t="inlineStr">
        <is>
          <t>2004-10-27</t>
        </is>
      </c>
      <c r="V1075" t="inlineStr">
        <is>
          <t>2004-10-27</t>
        </is>
      </c>
      <c r="W1075" t="inlineStr">
        <is>
          <t>1997-04-24</t>
        </is>
      </c>
      <c r="X1075" t="inlineStr">
        <is>
          <t>1997-04-24</t>
        </is>
      </c>
      <c r="Y1075" t="n">
        <v>319</v>
      </c>
      <c r="Z1075" t="n">
        <v>224</v>
      </c>
      <c r="AA1075" t="n">
        <v>230</v>
      </c>
      <c r="AB1075" t="n">
        <v>2</v>
      </c>
      <c r="AC1075" t="n">
        <v>2</v>
      </c>
      <c r="AD1075" t="n">
        <v>10</v>
      </c>
      <c r="AE1075" t="n">
        <v>10</v>
      </c>
      <c r="AF1075" t="n">
        <v>3</v>
      </c>
      <c r="AG1075" t="n">
        <v>3</v>
      </c>
      <c r="AH1075" t="n">
        <v>3</v>
      </c>
      <c r="AI1075" t="n">
        <v>3</v>
      </c>
      <c r="AJ1075" t="n">
        <v>5</v>
      </c>
      <c r="AK1075" t="n">
        <v>5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HYPERLINK("http://catalog.hathitrust.org/Record/003065600","HathiTrust Record")</f>
        <v/>
      </c>
      <c r="AS1075">
        <f>HYPERLINK("https://creighton-primo.hosted.exlibrisgroup.com/primo-explore/search?tab=default_tab&amp;search_scope=EVERYTHING&amp;vid=01CRU&amp;lang=en_US&amp;offset=0&amp;query=any,contains,991002606399702656","Catalog Record")</f>
        <v/>
      </c>
      <c r="AT1075">
        <f>HYPERLINK("http://www.worldcat.org/oclc/34149809","WorldCat Record")</f>
        <v/>
      </c>
      <c r="AU1075" t="inlineStr">
        <is>
          <t>837054606:eng</t>
        </is>
      </c>
      <c r="AV1075" t="inlineStr">
        <is>
          <t>34149809</t>
        </is>
      </c>
      <c r="AW1075" t="inlineStr">
        <is>
          <t>991002606399702656</t>
        </is>
      </c>
      <c r="AX1075" t="inlineStr">
        <is>
          <t>991002606399702656</t>
        </is>
      </c>
      <c r="AY1075" t="inlineStr">
        <is>
          <t>2271526890002656</t>
        </is>
      </c>
      <c r="AZ1075" t="inlineStr">
        <is>
          <t>BOOK</t>
        </is>
      </c>
      <c r="BB1075" t="inlineStr">
        <is>
          <t>9780471144496</t>
        </is>
      </c>
      <c r="BC1075" t="inlineStr">
        <is>
          <t>32285002540481</t>
        </is>
      </c>
      <c r="BD1075" t="inlineStr">
        <is>
          <t>893227062</t>
        </is>
      </c>
    </row>
    <row r="1076">
      <c r="A1076" t="inlineStr">
        <is>
          <t>No</t>
        </is>
      </c>
      <c r="B1076" t="inlineStr">
        <is>
          <t>QH506 .M67 v.32</t>
        </is>
      </c>
      <c r="C1076" t="inlineStr">
        <is>
          <t>0                      QH 0506000M  67                                                      v.32</t>
        </is>
      </c>
      <c r="D1076" t="inlineStr">
        <is>
          <t>Chemical recognition in biology / edited by F. Chapeville and A.-L. Haenni ; with contributions by M. J. Anderson ... [et al.].</t>
        </is>
      </c>
      <c r="E1076" t="inlineStr">
        <is>
          <t>V. 32</t>
        </is>
      </c>
      <c r="F1076" t="inlineStr">
        <is>
          <t>No</t>
        </is>
      </c>
      <c r="G1076" t="inlineStr">
        <is>
          <t>1</t>
        </is>
      </c>
      <c r="H1076" t="inlineStr">
        <is>
          <t>Yes</t>
        </is>
      </c>
      <c r="I1076" t="inlineStr">
        <is>
          <t>No</t>
        </is>
      </c>
      <c r="J1076" t="inlineStr">
        <is>
          <t>0</t>
        </is>
      </c>
      <c r="L1076" t="inlineStr">
        <is>
          <t>Berlin ; New York : Springer-Verlag, 1980.</t>
        </is>
      </c>
      <c r="M1076" t="inlineStr">
        <is>
          <t>1980</t>
        </is>
      </c>
      <c r="O1076" t="inlineStr">
        <is>
          <t>eng</t>
        </is>
      </c>
      <c r="P1076" t="inlineStr">
        <is>
          <t xml:space="preserve">gw </t>
        </is>
      </c>
      <c r="Q1076" t="inlineStr">
        <is>
          <t>Molecular biology, biochemistry, and biophysics ; v. 32</t>
        </is>
      </c>
      <c r="R1076" t="inlineStr">
        <is>
          <t xml:space="preserve">QH </t>
        </is>
      </c>
      <c r="S1076" t="n">
        <v>3</v>
      </c>
      <c r="T1076" t="n">
        <v>3</v>
      </c>
      <c r="U1076" t="inlineStr">
        <is>
          <t>1994-09-30</t>
        </is>
      </c>
      <c r="V1076" t="inlineStr">
        <is>
          <t>1994-09-30</t>
        </is>
      </c>
      <c r="W1076" t="inlineStr">
        <is>
          <t>1993-04-03</t>
        </is>
      </c>
      <c r="X1076" t="inlineStr">
        <is>
          <t>1993-04-03</t>
        </is>
      </c>
      <c r="Y1076" t="n">
        <v>289</v>
      </c>
      <c r="Z1076" t="n">
        <v>205</v>
      </c>
      <c r="AA1076" t="n">
        <v>220</v>
      </c>
      <c r="AB1076" t="n">
        <v>3</v>
      </c>
      <c r="AC1076" t="n">
        <v>3</v>
      </c>
      <c r="AD1076" t="n">
        <v>7</v>
      </c>
      <c r="AE1076" t="n">
        <v>8</v>
      </c>
      <c r="AF1076" t="n">
        <v>0</v>
      </c>
      <c r="AG1076" t="n">
        <v>1</v>
      </c>
      <c r="AH1076" t="n">
        <v>5</v>
      </c>
      <c r="AI1076" t="n">
        <v>5</v>
      </c>
      <c r="AJ1076" t="n">
        <v>3</v>
      </c>
      <c r="AK1076" t="n">
        <v>4</v>
      </c>
      <c r="AL1076" t="n">
        <v>1</v>
      </c>
      <c r="AM1076" t="n">
        <v>1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HYPERLINK("http://catalog.hathitrust.org/Record/000713859","HathiTrust Record")</f>
        <v/>
      </c>
      <c r="AS1076">
        <f>HYPERLINK("https://creighton-primo.hosted.exlibrisgroup.com/primo-explore/search?tab=default_tab&amp;search_scope=EVERYTHING&amp;vid=01CRU&amp;lang=en_US&amp;offset=0&amp;query=any,contains,991001770349702656","Catalog Record")</f>
        <v/>
      </c>
      <c r="AT1076">
        <f>HYPERLINK("http://www.worldcat.org/oclc/6602799","WorldCat Record")</f>
        <v/>
      </c>
      <c r="AU1076" t="inlineStr">
        <is>
          <t>355672739:eng</t>
        </is>
      </c>
      <c r="AV1076" t="inlineStr">
        <is>
          <t>6602799</t>
        </is>
      </c>
      <c r="AW1076" t="inlineStr">
        <is>
          <t>991001770349702656</t>
        </is>
      </c>
      <c r="AX1076" t="inlineStr">
        <is>
          <t>991001770349702656</t>
        </is>
      </c>
      <c r="AY1076" t="inlineStr">
        <is>
          <t>2255655730002656</t>
        </is>
      </c>
      <c r="AZ1076" t="inlineStr">
        <is>
          <t>BOOK</t>
        </is>
      </c>
      <c r="BB1076" t="inlineStr">
        <is>
          <t>9780387102054</t>
        </is>
      </c>
      <c r="BC1076" t="inlineStr">
        <is>
          <t>32285001600328</t>
        </is>
      </c>
      <c r="BD1076" t="inlineStr">
        <is>
          <t>893684630</t>
        </is>
      </c>
    </row>
    <row r="1077">
      <c r="A1077" t="inlineStr">
        <is>
          <t>No</t>
        </is>
      </c>
      <c r="B1077" t="inlineStr">
        <is>
          <t>QH506 .O45 1994</t>
        </is>
      </c>
      <c r="C1077" t="inlineStr">
        <is>
          <t>0                      QH 0506000O  45          1994</t>
        </is>
      </c>
      <c r="D1077" t="inlineStr">
        <is>
          <t>The path to the double helix : the discovery of DNA / Robert Olby ; foreword by Francis Crick.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Olby, Robert C. (Robert Cecil)</t>
        </is>
      </c>
      <c r="L1077" t="inlineStr">
        <is>
          <t>New York : Dover Publications, c1994.</t>
        </is>
      </c>
      <c r="M1077" t="inlineStr">
        <is>
          <t>1994</t>
        </is>
      </c>
      <c r="O1077" t="inlineStr">
        <is>
          <t>eng</t>
        </is>
      </c>
      <c r="P1077" t="inlineStr">
        <is>
          <t>nyu</t>
        </is>
      </c>
      <c r="R1077" t="inlineStr">
        <is>
          <t xml:space="preserve">QH </t>
        </is>
      </c>
      <c r="S1077" t="n">
        <v>10</v>
      </c>
      <c r="T1077" t="n">
        <v>10</v>
      </c>
      <c r="U1077" t="inlineStr">
        <is>
          <t>2006-02-21</t>
        </is>
      </c>
      <c r="V1077" t="inlineStr">
        <is>
          <t>2006-02-21</t>
        </is>
      </c>
      <c r="W1077" t="inlineStr">
        <is>
          <t>1996-02-26</t>
        </is>
      </c>
      <c r="X1077" t="inlineStr">
        <is>
          <t>1996-02-26</t>
        </is>
      </c>
      <c r="Y1077" t="n">
        <v>175</v>
      </c>
      <c r="Z1077" t="n">
        <v>122</v>
      </c>
      <c r="AA1077" t="n">
        <v>862</v>
      </c>
      <c r="AB1077" t="n">
        <v>1</v>
      </c>
      <c r="AC1077" t="n">
        <v>5</v>
      </c>
      <c r="AD1077" t="n">
        <v>0</v>
      </c>
      <c r="AE1077" t="n">
        <v>29</v>
      </c>
      <c r="AF1077" t="n">
        <v>0</v>
      </c>
      <c r="AG1077" t="n">
        <v>11</v>
      </c>
      <c r="AH1077" t="n">
        <v>0</v>
      </c>
      <c r="AI1077" t="n">
        <v>7</v>
      </c>
      <c r="AJ1077" t="n">
        <v>0</v>
      </c>
      <c r="AK1077" t="n">
        <v>13</v>
      </c>
      <c r="AL1077" t="n">
        <v>0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HYPERLINK("http://catalog.hathitrust.org/Record/002966335","HathiTrust Record")</f>
        <v/>
      </c>
      <c r="AS1077">
        <f>HYPERLINK("https://creighton-primo.hosted.exlibrisgroup.com/primo-explore/search?tab=default_tab&amp;search_scope=EVERYTHING&amp;vid=01CRU&amp;lang=en_US&amp;offset=0&amp;query=any,contains,991002367899702656","Catalog Record")</f>
        <v/>
      </c>
      <c r="AT1077">
        <f>HYPERLINK("http://www.worldcat.org/oclc/30780042","WorldCat Record")</f>
        <v/>
      </c>
      <c r="AU1077" t="inlineStr">
        <is>
          <t>1899700:eng</t>
        </is>
      </c>
      <c r="AV1077" t="inlineStr">
        <is>
          <t>30780042</t>
        </is>
      </c>
      <c r="AW1077" t="inlineStr">
        <is>
          <t>991002367899702656</t>
        </is>
      </c>
      <c r="AX1077" t="inlineStr">
        <is>
          <t>991002367899702656</t>
        </is>
      </c>
      <c r="AY1077" t="inlineStr">
        <is>
          <t>2264854080002656</t>
        </is>
      </c>
      <c r="AZ1077" t="inlineStr">
        <is>
          <t>BOOK</t>
        </is>
      </c>
      <c r="BB1077" t="inlineStr">
        <is>
          <t>9780486681177</t>
        </is>
      </c>
      <c r="BC1077" t="inlineStr">
        <is>
          <t>32285002138195</t>
        </is>
      </c>
      <c r="BD1077" t="inlineStr">
        <is>
          <t>893879832</t>
        </is>
      </c>
    </row>
    <row r="1078">
      <c r="A1078" t="inlineStr">
        <is>
          <t>No</t>
        </is>
      </c>
      <c r="B1078" t="inlineStr">
        <is>
          <t>QH506 .S27 1990</t>
        </is>
      </c>
      <c r="C1078" t="inlineStr">
        <is>
          <t>0                      QH 0506000S  27          1990</t>
        </is>
      </c>
      <c r="D1078" t="inlineStr">
        <is>
          <t>Where the truth lies : Franz Moewus and the origins of molecular biology / Jan Sapp.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Sapp, Jan.</t>
        </is>
      </c>
      <c r="L1078" t="inlineStr">
        <is>
          <t>Cambridge [England] ; New York : Cambridge University Press, 1990.</t>
        </is>
      </c>
      <c r="M1078" t="inlineStr">
        <is>
          <t>1990</t>
        </is>
      </c>
      <c r="O1078" t="inlineStr">
        <is>
          <t>eng</t>
        </is>
      </c>
      <c r="P1078" t="inlineStr">
        <is>
          <t>enk</t>
        </is>
      </c>
      <c r="R1078" t="inlineStr">
        <is>
          <t xml:space="preserve">QH </t>
        </is>
      </c>
      <c r="S1078" t="n">
        <v>2</v>
      </c>
      <c r="T1078" t="n">
        <v>2</v>
      </c>
      <c r="U1078" t="inlineStr">
        <is>
          <t>1996-09-03</t>
        </is>
      </c>
      <c r="V1078" t="inlineStr">
        <is>
          <t>1996-09-03</t>
        </is>
      </c>
      <c r="W1078" t="inlineStr">
        <is>
          <t>1991-05-16</t>
        </is>
      </c>
      <c r="X1078" t="inlineStr">
        <is>
          <t>1991-05-16</t>
        </is>
      </c>
      <c r="Y1078" t="n">
        <v>353</v>
      </c>
      <c r="Z1078" t="n">
        <v>257</v>
      </c>
      <c r="AA1078" t="n">
        <v>257</v>
      </c>
      <c r="AB1078" t="n">
        <v>3</v>
      </c>
      <c r="AC1078" t="n">
        <v>3</v>
      </c>
      <c r="AD1078" t="n">
        <v>10</v>
      </c>
      <c r="AE1078" t="n">
        <v>10</v>
      </c>
      <c r="AF1078" t="n">
        <v>1</v>
      </c>
      <c r="AG1078" t="n">
        <v>1</v>
      </c>
      <c r="AH1078" t="n">
        <v>4</v>
      </c>
      <c r="AI1078" t="n">
        <v>4</v>
      </c>
      <c r="AJ1078" t="n">
        <v>7</v>
      </c>
      <c r="AK1078" t="n">
        <v>7</v>
      </c>
      <c r="AL1078" t="n">
        <v>2</v>
      </c>
      <c r="AM1078" t="n">
        <v>2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HYPERLINK("https://creighton-primo.hosted.exlibrisgroup.com/primo-explore/search?tab=default_tab&amp;search_scope=EVERYTHING&amp;vid=01CRU&amp;lang=en_US&amp;offset=0&amp;query=any,contains,991001481329702656","Catalog Record")</f>
        <v/>
      </c>
      <c r="AT1078">
        <f>HYPERLINK("http://www.worldcat.org/oclc/19626107","WorldCat Record")</f>
        <v/>
      </c>
      <c r="AU1078" t="inlineStr">
        <is>
          <t>808763295:eng</t>
        </is>
      </c>
      <c r="AV1078" t="inlineStr">
        <is>
          <t>19626107</t>
        </is>
      </c>
      <c r="AW1078" t="inlineStr">
        <is>
          <t>991001481329702656</t>
        </is>
      </c>
      <c r="AX1078" t="inlineStr">
        <is>
          <t>991001481329702656</t>
        </is>
      </c>
      <c r="AY1078" t="inlineStr">
        <is>
          <t>2264665030002656</t>
        </is>
      </c>
      <c r="AZ1078" t="inlineStr">
        <is>
          <t>BOOK</t>
        </is>
      </c>
      <c r="BB1078" t="inlineStr">
        <is>
          <t>9780521367516</t>
        </is>
      </c>
      <c r="BC1078" t="inlineStr">
        <is>
          <t>32285000573609</t>
        </is>
      </c>
      <c r="BD1078" t="inlineStr">
        <is>
          <t>893885310</t>
        </is>
      </c>
    </row>
    <row r="1079">
      <c r="A1079" t="inlineStr">
        <is>
          <t>No</t>
        </is>
      </c>
      <c r="B1079" t="inlineStr">
        <is>
          <t>QH506 .T877 2003</t>
        </is>
      </c>
      <c r="C1079" t="inlineStr">
        <is>
          <t>0                      QH 0506000T  877         2003</t>
        </is>
      </c>
      <c r="D1079" t="inlineStr">
        <is>
          <t>Introduction to molecular biophysics / Jack A. Tuszynski, Michal Kurzynski.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Tuszynski, J. A.</t>
        </is>
      </c>
      <c r="L1079" t="inlineStr">
        <is>
          <t>Boca Raton, Fla. : CRC Press, c2003.</t>
        </is>
      </c>
      <c r="M1079" t="inlineStr">
        <is>
          <t>2003</t>
        </is>
      </c>
      <c r="O1079" t="inlineStr">
        <is>
          <t>eng</t>
        </is>
      </c>
      <c r="P1079" t="inlineStr">
        <is>
          <t>flu</t>
        </is>
      </c>
      <c r="Q1079" t="inlineStr">
        <is>
          <t>CRC series in pure and applied physics</t>
        </is>
      </c>
      <c r="R1079" t="inlineStr">
        <is>
          <t xml:space="preserve">QH </t>
        </is>
      </c>
      <c r="S1079" t="n">
        <v>2</v>
      </c>
      <c r="T1079" t="n">
        <v>2</v>
      </c>
      <c r="U1079" t="inlineStr">
        <is>
          <t>2003-08-28</t>
        </is>
      </c>
      <c r="V1079" t="inlineStr">
        <is>
          <t>2003-08-28</t>
        </is>
      </c>
      <c r="W1079" t="inlineStr">
        <is>
          <t>2003-03-26</t>
        </is>
      </c>
      <c r="X1079" t="inlineStr">
        <is>
          <t>2003-03-26</t>
        </is>
      </c>
      <c r="Y1079" t="n">
        <v>376</v>
      </c>
      <c r="Z1079" t="n">
        <v>246</v>
      </c>
      <c r="AA1079" t="n">
        <v>269</v>
      </c>
      <c r="AB1079" t="n">
        <v>2</v>
      </c>
      <c r="AC1079" t="n">
        <v>2</v>
      </c>
      <c r="AD1079" t="n">
        <v>15</v>
      </c>
      <c r="AE1079" t="n">
        <v>15</v>
      </c>
      <c r="AF1079" t="n">
        <v>6</v>
      </c>
      <c r="AG1079" t="n">
        <v>6</v>
      </c>
      <c r="AH1079" t="n">
        <v>5</v>
      </c>
      <c r="AI1079" t="n">
        <v>5</v>
      </c>
      <c r="AJ1079" t="n">
        <v>8</v>
      </c>
      <c r="AK1079" t="n">
        <v>8</v>
      </c>
      <c r="AL1079" t="n">
        <v>1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HYPERLINK("https://creighton-primo.hosted.exlibrisgroup.com/primo-explore/search?tab=default_tab&amp;search_scope=EVERYTHING&amp;vid=01CRU&amp;lang=en_US&amp;offset=0&amp;query=any,contains,991003999559702656","Catalog Record")</f>
        <v/>
      </c>
      <c r="AT1079">
        <f>HYPERLINK("http://www.worldcat.org/oclc/50560808","WorldCat Record")</f>
        <v/>
      </c>
      <c r="AU1079" t="inlineStr">
        <is>
          <t>6156105:eng</t>
        </is>
      </c>
      <c r="AV1079" t="inlineStr">
        <is>
          <t>50560808</t>
        </is>
      </c>
      <c r="AW1079" t="inlineStr">
        <is>
          <t>991003999559702656</t>
        </is>
      </c>
      <c r="AX1079" t="inlineStr">
        <is>
          <t>991003999559702656</t>
        </is>
      </c>
      <c r="AY1079" t="inlineStr">
        <is>
          <t>2267485930002656</t>
        </is>
      </c>
      <c r="AZ1079" t="inlineStr">
        <is>
          <t>BOOK</t>
        </is>
      </c>
      <c r="BB1079" t="inlineStr">
        <is>
          <t>9780849300394</t>
        </is>
      </c>
      <c r="BC1079" t="inlineStr">
        <is>
          <t>32285004686605</t>
        </is>
      </c>
      <c r="BD1079" t="inlineStr">
        <is>
          <t>893435749</t>
        </is>
      </c>
    </row>
    <row r="1080">
      <c r="A1080" t="inlineStr">
        <is>
          <t>No</t>
        </is>
      </c>
      <c r="B1080" t="inlineStr">
        <is>
          <t>QH506 .T97 1998</t>
        </is>
      </c>
      <c r="C1080" t="inlineStr">
        <is>
          <t>0                      QH 0506000T  97          1998</t>
        </is>
      </c>
      <c r="D1080" t="inlineStr">
        <is>
          <t>Advanced molecular biology : a concise reference / Richard M. Twyman ; consultant editor, W. Wisden.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Twyman, Richard M.</t>
        </is>
      </c>
      <c r="L1080" t="inlineStr">
        <is>
          <t>Oxford : BIOS Scientific Publishers ; New York : Springer-Verlag, 1998.</t>
        </is>
      </c>
      <c r="M1080" t="inlineStr">
        <is>
          <t>1998</t>
        </is>
      </c>
      <c r="O1080" t="inlineStr">
        <is>
          <t>eng</t>
        </is>
      </c>
      <c r="P1080" t="inlineStr">
        <is>
          <t>enk</t>
        </is>
      </c>
      <c r="R1080" t="inlineStr">
        <is>
          <t xml:space="preserve">QH </t>
        </is>
      </c>
      <c r="S1080" t="n">
        <v>7</v>
      </c>
      <c r="T1080" t="n">
        <v>7</v>
      </c>
      <c r="U1080" t="inlineStr">
        <is>
          <t>2005-10-13</t>
        </is>
      </c>
      <c r="V1080" t="inlineStr">
        <is>
          <t>2005-10-13</t>
        </is>
      </c>
      <c r="W1080" t="inlineStr">
        <is>
          <t>1999-05-05</t>
        </is>
      </c>
      <c r="X1080" t="inlineStr">
        <is>
          <t>1999-05-05</t>
        </is>
      </c>
      <c r="Y1080" t="n">
        <v>467</v>
      </c>
      <c r="Z1080" t="n">
        <v>345</v>
      </c>
      <c r="AA1080" t="n">
        <v>649</v>
      </c>
      <c r="AB1080" t="n">
        <v>2</v>
      </c>
      <c r="AC1080" t="n">
        <v>28</v>
      </c>
      <c r="AD1080" t="n">
        <v>15</v>
      </c>
      <c r="AE1080" t="n">
        <v>31</v>
      </c>
      <c r="AF1080" t="n">
        <v>8</v>
      </c>
      <c r="AG1080" t="n">
        <v>12</v>
      </c>
      <c r="AH1080" t="n">
        <v>2</v>
      </c>
      <c r="AI1080" t="n">
        <v>2</v>
      </c>
      <c r="AJ1080" t="n">
        <v>11</v>
      </c>
      <c r="AK1080" t="n">
        <v>12</v>
      </c>
      <c r="AL1080" t="n">
        <v>1</v>
      </c>
      <c r="AM1080" t="n">
        <v>13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HYPERLINK("http://catalog.hathitrust.org/Record/003980796","HathiTrust Record")</f>
        <v/>
      </c>
      <c r="AS1080">
        <f>HYPERLINK("https://creighton-primo.hosted.exlibrisgroup.com/primo-explore/search?tab=default_tab&amp;search_scope=EVERYTHING&amp;vid=01CRU&amp;lang=en_US&amp;offset=0&amp;query=any,contains,991002941729702656","Catalog Record")</f>
        <v/>
      </c>
      <c r="AT1080">
        <f>HYPERLINK("http://www.worldcat.org/oclc/39159118","WorldCat Record")</f>
        <v/>
      </c>
      <c r="AU1080" t="inlineStr">
        <is>
          <t>800133527:eng</t>
        </is>
      </c>
      <c r="AV1080" t="inlineStr">
        <is>
          <t>39159118</t>
        </is>
      </c>
      <c r="AW1080" t="inlineStr">
        <is>
          <t>991002941729702656</t>
        </is>
      </c>
      <c r="AX1080" t="inlineStr">
        <is>
          <t>991002941729702656</t>
        </is>
      </c>
      <c r="AY1080" t="inlineStr">
        <is>
          <t>2266594500002656</t>
        </is>
      </c>
      <c r="AZ1080" t="inlineStr">
        <is>
          <t>BOOK</t>
        </is>
      </c>
      <c r="BB1080" t="inlineStr">
        <is>
          <t>9780387915609</t>
        </is>
      </c>
      <c r="BC1080" t="inlineStr">
        <is>
          <t>32285003558870</t>
        </is>
      </c>
      <c r="BD1080" t="inlineStr">
        <is>
          <t>893348130</t>
        </is>
      </c>
    </row>
    <row r="1081">
      <c r="A1081" t="inlineStr">
        <is>
          <t>No</t>
        </is>
      </c>
      <c r="B1081" t="inlineStr">
        <is>
          <t>QH506 .W66 1997</t>
        </is>
      </c>
      <c r="C1081" t="inlineStr">
        <is>
          <t>0                      QH 0506000W  66          1997</t>
        </is>
      </c>
      <c r="D1081" t="inlineStr">
        <is>
          <t>Life chemistry &amp; molecular biology / E. J. Wood, C. A. Smith &amp; W. R. Pickering.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Wood, Edward J., 1941-</t>
        </is>
      </c>
      <c r="L1081" t="inlineStr">
        <is>
          <t>London : Portland Press, c1997.</t>
        </is>
      </c>
      <c r="M1081" t="inlineStr">
        <is>
          <t>1997</t>
        </is>
      </c>
      <c r="O1081" t="inlineStr">
        <is>
          <t>eng</t>
        </is>
      </c>
      <c r="P1081" t="inlineStr">
        <is>
          <t>enk</t>
        </is>
      </c>
      <c r="R1081" t="inlineStr">
        <is>
          <t xml:space="preserve">QH </t>
        </is>
      </c>
      <c r="S1081" t="n">
        <v>2</v>
      </c>
      <c r="T1081" t="n">
        <v>2</v>
      </c>
      <c r="U1081" t="inlineStr">
        <is>
          <t>2003-09-21</t>
        </is>
      </c>
      <c r="V1081" t="inlineStr">
        <is>
          <t>2003-09-21</t>
        </is>
      </c>
      <c r="W1081" t="inlineStr">
        <is>
          <t>1997-09-11</t>
        </is>
      </c>
      <c r="X1081" t="inlineStr">
        <is>
          <t>1997-09-11</t>
        </is>
      </c>
      <c r="Y1081" t="n">
        <v>188</v>
      </c>
      <c r="Z1081" t="n">
        <v>103</v>
      </c>
      <c r="AA1081" t="n">
        <v>104</v>
      </c>
      <c r="AB1081" t="n">
        <v>1</v>
      </c>
      <c r="AC1081" t="n">
        <v>1</v>
      </c>
      <c r="AD1081" t="n">
        <v>2</v>
      </c>
      <c r="AE1081" t="n">
        <v>2</v>
      </c>
      <c r="AF1081" t="n">
        <v>0</v>
      </c>
      <c r="AG1081" t="n">
        <v>0</v>
      </c>
      <c r="AH1081" t="n">
        <v>0</v>
      </c>
      <c r="AI1081" t="n">
        <v>0</v>
      </c>
      <c r="AJ1081" t="n">
        <v>2</v>
      </c>
      <c r="AK1081" t="n">
        <v>2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HYPERLINK("http://catalog.hathitrust.org/Record/004034876","HathiTrust Record")</f>
        <v/>
      </c>
      <c r="AS1081">
        <f>HYPERLINK("https://creighton-primo.hosted.exlibrisgroup.com/primo-explore/search?tab=default_tab&amp;search_scope=EVERYTHING&amp;vid=01CRU&amp;lang=en_US&amp;offset=0&amp;query=any,contains,991002769299702656","Catalog Record")</f>
        <v/>
      </c>
      <c r="AT1081">
        <f>HYPERLINK("http://www.worldcat.org/oclc/36344363","WorldCat Record")</f>
        <v/>
      </c>
      <c r="AU1081" t="inlineStr">
        <is>
          <t>44711985:eng</t>
        </is>
      </c>
      <c r="AV1081" t="inlineStr">
        <is>
          <t>36344363</t>
        </is>
      </c>
      <c r="AW1081" t="inlineStr">
        <is>
          <t>991002769299702656</t>
        </is>
      </c>
      <c r="AX1081" t="inlineStr">
        <is>
          <t>991002769299702656</t>
        </is>
      </c>
      <c r="AY1081" t="inlineStr">
        <is>
          <t>2269683230002656</t>
        </is>
      </c>
      <c r="AZ1081" t="inlineStr">
        <is>
          <t>BOOK</t>
        </is>
      </c>
      <c r="BB1081" t="inlineStr">
        <is>
          <t>9781855780644</t>
        </is>
      </c>
      <c r="BC1081" t="inlineStr">
        <is>
          <t>32285003175246</t>
        </is>
      </c>
      <c r="BD1081" t="inlineStr">
        <is>
          <t>893616548</t>
        </is>
      </c>
    </row>
    <row r="1082">
      <c r="A1082" t="inlineStr">
        <is>
          <t>No</t>
        </is>
      </c>
      <c r="B1082" t="inlineStr">
        <is>
          <t>QH507 .W74</t>
        </is>
      </c>
      <c r="C1082" t="inlineStr">
        <is>
          <t>0                      QH 0507000W  74</t>
        </is>
      </c>
      <c r="D1082" t="inlineStr">
        <is>
          <t>Elementary principles of probability and information [by] R. F. Wrighton.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Wrighton, R. F.</t>
        </is>
      </c>
      <c r="L1082" t="inlineStr">
        <is>
          <t>London, New York, Academic Press [c1973]</t>
        </is>
      </c>
      <c r="M1082" t="inlineStr">
        <is>
          <t>1973</t>
        </is>
      </c>
      <c r="O1082" t="inlineStr">
        <is>
          <t>eng</t>
        </is>
      </c>
      <c r="P1082" t="inlineStr">
        <is>
          <t>enk</t>
        </is>
      </c>
      <c r="R1082" t="inlineStr">
        <is>
          <t xml:space="preserve">QH </t>
        </is>
      </c>
      <c r="S1082" t="n">
        <v>2</v>
      </c>
      <c r="T1082" t="n">
        <v>2</v>
      </c>
      <c r="U1082" t="inlineStr">
        <is>
          <t>1996-03-10</t>
        </is>
      </c>
      <c r="V1082" t="inlineStr">
        <is>
          <t>1996-03-10</t>
        </is>
      </c>
      <c r="W1082" t="inlineStr">
        <is>
          <t>1992-09-30</t>
        </is>
      </c>
      <c r="X1082" t="inlineStr">
        <is>
          <t>1992-09-30</t>
        </is>
      </c>
      <c r="Y1082" t="n">
        <v>270</v>
      </c>
      <c r="Z1082" t="n">
        <v>151</v>
      </c>
      <c r="AA1082" t="n">
        <v>153</v>
      </c>
      <c r="AB1082" t="n">
        <v>3</v>
      </c>
      <c r="AC1082" t="n">
        <v>3</v>
      </c>
      <c r="AD1082" t="n">
        <v>6</v>
      </c>
      <c r="AE1082" t="n">
        <v>6</v>
      </c>
      <c r="AF1082" t="n">
        <v>0</v>
      </c>
      <c r="AG1082" t="n">
        <v>0</v>
      </c>
      <c r="AH1082" t="n">
        <v>2</v>
      </c>
      <c r="AI1082" t="n">
        <v>2</v>
      </c>
      <c r="AJ1082" t="n">
        <v>3</v>
      </c>
      <c r="AK1082" t="n">
        <v>3</v>
      </c>
      <c r="AL1082" t="n">
        <v>2</v>
      </c>
      <c r="AM1082" t="n">
        <v>2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HYPERLINK("http://catalog.hathitrust.org/Record/001492616","HathiTrust Record")</f>
        <v/>
      </c>
      <c r="AS1082">
        <f>HYPERLINK("https://creighton-primo.hosted.exlibrisgroup.com/primo-explore/search?tab=default_tab&amp;search_scope=EVERYTHING&amp;vid=01CRU&amp;lang=en_US&amp;offset=0&amp;query=any,contains,991003366639702656","Catalog Record")</f>
        <v/>
      </c>
      <c r="AT1082">
        <f>HYPERLINK("http://www.worldcat.org/oclc/902425","WorldCat Record")</f>
        <v/>
      </c>
      <c r="AU1082" t="inlineStr">
        <is>
          <t>1836869:eng</t>
        </is>
      </c>
      <c r="AV1082" t="inlineStr">
        <is>
          <t>902425</t>
        </is>
      </c>
      <c r="AW1082" t="inlineStr">
        <is>
          <t>991003366639702656</t>
        </is>
      </c>
      <c r="AX1082" t="inlineStr">
        <is>
          <t>991003366639702656</t>
        </is>
      </c>
      <c r="AY1082" t="inlineStr">
        <is>
          <t>2262541870002656</t>
        </is>
      </c>
      <c r="AZ1082" t="inlineStr">
        <is>
          <t>BOOK</t>
        </is>
      </c>
      <c r="BB1082" t="inlineStr">
        <is>
          <t>9780127655505</t>
        </is>
      </c>
      <c r="BC1082" t="inlineStr">
        <is>
          <t>32285001337400</t>
        </is>
      </c>
      <c r="BD1082" t="inlineStr">
        <is>
          <t>893874705</t>
        </is>
      </c>
    </row>
    <row r="1083">
      <c r="A1083" t="inlineStr">
        <is>
          <t>No</t>
        </is>
      </c>
      <c r="B1083" t="inlineStr">
        <is>
          <t>QH509 .M65 1985</t>
        </is>
      </c>
      <c r="C1083" t="inlineStr">
        <is>
          <t>0                      QH 0509000M  65          1985</t>
        </is>
      </c>
      <c r="D1083" t="inlineStr">
        <is>
          <t>Molecular basis of selected transport systems / editor, Gheorghe Benga.</t>
        </is>
      </c>
      <c r="E1083" t="inlineStr">
        <is>
          <t>V. 2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Boca Raton, Fla. : CRC Press, 1985.</t>
        </is>
      </c>
      <c r="M1083" t="inlineStr">
        <is>
          <t>1985</t>
        </is>
      </c>
      <c r="O1083" t="inlineStr">
        <is>
          <t>eng</t>
        </is>
      </c>
      <c r="P1083" t="inlineStr">
        <is>
          <t>flu</t>
        </is>
      </c>
      <c r="Q1083" t="inlineStr">
        <is>
          <t>Structure and properties of cell membranes ; v. 2</t>
        </is>
      </c>
      <c r="R1083" t="inlineStr">
        <is>
          <t xml:space="preserve">QH </t>
        </is>
      </c>
      <c r="S1083" t="n">
        <v>2</v>
      </c>
      <c r="T1083" t="n">
        <v>2</v>
      </c>
      <c r="U1083" t="inlineStr">
        <is>
          <t>1997-07-17</t>
        </is>
      </c>
      <c r="V1083" t="inlineStr">
        <is>
          <t>1997-07-17</t>
        </is>
      </c>
      <c r="W1083" t="inlineStr">
        <is>
          <t>1993-05-04</t>
        </is>
      </c>
      <c r="X1083" t="inlineStr">
        <is>
          <t>1993-05-04</t>
        </is>
      </c>
      <c r="Y1083" t="n">
        <v>166</v>
      </c>
      <c r="Z1083" t="n">
        <v>130</v>
      </c>
      <c r="AA1083" t="n">
        <v>132</v>
      </c>
      <c r="AB1083" t="n">
        <v>2</v>
      </c>
      <c r="AC1083" t="n">
        <v>2</v>
      </c>
      <c r="AD1083" t="n">
        <v>5</v>
      </c>
      <c r="AE1083" t="n">
        <v>5</v>
      </c>
      <c r="AF1083" t="n">
        <v>0</v>
      </c>
      <c r="AG1083" t="n">
        <v>0</v>
      </c>
      <c r="AH1083" t="n">
        <v>3</v>
      </c>
      <c r="AI1083" t="n">
        <v>3</v>
      </c>
      <c r="AJ1083" t="n">
        <v>2</v>
      </c>
      <c r="AK1083" t="n">
        <v>2</v>
      </c>
      <c r="AL1083" t="n">
        <v>1</v>
      </c>
      <c r="AM1083" t="n">
        <v>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HYPERLINK("http://catalog.hathitrust.org/Record/000582603","HathiTrust Record")</f>
        <v/>
      </c>
      <c r="AS1083">
        <f>HYPERLINK("https://creighton-primo.hosted.exlibrisgroup.com/primo-explore/search?tab=default_tab&amp;search_scope=EVERYTHING&amp;vid=01CRU&amp;lang=en_US&amp;offset=0&amp;query=any,contains,991005257329702656","Catalog Record")</f>
        <v/>
      </c>
      <c r="AT1083">
        <f>HYPERLINK("http://www.worldcat.org/oclc/11158788","WorldCat Record")</f>
        <v/>
      </c>
      <c r="AU1083" t="inlineStr">
        <is>
          <t>3825349:eng</t>
        </is>
      </c>
      <c r="AV1083" t="inlineStr">
        <is>
          <t>11158788</t>
        </is>
      </c>
      <c r="AW1083" t="inlineStr">
        <is>
          <t>991005257329702656</t>
        </is>
      </c>
      <c r="AX1083" t="inlineStr">
        <is>
          <t>991005257329702656</t>
        </is>
      </c>
      <c r="AY1083" t="inlineStr">
        <is>
          <t>2254722280002656</t>
        </is>
      </c>
      <c r="AZ1083" t="inlineStr">
        <is>
          <t>BOOK</t>
        </is>
      </c>
      <c r="BB1083" t="inlineStr">
        <is>
          <t>9780849357657</t>
        </is>
      </c>
      <c r="BC1083" t="inlineStr">
        <is>
          <t>32285001641884</t>
        </is>
      </c>
      <c r="BD1083" t="inlineStr">
        <is>
          <t>893889933</t>
        </is>
      </c>
    </row>
    <row r="1084">
      <c r="A1084" t="inlineStr">
        <is>
          <t>No</t>
        </is>
      </c>
      <c r="B1084" t="inlineStr">
        <is>
          <t>QH509 .S73 1990</t>
        </is>
      </c>
      <c r="C1084" t="inlineStr">
        <is>
          <t>0                      QH 0509000S  73          1990</t>
        </is>
      </c>
      <c r="D1084" t="inlineStr">
        <is>
          <t>Channels, carriers, and pumps : an introduction to membrane transport / Wilfred D. Stein.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Stein, Wilfred D.</t>
        </is>
      </c>
      <c r="L1084" t="inlineStr">
        <is>
          <t>San Diego : Academic Press, c1990.</t>
        </is>
      </c>
      <c r="M1084" t="inlineStr">
        <is>
          <t>1990</t>
        </is>
      </c>
      <c r="O1084" t="inlineStr">
        <is>
          <t>eng</t>
        </is>
      </c>
      <c r="P1084" t="inlineStr">
        <is>
          <t>cau</t>
        </is>
      </c>
      <c r="R1084" t="inlineStr">
        <is>
          <t xml:space="preserve">QH </t>
        </is>
      </c>
      <c r="S1084" t="n">
        <v>4</v>
      </c>
      <c r="T1084" t="n">
        <v>4</v>
      </c>
      <c r="U1084" t="inlineStr">
        <is>
          <t>1997-07-17</t>
        </is>
      </c>
      <c r="V1084" t="inlineStr">
        <is>
          <t>1997-07-17</t>
        </is>
      </c>
      <c r="W1084" t="inlineStr">
        <is>
          <t>1992-02-10</t>
        </is>
      </c>
      <c r="X1084" t="inlineStr">
        <is>
          <t>1992-02-10</t>
        </is>
      </c>
      <c r="Y1084" t="n">
        <v>320</v>
      </c>
      <c r="Z1084" t="n">
        <v>217</v>
      </c>
      <c r="AA1084" t="n">
        <v>632</v>
      </c>
      <c r="AB1084" t="n">
        <v>2</v>
      </c>
      <c r="AC1084" t="n">
        <v>7</v>
      </c>
      <c r="AD1084" t="n">
        <v>8</v>
      </c>
      <c r="AE1084" t="n">
        <v>28</v>
      </c>
      <c r="AF1084" t="n">
        <v>1</v>
      </c>
      <c r="AG1084" t="n">
        <v>8</v>
      </c>
      <c r="AH1084" t="n">
        <v>3</v>
      </c>
      <c r="AI1084" t="n">
        <v>7</v>
      </c>
      <c r="AJ1084" t="n">
        <v>5</v>
      </c>
      <c r="AK1084" t="n">
        <v>10</v>
      </c>
      <c r="AL1084" t="n">
        <v>1</v>
      </c>
      <c r="AM1084" t="n">
        <v>6</v>
      </c>
      <c r="AN1084" t="n">
        <v>0</v>
      </c>
      <c r="AO1084" t="n">
        <v>1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HYPERLINK("http://catalog.hathitrust.org/Record/002215343","HathiTrust Record")</f>
        <v/>
      </c>
      <c r="AS1084">
        <f>HYPERLINK("https://creighton-primo.hosted.exlibrisgroup.com/primo-explore/search?tab=default_tab&amp;search_scope=EVERYTHING&amp;vid=01CRU&amp;lang=en_US&amp;offset=0&amp;query=any,contains,991001686949702656","Catalog Record")</f>
        <v/>
      </c>
      <c r="AT1084">
        <f>HYPERLINK("http://www.worldcat.org/oclc/21407955","WorldCat Record")</f>
        <v/>
      </c>
      <c r="AU1084" t="inlineStr">
        <is>
          <t>793920722:eng</t>
        </is>
      </c>
      <c r="AV1084" t="inlineStr">
        <is>
          <t>21407955</t>
        </is>
      </c>
      <c r="AW1084" t="inlineStr">
        <is>
          <t>991001686949702656</t>
        </is>
      </c>
      <c r="AX1084" t="inlineStr">
        <is>
          <t>991001686949702656</t>
        </is>
      </c>
      <c r="AY1084" t="inlineStr">
        <is>
          <t>2272675660002656</t>
        </is>
      </c>
      <c r="AZ1084" t="inlineStr">
        <is>
          <t>BOOK</t>
        </is>
      </c>
      <c r="BB1084" t="inlineStr">
        <is>
          <t>9780126650457</t>
        </is>
      </c>
      <c r="BC1084" t="inlineStr">
        <is>
          <t>32285000869007</t>
        </is>
      </c>
      <c r="BD1084" t="inlineStr">
        <is>
          <t>893778989</t>
        </is>
      </c>
    </row>
    <row r="1085">
      <c r="A1085" t="inlineStr">
        <is>
          <t>No</t>
        </is>
      </c>
      <c r="B1085" t="inlineStr">
        <is>
          <t>QH51 .G37 2001</t>
        </is>
      </c>
      <c r="C1085" t="inlineStr">
        <is>
          <t>0                      QH 0051000G  37          2001</t>
        </is>
      </c>
      <c r="D1085" t="inlineStr">
        <is>
          <t>Ciencias de la naturaleza y derechos humanos : an©Łlisis y propuestas educativas / Noris Garabito y Ana Jes©ðs Hern©Łndez.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Garabito, Noris.</t>
        </is>
      </c>
      <c r="L1085" t="inlineStr">
        <is>
          <t>Santo Domingo : Centro Cultural Poveda, 2001.</t>
        </is>
      </c>
      <c r="M1085" t="inlineStr">
        <is>
          <t>2001</t>
        </is>
      </c>
      <c r="O1085" t="inlineStr">
        <is>
          <t>spa</t>
        </is>
      </c>
      <c r="P1085" t="inlineStr">
        <is>
          <t xml:space="preserve">dr </t>
        </is>
      </c>
      <c r="Q1085" t="inlineStr">
        <is>
          <t>Cuadernos de sociedad y educaci©đn ; no. 14</t>
        </is>
      </c>
      <c r="R1085" t="inlineStr">
        <is>
          <t xml:space="preserve">QH </t>
        </is>
      </c>
      <c r="S1085" t="n">
        <v>1</v>
      </c>
      <c r="T1085" t="n">
        <v>1</v>
      </c>
      <c r="U1085" t="inlineStr">
        <is>
          <t>2006-02-11</t>
        </is>
      </c>
      <c r="V1085" t="inlineStr">
        <is>
          <t>2006-02-11</t>
        </is>
      </c>
      <c r="W1085" t="inlineStr">
        <is>
          <t>2006-01-23</t>
        </is>
      </c>
      <c r="X1085" t="inlineStr">
        <is>
          <t>2006-01-23</t>
        </is>
      </c>
      <c r="Y1085" t="n">
        <v>3</v>
      </c>
      <c r="Z1085" t="n">
        <v>3</v>
      </c>
      <c r="AA1085" t="n">
        <v>3</v>
      </c>
      <c r="AB1085" t="n">
        <v>1</v>
      </c>
      <c r="AC1085" t="n">
        <v>1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HYPERLINK("https://creighton-primo.hosted.exlibrisgroup.com/primo-explore/search?tab=default_tab&amp;search_scope=EVERYTHING&amp;vid=01CRU&amp;lang=en_US&amp;offset=0&amp;query=any,contains,991004720829702656","Catalog Record")</f>
        <v/>
      </c>
      <c r="AT1085">
        <f>HYPERLINK("http://www.worldcat.org/oclc/62752665","WorldCat Record")</f>
        <v/>
      </c>
      <c r="AU1085" t="inlineStr">
        <is>
          <t>479775691:spa</t>
        </is>
      </c>
      <c r="AV1085" t="inlineStr">
        <is>
          <t>62752665</t>
        </is>
      </c>
      <c r="AW1085" t="inlineStr">
        <is>
          <t>991004720829702656</t>
        </is>
      </c>
      <c r="AX1085" t="inlineStr">
        <is>
          <t>991004720829702656</t>
        </is>
      </c>
      <c r="AY1085" t="inlineStr">
        <is>
          <t>2267541880002656</t>
        </is>
      </c>
      <c r="AZ1085" t="inlineStr">
        <is>
          <t>BOOK</t>
        </is>
      </c>
      <c r="BC1085" t="inlineStr">
        <is>
          <t>32285005100267</t>
        </is>
      </c>
      <c r="BD1085" t="inlineStr">
        <is>
          <t>893526429</t>
        </is>
      </c>
    </row>
    <row r="1086">
      <c r="A1086" t="inlineStr">
        <is>
          <t>No</t>
        </is>
      </c>
      <c r="B1086" t="inlineStr">
        <is>
          <t>QH51 .H54 1989</t>
        </is>
      </c>
      <c r="C1086" t="inlineStr">
        <is>
          <t>0                      QH 0051000H  54          1989</t>
        </is>
      </c>
      <c r="D1086" t="inlineStr">
        <is>
          <t>Nature puzzlers / Lawrence E. Hillman.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Hillman, Lawrence E.</t>
        </is>
      </c>
      <c r="L1086" t="inlineStr">
        <is>
          <t>Englewood, Colo. : Teacher Ideas Press, 1989.</t>
        </is>
      </c>
      <c r="M1086" t="inlineStr">
        <is>
          <t>1989</t>
        </is>
      </c>
      <c r="O1086" t="inlineStr">
        <is>
          <t>eng</t>
        </is>
      </c>
      <c r="P1086" t="inlineStr">
        <is>
          <t>cou</t>
        </is>
      </c>
      <c r="R1086" t="inlineStr">
        <is>
          <t xml:space="preserve">QH </t>
        </is>
      </c>
      <c r="S1086" t="n">
        <v>1</v>
      </c>
      <c r="T1086" t="n">
        <v>1</v>
      </c>
      <c r="U1086" t="inlineStr">
        <is>
          <t>2001-03-05</t>
        </is>
      </c>
      <c r="V1086" t="inlineStr">
        <is>
          <t>2001-03-05</t>
        </is>
      </c>
      <c r="W1086" t="inlineStr">
        <is>
          <t>1994-05-19</t>
        </is>
      </c>
      <c r="X1086" t="inlineStr">
        <is>
          <t>1994-05-19</t>
        </is>
      </c>
      <c r="Y1086" t="n">
        <v>172</v>
      </c>
      <c r="Z1086" t="n">
        <v>155</v>
      </c>
      <c r="AA1086" t="n">
        <v>163</v>
      </c>
      <c r="AB1086" t="n">
        <v>3</v>
      </c>
      <c r="AC1086" t="n">
        <v>4</v>
      </c>
      <c r="AD1086" t="n">
        <v>3</v>
      </c>
      <c r="AE1086" t="n">
        <v>4</v>
      </c>
      <c r="AF1086" t="n">
        <v>2</v>
      </c>
      <c r="AG1086" t="n">
        <v>2</v>
      </c>
      <c r="AH1086" t="n">
        <v>1</v>
      </c>
      <c r="AI1086" t="n">
        <v>1</v>
      </c>
      <c r="AJ1086" t="n">
        <v>0</v>
      </c>
      <c r="AK1086" t="n">
        <v>0</v>
      </c>
      <c r="AL1086" t="n">
        <v>1</v>
      </c>
      <c r="AM1086" t="n">
        <v>2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HYPERLINK("https://creighton-primo.hosted.exlibrisgroup.com/primo-explore/search?tab=default_tab&amp;search_scope=EVERYTHING&amp;vid=01CRU&amp;lang=en_US&amp;offset=0&amp;query=any,contains,991001580969702656","Catalog Record")</f>
        <v/>
      </c>
      <c r="AT1086">
        <f>HYPERLINK("http://www.worldcat.org/oclc/20489958","WorldCat Record")</f>
        <v/>
      </c>
      <c r="AU1086" t="inlineStr">
        <is>
          <t>979314:eng</t>
        </is>
      </c>
      <c r="AV1086" t="inlineStr">
        <is>
          <t>20489958</t>
        </is>
      </c>
      <c r="AW1086" t="inlineStr">
        <is>
          <t>991001580969702656</t>
        </is>
      </c>
      <c r="AX1086" t="inlineStr">
        <is>
          <t>991001580969702656</t>
        </is>
      </c>
      <c r="AY1086" t="inlineStr">
        <is>
          <t>2269850090002656</t>
        </is>
      </c>
      <c r="AZ1086" t="inlineStr">
        <is>
          <t>BOOK</t>
        </is>
      </c>
      <c r="BB1086" t="inlineStr">
        <is>
          <t>9780872877788</t>
        </is>
      </c>
      <c r="BC1086" t="inlineStr">
        <is>
          <t>32285001897742</t>
        </is>
      </c>
      <c r="BD1086" t="inlineStr">
        <is>
          <t>893866321</t>
        </is>
      </c>
    </row>
    <row r="1087">
      <c r="A1087" t="inlineStr">
        <is>
          <t>No</t>
        </is>
      </c>
      <c r="B1087" t="inlineStr">
        <is>
          <t>QH51 .T43 1991</t>
        </is>
      </c>
      <c r="C1087" t="inlineStr">
        <is>
          <t>0                      QH 0051000T  43          1991</t>
        </is>
      </c>
      <c r="D1087" t="inlineStr">
        <is>
          <t>Teaching kids to love the earth / Marina Lachecki Herman ... [et al.] ; illustrations by Carolyn Olson.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Duluth, Minn. : Pfeifer-Hamilton, c1991.</t>
        </is>
      </c>
      <c r="M1087" t="inlineStr">
        <is>
          <t>1991</t>
        </is>
      </c>
      <c r="O1087" t="inlineStr">
        <is>
          <t>eng</t>
        </is>
      </c>
      <c r="P1087" t="inlineStr">
        <is>
          <t>mnu</t>
        </is>
      </c>
      <c r="R1087" t="inlineStr">
        <is>
          <t xml:space="preserve">QH </t>
        </is>
      </c>
      <c r="S1087" t="n">
        <v>9</v>
      </c>
      <c r="T1087" t="n">
        <v>9</v>
      </c>
      <c r="U1087" t="inlineStr">
        <is>
          <t>1998-09-15</t>
        </is>
      </c>
      <c r="V1087" t="inlineStr">
        <is>
          <t>1998-09-15</t>
        </is>
      </c>
      <c r="W1087" t="inlineStr">
        <is>
          <t>1994-05-19</t>
        </is>
      </c>
      <c r="X1087" t="inlineStr">
        <is>
          <t>1994-05-19</t>
        </is>
      </c>
      <c r="Y1087" t="n">
        <v>662</v>
      </c>
      <c r="Z1087" t="n">
        <v>612</v>
      </c>
      <c r="AA1087" t="n">
        <v>1163</v>
      </c>
      <c r="AB1087" t="n">
        <v>4</v>
      </c>
      <c r="AC1087" t="n">
        <v>8</v>
      </c>
      <c r="AD1087" t="n">
        <v>6</v>
      </c>
      <c r="AE1087" t="n">
        <v>36</v>
      </c>
      <c r="AF1087" t="n">
        <v>3</v>
      </c>
      <c r="AG1087" t="n">
        <v>16</v>
      </c>
      <c r="AH1087" t="n">
        <v>1</v>
      </c>
      <c r="AI1087" t="n">
        <v>7</v>
      </c>
      <c r="AJ1087" t="n">
        <v>2</v>
      </c>
      <c r="AK1087" t="n">
        <v>14</v>
      </c>
      <c r="AL1087" t="n">
        <v>1</v>
      </c>
      <c r="AM1087" t="n">
        <v>5</v>
      </c>
      <c r="AN1087" t="n">
        <v>0</v>
      </c>
      <c r="AO1087" t="n">
        <v>1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HYPERLINK("https://creighton-primo.hosted.exlibrisgroup.com/primo-explore/search?tab=default_tab&amp;search_scope=EVERYTHING&amp;vid=01CRU&amp;lang=en_US&amp;offset=0&amp;query=any,contains,991001836319702656","Catalog Record")</f>
        <v/>
      </c>
      <c r="AT1087">
        <f>HYPERLINK("http://www.worldcat.org/oclc/23066220","WorldCat Record")</f>
        <v/>
      </c>
      <c r="AU1087" t="inlineStr">
        <is>
          <t>349955651:eng</t>
        </is>
      </c>
      <c r="AV1087" t="inlineStr">
        <is>
          <t>23066220</t>
        </is>
      </c>
      <c r="AW1087" t="inlineStr">
        <is>
          <t>991001836319702656</t>
        </is>
      </c>
      <c r="AX1087" t="inlineStr">
        <is>
          <t>991001836319702656</t>
        </is>
      </c>
      <c r="AY1087" t="inlineStr">
        <is>
          <t>2266803110002656</t>
        </is>
      </c>
      <c r="AZ1087" t="inlineStr">
        <is>
          <t>BOOK</t>
        </is>
      </c>
      <c r="BB1087" t="inlineStr">
        <is>
          <t>9780938586425</t>
        </is>
      </c>
      <c r="BC1087" t="inlineStr">
        <is>
          <t>32285001897734</t>
        </is>
      </c>
      <c r="BD1087" t="inlineStr">
        <is>
          <t>893596767</t>
        </is>
      </c>
    </row>
    <row r="1088">
      <c r="A1088" t="inlineStr">
        <is>
          <t>No</t>
        </is>
      </c>
      <c r="B1088" t="inlineStr">
        <is>
          <t>QH510 .S36 2005</t>
        </is>
      </c>
      <c r="C1088" t="inlineStr">
        <is>
          <t>0                      QH 0510000S  36          2005</t>
        </is>
      </c>
      <c r="D1088" t="inlineStr">
        <is>
          <t>Into the cool : energy flow, thermodynamics, and life / Eric D. Schneider and Dorion Sagan.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Schneider, Eric D.</t>
        </is>
      </c>
      <c r="L1088" t="inlineStr">
        <is>
          <t>Chicago : University of Chicago Press, 2005.</t>
        </is>
      </c>
      <c r="M1088" t="inlineStr">
        <is>
          <t>2005</t>
        </is>
      </c>
      <c r="O1088" t="inlineStr">
        <is>
          <t>eng</t>
        </is>
      </c>
      <c r="P1088" t="inlineStr">
        <is>
          <t>ilu</t>
        </is>
      </c>
      <c r="R1088" t="inlineStr">
        <is>
          <t xml:space="preserve">QH </t>
        </is>
      </c>
      <c r="S1088" t="n">
        <v>3</v>
      </c>
      <c r="T1088" t="n">
        <v>3</v>
      </c>
      <c r="U1088" t="inlineStr">
        <is>
          <t>2008-08-26</t>
        </is>
      </c>
      <c r="V1088" t="inlineStr">
        <is>
          <t>2008-08-26</t>
        </is>
      </c>
      <c r="W1088" t="inlineStr">
        <is>
          <t>2005-10-03</t>
        </is>
      </c>
      <c r="X1088" t="inlineStr">
        <is>
          <t>2005-10-03</t>
        </is>
      </c>
      <c r="Y1088" t="n">
        <v>547</v>
      </c>
      <c r="Z1088" t="n">
        <v>449</v>
      </c>
      <c r="AA1088" t="n">
        <v>475</v>
      </c>
      <c r="AB1088" t="n">
        <v>6</v>
      </c>
      <c r="AC1088" t="n">
        <v>7</v>
      </c>
      <c r="AD1088" t="n">
        <v>18</v>
      </c>
      <c r="AE1088" t="n">
        <v>21</v>
      </c>
      <c r="AF1088" t="n">
        <v>4</v>
      </c>
      <c r="AG1088" t="n">
        <v>4</v>
      </c>
      <c r="AH1088" t="n">
        <v>3</v>
      </c>
      <c r="AI1088" t="n">
        <v>4</v>
      </c>
      <c r="AJ1088" t="n">
        <v>9</v>
      </c>
      <c r="AK1088" t="n">
        <v>10</v>
      </c>
      <c r="AL1088" t="n">
        <v>5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No</t>
        </is>
      </c>
      <c r="AS1088">
        <f>HYPERLINK("https://creighton-primo.hosted.exlibrisgroup.com/primo-explore/search?tab=default_tab&amp;search_scope=EVERYTHING&amp;vid=01CRU&amp;lang=en_US&amp;offset=0&amp;query=any,contains,991004647439702656","Catalog Record")</f>
        <v/>
      </c>
      <c r="AT1088">
        <f>HYPERLINK("http://www.worldcat.org/oclc/56982032","WorldCat Record")</f>
        <v/>
      </c>
      <c r="AU1088" t="inlineStr">
        <is>
          <t>1026106:eng</t>
        </is>
      </c>
      <c r="AV1088" t="inlineStr">
        <is>
          <t>56982032</t>
        </is>
      </c>
      <c r="AW1088" t="inlineStr">
        <is>
          <t>991004647439702656</t>
        </is>
      </c>
      <c r="AX1088" t="inlineStr">
        <is>
          <t>991004647439702656</t>
        </is>
      </c>
      <c r="AY1088" t="inlineStr">
        <is>
          <t>2265390950002656</t>
        </is>
      </c>
      <c r="AZ1088" t="inlineStr">
        <is>
          <t>BOOK</t>
        </is>
      </c>
      <c r="BB1088" t="inlineStr">
        <is>
          <t>9780226739366</t>
        </is>
      </c>
      <c r="BC1088" t="inlineStr">
        <is>
          <t>32285005086532</t>
        </is>
      </c>
      <c r="BD1088" t="inlineStr">
        <is>
          <t>893500814</t>
        </is>
      </c>
    </row>
    <row r="1089">
      <c r="A1089" t="inlineStr">
        <is>
          <t>No</t>
        </is>
      </c>
      <c r="B1089" t="inlineStr">
        <is>
          <t>QH511 .E38</t>
        </is>
      </c>
      <c r="C1089" t="inlineStr">
        <is>
          <t>0                      QH 0511000E  38</t>
        </is>
      </c>
      <c r="D1089" t="inlineStr">
        <is>
          <t>Electron transport and energy conservation. Edited by J. M. Tager, S. Papa, E. Quagliarello, E. C. Slater.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Bari, Adriatica, 1970.</t>
        </is>
      </c>
      <c r="M1089" t="inlineStr">
        <is>
          <t>1970</t>
        </is>
      </c>
      <c r="O1089" t="inlineStr">
        <is>
          <t>eng</t>
        </is>
      </c>
      <c r="P1089" t="inlineStr">
        <is>
          <t xml:space="preserve">it </t>
        </is>
      </c>
      <c r="R1089" t="inlineStr">
        <is>
          <t xml:space="preserve">QH </t>
        </is>
      </c>
      <c r="S1089" t="n">
        <v>1</v>
      </c>
      <c r="T1089" t="n">
        <v>1</v>
      </c>
      <c r="U1089" t="inlineStr">
        <is>
          <t>1997-07-17</t>
        </is>
      </c>
      <c r="V1089" t="inlineStr">
        <is>
          <t>1997-07-17</t>
        </is>
      </c>
      <c r="W1089" t="inlineStr">
        <is>
          <t>1997-07-03</t>
        </is>
      </c>
      <c r="X1089" t="inlineStr">
        <is>
          <t>1997-07-03</t>
        </is>
      </c>
      <c r="Y1089" t="n">
        <v>44</v>
      </c>
      <c r="Z1089" t="n">
        <v>23</v>
      </c>
      <c r="AA1089" t="n">
        <v>23</v>
      </c>
      <c r="AB1089" t="n">
        <v>2</v>
      </c>
      <c r="AC1089" t="n">
        <v>2</v>
      </c>
      <c r="AD1089" t="n">
        <v>1</v>
      </c>
      <c r="AE1089" t="n">
        <v>1</v>
      </c>
      <c r="AF1089" t="n">
        <v>0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1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HYPERLINK("https://creighton-primo.hosted.exlibrisgroup.com/primo-explore/search?tab=default_tab&amp;search_scope=EVERYTHING&amp;vid=01CRU&amp;lang=en_US&amp;offset=0&amp;query=any,contains,991001228459702656","Catalog Record")</f>
        <v/>
      </c>
      <c r="AT1089">
        <f>HYPERLINK("http://www.worldcat.org/oclc/201284","WorldCat Record")</f>
        <v/>
      </c>
      <c r="AU1089" t="inlineStr">
        <is>
          <t>1253943:eng</t>
        </is>
      </c>
      <c r="AV1089" t="inlineStr">
        <is>
          <t>201284</t>
        </is>
      </c>
      <c r="AW1089" t="inlineStr">
        <is>
          <t>991001228459702656</t>
        </is>
      </c>
      <c r="AX1089" t="inlineStr">
        <is>
          <t>991001228459702656</t>
        </is>
      </c>
      <c r="AY1089" t="inlineStr">
        <is>
          <t>2259401590002656</t>
        </is>
      </c>
      <c r="AZ1089" t="inlineStr">
        <is>
          <t>BOOK</t>
        </is>
      </c>
      <c r="BC1089" t="inlineStr">
        <is>
          <t>32285002912847</t>
        </is>
      </c>
      <c r="BD1089" t="inlineStr">
        <is>
          <t>893778655</t>
        </is>
      </c>
    </row>
    <row r="1090">
      <c r="A1090" t="inlineStr">
        <is>
          <t>No</t>
        </is>
      </c>
      <c r="B1090" t="inlineStr">
        <is>
          <t>QH511 .S6 no. 40</t>
        </is>
      </c>
      <c r="C1090" t="inlineStr">
        <is>
          <t>0                      QH 0511000S  6                                                       no. 40</t>
        </is>
      </c>
      <c r="D1090" t="inlineStr">
        <is>
          <t>Developmental order, its origin and regulation / Stephen Subtelny, editor ; Paul B. Green, coeditor.</t>
        </is>
      </c>
      <c r="E1090" t="inlineStr">
        <is>
          <t>no. 40*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New York : A.R. Liss, [1982]</t>
        </is>
      </c>
      <c r="M1090" t="inlineStr">
        <is>
          <t>1982</t>
        </is>
      </c>
      <c r="O1090" t="inlineStr">
        <is>
          <t>eng</t>
        </is>
      </c>
      <c r="P1090" t="inlineStr">
        <is>
          <t>nyu</t>
        </is>
      </c>
      <c r="Q1090" t="inlineStr">
        <is>
          <t>Symposium of the Society for Developmental Biology ; 40th</t>
        </is>
      </c>
      <c r="R1090" t="inlineStr">
        <is>
          <t xml:space="preserve">QH </t>
        </is>
      </c>
      <c r="S1090" t="n">
        <v>3</v>
      </c>
      <c r="T1090" t="n">
        <v>3</v>
      </c>
      <c r="U1090" t="inlineStr">
        <is>
          <t>2006-04-10</t>
        </is>
      </c>
      <c r="V1090" t="inlineStr">
        <is>
          <t>2006-04-10</t>
        </is>
      </c>
      <c r="W1090" t="inlineStr">
        <is>
          <t>1994-03-08</t>
        </is>
      </c>
      <c r="X1090" t="inlineStr">
        <is>
          <t>1994-03-08</t>
        </is>
      </c>
      <c r="Y1090" t="n">
        <v>331</v>
      </c>
      <c r="Z1090" t="n">
        <v>265</v>
      </c>
      <c r="AA1090" t="n">
        <v>272</v>
      </c>
      <c r="AB1090" t="n">
        <v>1</v>
      </c>
      <c r="AC1090" t="n">
        <v>1</v>
      </c>
      <c r="AD1090" t="n">
        <v>16</v>
      </c>
      <c r="AE1090" t="n">
        <v>16</v>
      </c>
      <c r="AF1090" t="n">
        <v>5</v>
      </c>
      <c r="AG1090" t="n">
        <v>5</v>
      </c>
      <c r="AH1090" t="n">
        <v>4</v>
      </c>
      <c r="AI1090" t="n">
        <v>4</v>
      </c>
      <c r="AJ1090" t="n">
        <v>10</v>
      </c>
      <c r="AK1090" t="n">
        <v>10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HYPERLINK("http://catalog.hathitrust.org/Record/000308622","HathiTrust Record")</f>
        <v/>
      </c>
      <c r="AS1090">
        <f>HYPERLINK("https://creighton-primo.hosted.exlibrisgroup.com/primo-explore/search?tab=default_tab&amp;search_scope=EVERYTHING&amp;vid=01CRU&amp;lang=en_US&amp;offset=0&amp;query=any,contains,991005204419702656","Catalog Record")</f>
        <v/>
      </c>
      <c r="AT1090">
        <f>HYPERLINK("http://www.worldcat.org/oclc/8111689","WorldCat Record")</f>
        <v/>
      </c>
      <c r="AU1090" t="inlineStr">
        <is>
          <t>180118677:eng</t>
        </is>
      </c>
      <c r="AV1090" t="inlineStr">
        <is>
          <t>8111689</t>
        </is>
      </c>
      <c r="AW1090" t="inlineStr">
        <is>
          <t>991005204419702656</t>
        </is>
      </c>
      <c r="AX1090" t="inlineStr">
        <is>
          <t>991005204419702656</t>
        </is>
      </c>
      <c r="AY1090" t="inlineStr">
        <is>
          <t>2257023330002656</t>
        </is>
      </c>
      <c r="AZ1090" t="inlineStr">
        <is>
          <t>BOOK</t>
        </is>
      </c>
      <c r="BB1090" t="inlineStr">
        <is>
          <t>9780845115015</t>
        </is>
      </c>
      <c r="BC1090" t="inlineStr">
        <is>
          <t>32285001852341</t>
        </is>
      </c>
      <c r="BD1090" t="inlineStr">
        <is>
          <t>893613300</t>
        </is>
      </c>
    </row>
    <row r="1091">
      <c r="A1091" t="inlineStr">
        <is>
          <t>No</t>
        </is>
      </c>
      <c r="B1091" t="inlineStr">
        <is>
          <t>QH511 .S6 no.23</t>
        </is>
      </c>
      <c r="C1091" t="inlineStr">
        <is>
          <t>0                      QH 0511000S  6                                                       no.23</t>
        </is>
      </c>
      <c r="D1091" t="inlineStr">
        <is>
          <t>The role of chromosomes in development / edited by Michael Locke.</t>
        </is>
      </c>
      <c r="E1091" t="inlineStr">
        <is>
          <t>no.23*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Society for the Study of Development and Growth (U.S.)</t>
        </is>
      </c>
      <c r="L1091" t="inlineStr">
        <is>
          <t>New York : Academic Press, 1964.</t>
        </is>
      </c>
      <c r="M1091" t="inlineStr">
        <is>
          <t>1964</t>
        </is>
      </c>
      <c r="O1091" t="inlineStr">
        <is>
          <t>eng</t>
        </is>
      </c>
      <c r="P1091" t="inlineStr">
        <is>
          <t>nyu</t>
        </is>
      </c>
      <c r="Q1091" t="inlineStr">
        <is>
          <t>Its Symposium ; 23d</t>
        </is>
      </c>
      <c r="R1091" t="inlineStr">
        <is>
          <t xml:space="preserve">QH </t>
        </is>
      </c>
      <c r="S1091" t="n">
        <v>1</v>
      </c>
      <c r="T1091" t="n">
        <v>1</v>
      </c>
      <c r="U1091" t="inlineStr">
        <is>
          <t>2008-10-26</t>
        </is>
      </c>
      <c r="V1091" t="inlineStr">
        <is>
          <t>2008-10-26</t>
        </is>
      </c>
      <c r="W1091" t="inlineStr">
        <is>
          <t>2000-06-15</t>
        </is>
      </c>
      <c r="X1091" t="inlineStr">
        <is>
          <t>2000-06-15</t>
        </is>
      </c>
      <c r="Y1091" t="n">
        <v>371</v>
      </c>
      <c r="Z1091" t="n">
        <v>284</v>
      </c>
      <c r="AA1091" t="n">
        <v>319</v>
      </c>
      <c r="AB1091" t="n">
        <v>3</v>
      </c>
      <c r="AC1091" t="n">
        <v>3</v>
      </c>
      <c r="AD1091" t="n">
        <v>15</v>
      </c>
      <c r="AE1091" t="n">
        <v>17</v>
      </c>
      <c r="AF1091" t="n">
        <v>6</v>
      </c>
      <c r="AG1091" t="n">
        <v>7</v>
      </c>
      <c r="AH1091" t="n">
        <v>1</v>
      </c>
      <c r="AI1091" t="n">
        <v>2</v>
      </c>
      <c r="AJ1091" t="n">
        <v>10</v>
      </c>
      <c r="AK1091" t="n">
        <v>10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HYPERLINK("http://catalog.hathitrust.org/Record/002097554","HathiTrust Record")</f>
        <v/>
      </c>
      <c r="AS1091">
        <f>HYPERLINK("https://creighton-primo.hosted.exlibrisgroup.com/primo-explore/search?tab=default_tab&amp;search_scope=EVERYTHING&amp;vid=01CRU&amp;lang=en_US&amp;offset=0&amp;query=any,contains,991003141779702656","Catalog Record")</f>
        <v/>
      </c>
      <c r="AT1091">
        <f>HYPERLINK("http://www.worldcat.org/oclc/5870505","WorldCat Record")</f>
        <v/>
      </c>
      <c r="AU1091" t="inlineStr">
        <is>
          <t>473887385:eng</t>
        </is>
      </c>
      <c r="AV1091" t="inlineStr">
        <is>
          <t>5870505</t>
        </is>
      </c>
      <c r="AW1091" t="inlineStr">
        <is>
          <t>991003141779702656</t>
        </is>
      </c>
      <c r="AX1091" t="inlineStr">
        <is>
          <t>991003141779702656</t>
        </is>
      </c>
      <c r="AY1091" t="inlineStr">
        <is>
          <t>2269230790002656</t>
        </is>
      </c>
      <c r="AZ1091" t="inlineStr">
        <is>
          <t>BOOK</t>
        </is>
      </c>
      <c r="BC1091" t="inlineStr">
        <is>
          <t>32285001852184</t>
        </is>
      </c>
      <c r="BD1091" t="inlineStr">
        <is>
          <t>893246054</t>
        </is>
      </c>
    </row>
    <row r="1092">
      <c r="A1092" t="inlineStr">
        <is>
          <t>No</t>
        </is>
      </c>
      <c r="B1092" t="inlineStr">
        <is>
          <t>QH511 .S6 no.38</t>
        </is>
      </c>
      <c r="C1092" t="inlineStr">
        <is>
          <t>0                      QH 0511000S  6                                                       no.38</t>
        </is>
      </c>
      <c r="D1092" t="inlineStr">
        <is>
          <t>The cell surface : mediator of developmental processes / Stephen Subtelny, editor, Norman K. Wessells, co-editor.</t>
        </is>
      </c>
      <c r="E1092" t="inlineStr">
        <is>
          <t>no.38*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Society for Developmental Biology.</t>
        </is>
      </c>
      <c r="L1092" t="inlineStr">
        <is>
          <t>New York : Academic Press, 1980.</t>
        </is>
      </c>
      <c r="M1092" t="inlineStr">
        <is>
          <t>1980</t>
        </is>
      </c>
      <c r="O1092" t="inlineStr">
        <is>
          <t>eng</t>
        </is>
      </c>
      <c r="P1092" t="inlineStr">
        <is>
          <t>xxu</t>
        </is>
      </c>
      <c r="R1092" t="inlineStr">
        <is>
          <t xml:space="preserve">QH </t>
        </is>
      </c>
      <c r="S1092" t="n">
        <v>3</v>
      </c>
      <c r="T1092" t="n">
        <v>3</v>
      </c>
      <c r="U1092" t="inlineStr">
        <is>
          <t>1996-10-02</t>
        </is>
      </c>
      <c r="V1092" t="inlineStr">
        <is>
          <t>1996-10-02</t>
        </is>
      </c>
      <c r="W1092" t="inlineStr">
        <is>
          <t>1994-03-08</t>
        </is>
      </c>
      <c r="X1092" t="inlineStr">
        <is>
          <t>1994-03-08</t>
        </is>
      </c>
      <c r="Y1092" t="n">
        <v>69</v>
      </c>
      <c r="Z1092" t="n">
        <v>51</v>
      </c>
      <c r="AA1092" t="n">
        <v>342</v>
      </c>
      <c r="AB1092" t="n">
        <v>1</v>
      </c>
      <c r="AC1092" t="n">
        <v>4</v>
      </c>
      <c r="AD1092" t="n">
        <v>1</v>
      </c>
      <c r="AE1092" t="n">
        <v>17</v>
      </c>
      <c r="AF1092" t="n">
        <v>1</v>
      </c>
      <c r="AG1092" t="n">
        <v>5</v>
      </c>
      <c r="AH1092" t="n">
        <v>0</v>
      </c>
      <c r="AI1092" t="n">
        <v>5</v>
      </c>
      <c r="AJ1092" t="n">
        <v>0</v>
      </c>
      <c r="AK1092" t="n">
        <v>8</v>
      </c>
      <c r="AL1092" t="n">
        <v>0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HYPERLINK("https://creighton-primo.hosted.exlibrisgroup.com/primo-explore/search?tab=default_tab&amp;search_scope=EVERYTHING&amp;vid=01CRU&amp;lang=en_US&amp;offset=0&amp;query=any,contains,991005027449702656","Catalog Record")</f>
        <v/>
      </c>
      <c r="AT1092">
        <f>HYPERLINK("http://www.worldcat.org/oclc/6707386","WorldCat Record")</f>
        <v/>
      </c>
      <c r="AU1092" t="inlineStr">
        <is>
          <t>995530825:eng</t>
        </is>
      </c>
      <c r="AV1092" t="inlineStr">
        <is>
          <t>6707386</t>
        </is>
      </c>
      <c r="AW1092" t="inlineStr">
        <is>
          <t>991005027449702656</t>
        </is>
      </c>
      <c r="AX1092" t="inlineStr">
        <is>
          <t>991005027449702656</t>
        </is>
      </c>
      <c r="AY1092" t="inlineStr">
        <is>
          <t>2257625950002656</t>
        </is>
      </c>
      <c r="AZ1092" t="inlineStr">
        <is>
          <t>BOOK</t>
        </is>
      </c>
      <c r="BB1092" t="inlineStr">
        <is>
          <t>9780126129847</t>
        </is>
      </c>
      <c r="BC1092" t="inlineStr">
        <is>
          <t>32285001852325</t>
        </is>
      </c>
      <c r="BD1092" t="inlineStr">
        <is>
          <t>893418283</t>
        </is>
      </c>
    </row>
    <row r="1093">
      <c r="A1093" t="inlineStr">
        <is>
          <t>No</t>
        </is>
      </c>
      <c r="B1093" t="inlineStr">
        <is>
          <t>QH511 .S6 no.39</t>
        </is>
      </c>
      <c r="C1093" t="inlineStr">
        <is>
          <t>0                      QH 0511000S  6                                                       no.39</t>
        </is>
      </c>
      <c r="D1093" t="inlineStr">
        <is>
          <t>Levels of genetic control in development / Stephen Subtelny, editor, Ursula K. Abbott, co-editor.</t>
        </is>
      </c>
      <c r="E1093" t="inlineStr">
        <is>
          <t>no.39*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New York : A.R. Liss, 1981.</t>
        </is>
      </c>
      <c r="M1093" t="inlineStr">
        <is>
          <t>1981</t>
        </is>
      </c>
      <c r="O1093" t="inlineStr">
        <is>
          <t>eng</t>
        </is>
      </c>
      <c r="P1093" t="inlineStr">
        <is>
          <t>nyu</t>
        </is>
      </c>
      <c r="Q1093" t="inlineStr">
        <is>
          <t>Symposium of the Society for Developmental Biology ; 39th</t>
        </is>
      </c>
      <c r="R1093" t="inlineStr">
        <is>
          <t xml:space="preserve">QH </t>
        </is>
      </c>
      <c r="S1093" t="n">
        <v>2</v>
      </c>
      <c r="T1093" t="n">
        <v>2</v>
      </c>
      <c r="U1093" t="inlineStr">
        <is>
          <t>1996-09-25</t>
        </is>
      </c>
      <c r="V1093" t="inlineStr">
        <is>
          <t>1996-09-25</t>
        </is>
      </c>
      <c r="W1093" t="inlineStr">
        <is>
          <t>1994-03-08</t>
        </is>
      </c>
      <c r="X1093" t="inlineStr">
        <is>
          <t>1994-03-08</t>
        </is>
      </c>
      <c r="Y1093" t="n">
        <v>332</v>
      </c>
      <c r="Z1093" t="n">
        <v>279</v>
      </c>
      <c r="AA1093" t="n">
        <v>286</v>
      </c>
      <c r="AB1093" t="n">
        <v>2</v>
      </c>
      <c r="AC1093" t="n">
        <v>2</v>
      </c>
      <c r="AD1093" t="n">
        <v>15</v>
      </c>
      <c r="AE1093" t="n">
        <v>15</v>
      </c>
      <c r="AF1093" t="n">
        <v>6</v>
      </c>
      <c r="AG1093" t="n">
        <v>6</v>
      </c>
      <c r="AH1093" t="n">
        <v>3</v>
      </c>
      <c r="AI1093" t="n">
        <v>3</v>
      </c>
      <c r="AJ1093" t="n">
        <v>9</v>
      </c>
      <c r="AK1093" t="n">
        <v>9</v>
      </c>
      <c r="AL1093" t="n">
        <v>1</v>
      </c>
      <c r="AM1093" t="n">
        <v>1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HYPERLINK("http://catalog.hathitrust.org/Record/000479570","HathiTrust Record")</f>
        <v/>
      </c>
      <c r="AS1093">
        <f>HYPERLINK("https://creighton-primo.hosted.exlibrisgroup.com/primo-explore/search?tab=default_tab&amp;search_scope=EVERYTHING&amp;vid=01CRU&amp;lang=en_US&amp;offset=0&amp;query=any,contains,991005097369702656","Catalog Record")</f>
        <v/>
      </c>
      <c r="AT1093">
        <f>HYPERLINK("http://www.worldcat.org/oclc/7275961","WorldCat Record")</f>
        <v/>
      </c>
      <c r="AU1093" t="inlineStr">
        <is>
          <t>995120980:eng</t>
        </is>
      </c>
      <c r="AV1093" t="inlineStr">
        <is>
          <t>7275961</t>
        </is>
      </c>
      <c r="AW1093" t="inlineStr">
        <is>
          <t>991005097369702656</t>
        </is>
      </c>
      <c r="AX1093" t="inlineStr">
        <is>
          <t>991005097369702656</t>
        </is>
      </c>
      <c r="AY1093" t="inlineStr">
        <is>
          <t>2259939330002656</t>
        </is>
      </c>
      <c r="AZ1093" t="inlineStr">
        <is>
          <t>BOOK</t>
        </is>
      </c>
      <c r="BB1093" t="inlineStr">
        <is>
          <t>9780845115008</t>
        </is>
      </c>
      <c r="BC1093" t="inlineStr">
        <is>
          <t>32285001852333</t>
        </is>
      </c>
      <c r="BD1093" t="inlineStr">
        <is>
          <t>893536370</t>
        </is>
      </c>
    </row>
    <row r="1094">
      <c r="A1094" t="inlineStr">
        <is>
          <t>No</t>
        </is>
      </c>
      <c r="B1094" t="inlineStr">
        <is>
          <t>QH511 .S6 no.42</t>
        </is>
      </c>
      <c r="C1094" t="inlineStr">
        <is>
          <t>0                      QH 0511000S  6                                                       no.42</t>
        </is>
      </c>
      <c r="D1094" t="inlineStr">
        <is>
          <t>The Role of extracellular matrix in development / Robert L. Trelstad, editor.</t>
        </is>
      </c>
      <c r="E1094" t="inlineStr">
        <is>
          <t>no.42*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Society for Developmental Biology. Symposium (42nd : 1983 : Irvine, Calif.)</t>
        </is>
      </c>
      <c r="L1094" t="inlineStr">
        <is>
          <t>New York : Liss, 1984.</t>
        </is>
      </c>
      <c r="M1094" t="inlineStr">
        <is>
          <t>1984</t>
        </is>
      </c>
      <c r="O1094" t="inlineStr">
        <is>
          <t>eng</t>
        </is>
      </c>
      <c r="P1094" t="inlineStr">
        <is>
          <t>nyu</t>
        </is>
      </c>
      <c r="Q1094" t="inlineStr">
        <is>
          <t>Symposium of the Society for Developmental Biology ; 42nd</t>
        </is>
      </c>
      <c r="R1094" t="inlineStr">
        <is>
          <t xml:space="preserve">QH </t>
        </is>
      </c>
      <c r="S1094" t="n">
        <v>1</v>
      </c>
      <c r="T1094" t="n">
        <v>1</v>
      </c>
      <c r="U1094" t="inlineStr">
        <is>
          <t>1997-02-02</t>
        </is>
      </c>
      <c r="V1094" t="inlineStr">
        <is>
          <t>1997-02-02</t>
        </is>
      </c>
      <c r="W1094" t="inlineStr">
        <is>
          <t>1994-03-08</t>
        </is>
      </c>
      <c r="X1094" t="inlineStr">
        <is>
          <t>1994-03-08</t>
        </is>
      </c>
      <c r="Y1094" t="n">
        <v>341</v>
      </c>
      <c r="Z1094" t="n">
        <v>277</v>
      </c>
      <c r="AA1094" t="n">
        <v>284</v>
      </c>
      <c r="AB1094" t="n">
        <v>2</v>
      </c>
      <c r="AC1094" t="n">
        <v>2</v>
      </c>
      <c r="AD1094" t="n">
        <v>10</v>
      </c>
      <c r="AE1094" t="n">
        <v>10</v>
      </c>
      <c r="AF1094" t="n">
        <v>3</v>
      </c>
      <c r="AG1094" t="n">
        <v>3</v>
      </c>
      <c r="AH1094" t="n">
        <v>3</v>
      </c>
      <c r="AI1094" t="n">
        <v>3</v>
      </c>
      <c r="AJ1094" t="n">
        <v>6</v>
      </c>
      <c r="AK1094" t="n">
        <v>6</v>
      </c>
      <c r="AL1094" t="n">
        <v>1</v>
      </c>
      <c r="AM1094" t="n">
        <v>1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HYPERLINK("http://catalog.hathitrust.org/Record/000164760","HathiTrust Record")</f>
        <v/>
      </c>
      <c r="AS1094">
        <f>HYPERLINK("https://creighton-primo.hosted.exlibrisgroup.com/primo-explore/search?tab=default_tab&amp;search_scope=EVERYTHING&amp;vid=01CRU&amp;lang=en_US&amp;offset=0&amp;query=any,contains,991000391879702656","Catalog Record")</f>
        <v/>
      </c>
      <c r="AT1094">
        <f>HYPERLINK("http://www.worldcat.org/oclc/10557899","WorldCat Record")</f>
        <v/>
      </c>
      <c r="AU1094" t="inlineStr">
        <is>
          <t>570418729:eng</t>
        </is>
      </c>
      <c r="AV1094" t="inlineStr">
        <is>
          <t>10557899</t>
        </is>
      </c>
      <c r="AW1094" t="inlineStr">
        <is>
          <t>991000391879702656</t>
        </is>
      </c>
      <c r="AX1094" t="inlineStr">
        <is>
          <t>991000391879702656</t>
        </is>
      </c>
      <c r="AY1094" t="inlineStr">
        <is>
          <t>2271533570002656</t>
        </is>
      </c>
      <c r="AZ1094" t="inlineStr">
        <is>
          <t>BOOK</t>
        </is>
      </c>
      <c r="BB1094" t="inlineStr">
        <is>
          <t>9780845115039</t>
        </is>
      </c>
      <c r="BC1094" t="inlineStr">
        <is>
          <t>32285001852366</t>
        </is>
      </c>
      <c r="BD1094" t="inlineStr">
        <is>
          <t>893884339</t>
        </is>
      </c>
    </row>
    <row r="1095">
      <c r="A1095" t="inlineStr">
        <is>
          <t>No</t>
        </is>
      </c>
      <c r="B1095" t="inlineStr">
        <is>
          <t>QH511 .S6 no.45</t>
        </is>
      </c>
      <c r="C1095" t="inlineStr">
        <is>
          <t>0                      QH 0511000S  6                                                       no.45</t>
        </is>
      </c>
      <c r="D1095" t="inlineStr">
        <is>
          <t>Genetic regulation of development : the forty-fifth symposium of the Society for Developmental Biology, La Jolla, California, June 23-25, 1986 / William F. Loomis, editor.</t>
        </is>
      </c>
      <c r="E1095" t="inlineStr">
        <is>
          <t>no.45*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Society for Developmental Biology. Symposium (45th : 1986 : La Jolla, San Diego, Calif.)</t>
        </is>
      </c>
      <c r="L1095" t="inlineStr">
        <is>
          <t>New York : Liss,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nyu</t>
        </is>
      </c>
      <c r="Q1095" t="inlineStr">
        <is>
          <t>Symposium of the Society for Developmental Biology ; 45th</t>
        </is>
      </c>
      <c r="R1095" t="inlineStr">
        <is>
          <t xml:space="preserve">QH </t>
        </is>
      </c>
      <c r="S1095" t="n">
        <v>2</v>
      </c>
      <c r="T1095" t="n">
        <v>2</v>
      </c>
      <c r="U1095" t="inlineStr">
        <is>
          <t>1996-09-25</t>
        </is>
      </c>
      <c r="V1095" t="inlineStr">
        <is>
          <t>1996-09-25</t>
        </is>
      </c>
      <c r="W1095" t="inlineStr">
        <is>
          <t>1994-03-08</t>
        </is>
      </c>
      <c r="X1095" t="inlineStr">
        <is>
          <t>1994-03-08</t>
        </is>
      </c>
      <c r="Y1095" t="n">
        <v>311</v>
      </c>
      <c r="Z1095" t="n">
        <v>261</v>
      </c>
      <c r="AA1095" t="n">
        <v>267</v>
      </c>
      <c r="AB1095" t="n">
        <v>2</v>
      </c>
      <c r="AC1095" t="n">
        <v>2</v>
      </c>
      <c r="AD1095" t="n">
        <v>11</v>
      </c>
      <c r="AE1095" t="n">
        <v>11</v>
      </c>
      <c r="AF1095" t="n">
        <v>2</v>
      </c>
      <c r="AG1095" t="n">
        <v>2</v>
      </c>
      <c r="AH1095" t="n">
        <v>3</v>
      </c>
      <c r="AI1095" t="n">
        <v>3</v>
      </c>
      <c r="AJ1095" t="n">
        <v>8</v>
      </c>
      <c r="AK1095" t="n">
        <v>8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HYPERLINK("http://catalog.hathitrust.org/Record/000821243","HathiTrust Record")</f>
        <v/>
      </c>
      <c r="AS1095">
        <f>HYPERLINK("https://creighton-primo.hosted.exlibrisgroup.com/primo-explore/search?tab=default_tab&amp;search_scope=EVERYTHING&amp;vid=01CRU&amp;lang=en_US&amp;offset=0&amp;query=any,contains,991000974979702656","Catalog Record")</f>
        <v/>
      </c>
      <c r="AT1095">
        <f>HYPERLINK("http://www.worldcat.org/oclc/15014782","WorldCat Record")</f>
        <v/>
      </c>
      <c r="AU1095" t="inlineStr">
        <is>
          <t>355505543:eng</t>
        </is>
      </c>
      <c r="AV1095" t="inlineStr">
        <is>
          <t>15014782</t>
        </is>
      </c>
      <c r="AW1095" t="inlineStr">
        <is>
          <t>991000974979702656</t>
        </is>
      </c>
      <c r="AX1095" t="inlineStr">
        <is>
          <t>991000974979702656</t>
        </is>
      </c>
      <c r="AY1095" t="inlineStr">
        <is>
          <t>2272177380002656</t>
        </is>
      </c>
      <c r="AZ1095" t="inlineStr">
        <is>
          <t>BOOK</t>
        </is>
      </c>
      <c r="BB1095" t="inlineStr">
        <is>
          <t>9780845115060</t>
        </is>
      </c>
      <c r="BC1095" t="inlineStr">
        <is>
          <t>32285001852382</t>
        </is>
      </c>
      <c r="BD1095" t="inlineStr">
        <is>
          <t>893327758</t>
        </is>
      </c>
    </row>
    <row r="1096">
      <c r="A1096" t="inlineStr">
        <is>
          <t>No</t>
        </is>
      </c>
      <c r="B1096" t="inlineStr">
        <is>
          <t>QH513 .B56 1991</t>
        </is>
      </c>
      <c r="C1096" t="inlineStr">
        <is>
          <t>0                      QH 0513000B  56          1991</t>
        </is>
      </c>
      <c r="D1096" t="inlineStr">
        <is>
          <t>Biomechanics in evolution / edited by J.M.V. Rayner and R.J. Wootton.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Cambridge ; New York : Cambridge University Press, 1991.</t>
        </is>
      </c>
      <c r="M1096" t="inlineStr">
        <is>
          <t>1991</t>
        </is>
      </c>
      <c r="O1096" t="inlineStr">
        <is>
          <t>eng</t>
        </is>
      </c>
      <c r="P1096" t="inlineStr">
        <is>
          <t>enk</t>
        </is>
      </c>
      <c r="Q1096" t="inlineStr">
        <is>
          <t>Society for Experimental Biology seminar series ; 36</t>
        </is>
      </c>
      <c r="R1096" t="inlineStr">
        <is>
          <t xml:space="preserve">QH </t>
        </is>
      </c>
      <c r="S1096" t="n">
        <v>5</v>
      </c>
      <c r="T1096" t="n">
        <v>5</v>
      </c>
      <c r="U1096" t="inlineStr">
        <is>
          <t>2008-02-04</t>
        </is>
      </c>
      <c r="V1096" t="inlineStr">
        <is>
          <t>2008-02-04</t>
        </is>
      </c>
      <c r="W1096" t="inlineStr">
        <is>
          <t>1994-03-11</t>
        </is>
      </c>
      <c r="X1096" t="inlineStr">
        <is>
          <t>1994-03-11</t>
        </is>
      </c>
      <c r="Y1096" t="n">
        <v>305</v>
      </c>
      <c r="Z1096" t="n">
        <v>191</v>
      </c>
      <c r="AA1096" t="n">
        <v>196</v>
      </c>
      <c r="AB1096" t="n">
        <v>3</v>
      </c>
      <c r="AC1096" t="n">
        <v>3</v>
      </c>
      <c r="AD1096" t="n">
        <v>7</v>
      </c>
      <c r="AE1096" t="n">
        <v>7</v>
      </c>
      <c r="AF1096" t="n">
        <v>2</v>
      </c>
      <c r="AG1096" t="n">
        <v>2</v>
      </c>
      <c r="AH1096" t="n">
        <v>1</v>
      </c>
      <c r="AI1096" t="n">
        <v>1</v>
      </c>
      <c r="AJ1096" t="n">
        <v>4</v>
      </c>
      <c r="AK1096" t="n">
        <v>4</v>
      </c>
      <c r="AL1096" t="n">
        <v>2</v>
      </c>
      <c r="AM1096" t="n">
        <v>2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HYPERLINK("https://creighton-primo.hosted.exlibrisgroup.com/primo-explore/search?tab=default_tab&amp;search_scope=EVERYTHING&amp;vid=01CRU&amp;lang=en_US&amp;offset=0&amp;query=any,contains,991001884789702656","Catalog Record")</f>
        <v/>
      </c>
      <c r="AT1096">
        <f>HYPERLINK("http://www.worldcat.org/oclc/23766391","WorldCat Record")</f>
        <v/>
      </c>
      <c r="AU1096" t="inlineStr">
        <is>
          <t>365269654:eng</t>
        </is>
      </c>
      <c r="AV1096" t="inlineStr">
        <is>
          <t>23766391</t>
        </is>
      </c>
      <c r="AW1096" t="inlineStr">
        <is>
          <t>991001884789702656</t>
        </is>
      </c>
      <c r="AX1096" t="inlineStr">
        <is>
          <t>991001884789702656</t>
        </is>
      </c>
      <c r="AY1096" t="inlineStr">
        <is>
          <t>2269583010002656</t>
        </is>
      </c>
      <c r="AZ1096" t="inlineStr">
        <is>
          <t>BOOK</t>
        </is>
      </c>
      <c r="BB1096" t="inlineStr">
        <is>
          <t>9780521344210</t>
        </is>
      </c>
      <c r="BC1096" t="inlineStr">
        <is>
          <t>32285001855971</t>
        </is>
      </c>
      <c r="BD1096" t="inlineStr">
        <is>
          <t>893522932</t>
        </is>
      </c>
    </row>
    <row r="1097">
      <c r="A1097" t="inlineStr">
        <is>
          <t>No</t>
        </is>
      </c>
      <c r="B1097" t="inlineStr">
        <is>
          <t>QH515 .V57</t>
        </is>
      </c>
      <c r="C1097" t="inlineStr">
        <is>
          <t>0                      QH 0515000V  57</t>
        </is>
      </c>
      <c r="D1097" t="inlineStr">
        <is>
          <t>Visual cells in evolution / editor, Jane A. Westfall.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New York : Raven Press, c1982.</t>
        </is>
      </c>
      <c r="M1097" t="inlineStr">
        <is>
          <t>1982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QH </t>
        </is>
      </c>
      <c r="S1097" t="n">
        <v>5</v>
      </c>
      <c r="T1097" t="n">
        <v>5</v>
      </c>
      <c r="U1097" t="inlineStr">
        <is>
          <t>1996-11-25</t>
        </is>
      </c>
      <c r="V1097" t="inlineStr">
        <is>
          <t>1996-11-25</t>
        </is>
      </c>
      <c r="W1097" t="inlineStr">
        <is>
          <t>1993-04-27</t>
        </is>
      </c>
      <c r="X1097" t="inlineStr">
        <is>
          <t>1993-04-27</t>
        </is>
      </c>
      <c r="Y1097" t="n">
        <v>165</v>
      </c>
      <c r="Z1097" t="n">
        <v>124</v>
      </c>
      <c r="AA1097" t="n">
        <v>152</v>
      </c>
      <c r="AB1097" t="n">
        <v>2</v>
      </c>
      <c r="AC1097" t="n">
        <v>2</v>
      </c>
      <c r="AD1097" t="n">
        <v>4</v>
      </c>
      <c r="AE1097" t="n">
        <v>5</v>
      </c>
      <c r="AF1097" t="n">
        <v>0</v>
      </c>
      <c r="AG1097" t="n">
        <v>0</v>
      </c>
      <c r="AH1097" t="n">
        <v>2</v>
      </c>
      <c r="AI1097" t="n">
        <v>2</v>
      </c>
      <c r="AJ1097" t="n">
        <v>3</v>
      </c>
      <c r="AK1097" t="n">
        <v>4</v>
      </c>
      <c r="AL1097" t="n">
        <v>1</v>
      </c>
      <c r="AM1097" t="n">
        <v>1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HYPERLINK("http://catalog.hathitrust.org/Record/006243033","HathiTrust Record")</f>
        <v/>
      </c>
      <c r="AS1097">
        <f>HYPERLINK("https://creighton-primo.hosted.exlibrisgroup.com/primo-explore/search?tab=default_tab&amp;search_scope=EVERYTHING&amp;vid=01CRU&amp;lang=en_US&amp;offset=0&amp;query=any,contains,991005186249702656","Catalog Record")</f>
        <v/>
      </c>
      <c r="AT1097">
        <f>HYPERLINK("http://www.worldcat.org/oclc/7976246","WorldCat Record")</f>
        <v/>
      </c>
      <c r="AU1097" t="inlineStr">
        <is>
          <t>54469335:eng</t>
        </is>
      </c>
      <c r="AV1097" t="inlineStr">
        <is>
          <t>7976246</t>
        </is>
      </c>
      <c r="AW1097" t="inlineStr">
        <is>
          <t>991005186249702656</t>
        </is>
      </c>
      <c r="AX1097" t="inlineStr">
        <is>
          <t>991005186249702656</t>
        </is>
      </c>
      <c r="AY1097" t="inlineStr">
        <is>
          <t>2261917450002656</t>
        </is>
      </c>
      <c r="AZ1097" t="inlineStr">
        <is>
          <t>BOOK</t>
        </is>
      </c>
      <c r="BB1097" t="inlineStr">
        <is>
          <t>9780890047606</t>
        </is>
      </c>
      <c r="BC1097" t="inlineStr">
        <is>
          <t>32285001641900</t>
        </is>
      </c>
      <c r="BD1097" t="inlineStr">
        <is>
          <t>893713595</t>
        </is>
      </c>
    </row>
    <row r="1098">
      <c r="A1098" t="inlineStr">
        <is>
          <t>No</t>
        </is>
      </c>
      <c r="B1098" t="inlineStr">
        <is>
          <t>QH515 .W64</t>
        </is>
      </c>
      <c r="C1098" t="inlineStr">
        <is>
          <t>0                      QH 0515000W  64</t>
        </is>
      </c>
      <c r="D1098" t="inlineStr">
        <is>
          <t>Photoprocesses, photoreceptors, and evolution / Jerome J. Wolken.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Wolken, Jerome J. (Jerome Jay), 1917-1999.</t>
        </is>
      </c>
      <c r="L1098" t="inlineStr">
        <is>
          <t>New York : Academic Press, 1975.</t>
        </is>
      </c>
      <c r="M1098" t="inlineStr">
        <is>
          <t>1975</t>
        </is>
      </c>
      <c r="O1098" t="inlineStr">
        <is>
          <t>eng</t>
        </is>
      </c>
      <c r="P1098" t="inlineStr">
        <is>
          <t>nyu</t>
        </is>
      </c>
      <c r="R1098" t="inlineStr">
        <is>
          <t xml:space="preserve">QH </t>
        </is>
      </c>
      <c r="S1098" t="n">
        <v>4</v>
      </c>
      <c r="T1098" t="n">
        <v>4</v>
      </c>
      <c r="U1098" t="inlineStr">
        <is>
          <t>1998-10-11</t>
        </is>
      </c>
      <c r="V1098" t="inlineStr">
        <is>
          <t>1998-10-11</t>
        </is>
      </c>
      <c r="W1098" t="inlineStr">
        <is>
          <t>1992-04-07</t>
        </is>
      </c>
      <c r="X1098" t="inlineStr">
        <is>
          <t>1992-04-07</t>
        </is>
      </c>
      <c r="Y1098" t="n">
        <v>513</v>
      </c>
      <c r="Z1098" t="n">
        <v>392</v>
      </c>
      <c r="AA1098" t="n">
        <v>433</v>
      </c>
      <c r="AB1098" t="n">
        <v>3</v>
      </c>
      <c r="AC1098" t="n">
        <v>3</v>
      </c>
      <c r="AD1098" t="n">
        <v>15</v>
      </c>
      <c r="AE1098" t="n">
        <v>18</v>
      </c>
      <c r="AF1098" t="n">
        <v>7</v>
      </c>
      <c r="AG1098" t="n">
        <v>9</v>
      </c>
      <c r="AH1098" t="n">
        <v>4</v>
      </c>
      <c r="AI1098" t="n">
        <v>6</v>
      </c>
      <c r="AJ1098" t="n">
        <v>5</v>
      </c>
      <c r="AK1098" t="n">
        <v>5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HYPERLINK("http://catalog.hathitrust.org/Record/000736312","HathiTrust Record")</f>
        <v/>
      </c>
      <c r="AS1098">
        <f>HYPERLINK("https://creighton-primo.hosted.exlibrisgroup.com/primo-explore/search?tab=default_tab&amp;search_scope=EVERYTHING&amp;vid=01CRU&amp;lang=en_US&amp;offset=0&amp;query=any,contains,991003704389702656","Catalog Record")</f>
        <v/>
      </c>
      <c r="AT1098">
        <f>HYPERLINK("http://www.worldcat.org/oclc/1341344","WorldCat Record")</f>
        <v/>
      </c>
      <c r="AU1098" t="inlineStr">
        <is>
          <t>2232931:eng</t>
        </is>
      </c>
      <c r="AV1098" t="inlineStr">
        <is>
          <t>1341344</t>
        </is>
      </c>
      <c r="AW1098" t="inlineStr">
        <is>
          <t>991003704389702656</t>
        </is>
      </c>
      <c r="AX1098" t="inlineStr">
        <is>
          <t>991003704389702656</t>
        </is>
      </c>
      <c r="AY1098" t="inlineStr">
        <is>
          <t>2262318670002656</t>
        </is>
      </c>
      <c r="AZ1098" t="inlineStr">
        <is>
          <t>BOOK</t>
        </is>
      </c>
      <c r="BB1098" t="inlineStr">
        <is>
          <t>9780127620503</t>
        </is>
      </c>
      <c r="BC1098" t="inlineStr">
        <is>
          <t>32285001055689</t>
        </is>
      </c>
      <c r="BD1098" t="inlineStr">
        <is>
          <t>893875062</t>
        </is>
      </c>
    </row>
    <row r="1099">
      <c r="A1099" t="inlineStr">
        <is>
          <t>No</t>
        </is>
      </c>
      <c r="B1099" t="inlineStr">
        <is>
          <t>QH518.5 .F46 1995</t>
        </is>
      </c>
      <c r="C1099" t="inlineStr">
        <is>
          <t>0                      QH 0518500F  46          1995</t>
        </is>
      </c>
      <c r="D1099" t="inlineStr">
        <is>
          <t>Ecology and evolution in anoxic worlds / Tom Fenchel, Bland J. Finlay.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Fenchel, Tom.</t>
        </is>
      </c>
      <c r="L1099" t="inlineStr">
        <is>
          <t>Oxford ; New York : Oxford University Press, 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enk</t>
        </is>
      </c>
      <c r="Q1099" t="inlineStr">
        <is>
          <t>Oxford series in ecology and evolution</t>
        </is>
      </c>
      <c r="R1099" t="inlineStr">
        <is>
          <t xml:space="preserve">QH </t>
        </is>
      </c>
      <c r="S1099" t="n">
        <v>14</v>
      </c>
      <c r="T1099" t="n">
        <v>14</v>
      </c>
      <c r="U1099" t="inlineStr">
        <is>
          <t>2001-09-21</t>
        </is>
      </c>
      <c r="V1099" t="inlineStr">
        <is>
          <t>2001-09-21</t>
        </is>
      </c>
      <c r="W1099" t="inlineStr">
        <is>
          <t>1996-04-15</t>
        </is>
      </c>
      <c r="X1099" t="inlineStr">
        <is>
          <t>1996-04-15</t>
        </is>
      </c>
      <c r="Y1099" t="n">
        <v>441</v>
      </c>
      <c r="Z1099" t="n">
        <v>321</v>
      </c>
      <c r="AA1099" t="n">
        <v>323</v>
      </c>
      <c r="AB1099" t="n">
        <v>3</v>
      </c>
      <c r="AC1099" t="n">
        <v>3</v>
      </c>
      <c r="AD1099" t="n">
        <v>13</v>
      </c>
      <c r="AE1099" t="n">
        <v>13</v>
      </c>
      <c r="AF1099" t="n">
        <v>4</v>
      </c>
      <c r="AG1099" t="n">
        <v>4</v>
      </c>
      <c r="AH1099" t="n">
        <v>4</v>
      </c>
      <c r="AI1099" t="n">
        <v>4</v>
      </c>
      <c r="AJ1099" t="n">
        <v>9</v>
      </c>
      <c r="AK1099" t="n">
        <v>9</v>
      </c>
      <c r="AL1099" t="n">
        <v>2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HYPERLINK("http://catalog.hathitrust.org/Record/002966458","HathiTrust Record")</f>
        <v/>
      </c>
      <c r="AS1099">
        <f>HYPERLINK("https://creighton-primo.hosted.exlibrisgroup.com/primo-explore/search?tab=default_tab&amp;search_scope=EVERYTHING&amp;vid=01CRU&amp;lang=en_US&amp;offset=0&amp;query=any,contains,991002390869702656","Catalog Record")</f>
        <v/>
      </c>
      <c r="AT1099">
        <f>HYPERLINK("http://www.worldcat.org/oclc/31046101","WorldCat Record")</f>
        <v/>
      </c>
      <c r="AU1099" t="inlineStr">
        <is>
          <t>33462589:eng</t>
        </is>
      </c>
      <c r="AV1099" t="inlineStr">
        <is>
          <t>31046101</t>
        </is>
      </c>
      <c r="AW1099" t="inlineStr">
        <is>
          <t>991002390869702656</t>
        </is>
      </c>
      <c r="AX1099" t="inlineStr">
        <is>
          <t>991002390869702656</t>
        </is>
      </c>
      <c r="AY1099" t="inlineStr">
        <is>
          <t>2262629640002656</t>
        </is>
      </c>
      <c r="AZ1099" t="inlineStr">
        <is>
          <t>BOOK</t>
        </is>
      </c>
      <c r="BB1099" t="inlineStr">
        <is>
          <t>9780198548379</t>
        </is>
      </c>
      <c r="BC1099" t="inlineStr">
        <is>
          <t>32285002152980</t>
        </is>
      </c>
      <c r="BD1099" t="inlineStr">
        <is>
          <t>893445138</t>
        </is>
      </c>
    </row>
    <row r="1100">
      <c r="A1100" t="inlineStr">
        <is>
          <t>No</t>
        </is>
      </c>
      <c r="B1100" t="inlineStr">
        <is>
          <t>QH523 .H63 1987</t>
        </is>
      </c>
      <c r="C1100" t="inlineStr">
        <is>
          <t>0                      QH 0523000H  63          1987</t>
        </is>
      </c>
      <c r="D1100" t="inlineStr">
        <is>
          <t>Metabolic arrest and the control of biological time / Peter W. Hochachka and Michael Guppy.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Hochachka, Peter W.</t>
        </is>
      </c>
      <c r="L1100" t="inlineStr">
        <is>
          <t>Cambridge, Mass. : Harvard University Press, 1987.</t>
        </is>
      </c>
      <c r="M1100" t="inlineStr">
        <is>
          <t>1987</t>
        </is>
      </c>
      <c r="O1100" t="inlineStr">
        <is>
          <t>eng</t>
        </is>
      </c>
      <c r="P1100" t="inlineStr">
        <is>
          <t>mau</t>
        </is>
      </c>
      <c r="R1100" t="inlineStr">
        <is>
          <t xml:space="preserve">QH </t>
        </is>
      </c>
      <c r="S1100" t="n">
        <v>3</v>
      </c>
      <c r="T1100" t="n">
        <v>3</v>
      </c>
      <c r="U1100" t="inlineStr">
        <is>
          <t>2000-05-09</t>
        </is>
      </c>
      <c r="V1100" t="inlineStr">
        <is>
          <t>2000-05-09</t>
        </is>
      </c>
      <c r="W1100" t="inlineStr">
        <is>
          <t>1993-04-27</t>
        </is>
      </c>
      <c r="X1100" t="inlineStr">
        <is>
          <t>1993-04-27</t>
        </is>
      </c>
      <c r="Y1100" t="n">
        <v>391</v>
      </c>
      <c r="Z1100" t="n">
        <v>304</v>
      </c>
      <c r="AA1100" t="n">
        <v>309</v>
      </c>
      <c r="AB1100" t="n">
        <v>4</v>
      </c>
      <c r="AC1100" t="n">
        <v>4</v>
      </c>
      <c r="AD1100" t="n">
        <v>18</v>
      </c>
      <c r="AE1100" t="n">
        <v>18</v>
      </c>
      <c r="AF1100" t="n">
        <v>6</v>
      </c>
      <c r="AG1100" t="n">
        <v>6</v>
      </c>
      <c r="AH1100" t="n">
        <v>4</v>
      </c>
      <c r="AI1100" t="n">
        <v>4</v>
      </c>
      <c r="AJ1100" t="n">
        <v>10</v>
      </c>
      <c r="AK1100" t="n">
        <v>10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No</t>
        </is>
      </c>
      <c r="AS1100">
        <f>HYPERLINK("https://creighton-primo.hosted.exlibrisgroup.com/primo-explore/search?tab=default_tab&amp;search_scope=EVERYTHING&amp;vid=01CRU&amp;lang=en_US&amp;offset=0&amp;query=any,contains,991005406699702656","Catalog Record")</f>
        <v/>
      </c>
      <c r="AT1100">
        <f>HYPERLINK("http://www.worldcat.org/oclc/13796225","WorldCat Record")</f>
        <v/>
      </c>
      <c r="AU1100" t="inlineStr">
        <is>
          <t>2682087:eng</t>
        </is>
      </c>
      <c r="AV1100" t="inlineStr">
        <is>
          <t>13796225</t>
        </is>
      </c>
      <c r="AW1100" t="inlineStr">
        <is>
          <t>991005406699702656</t>
        </is>
      </c>
      <c r="AX1100" t="inlineStr">
        <is>
          <t>991005406699702656</t>
        </is>
      </c>
      <c r="AY1100" t="inlineStr">
        <is>
          <t>2270880060002656</t>
        </is>
      </c>
      <c r="AZ1100" t="inlineStr">
        <is>
          <t>BOOK</t>
        </is>
      </c>
      <c r="BB1100" t="inlineStr">
        <is>
          <t>9780674569768</t>
        </is>
      </c>
      <c r="BC1100" t="inlineStr">
        <is>
          <t>32285001641918</t>
        </is>
      </c>
      <c r="BD1100" t="inlineStr">
        <is>
          <t>893339043</t>
        </is>
      </c>
    </row>
    <row r="1101">
      <c r="A1101" t="inlineStr">
        <is>
          <t>No</t>
        </is>
      </c>
      <c r="B1101" t="inlineStr">
        <is>
          <t>QH527 .B46</t>
        </is>
      </c>
      <c r="C1101" t="inlineStr">
        <is>
          <t>0                      QH 0527000B  46</t>
        </is>
      </c>
      <c r="D1101" t="inlineStr">
        <is>
          <t>Living clocks in the animal world, by Miriam F. Bennett.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Bennett, Miriam F.</t>
        </is>
      </c>
      <c r="L1101" t="inlineStr">
        <is>
          <t>Springfield, Ill., Thomas 1974]</t>
        </is>
      </c>
      <c r="M1101" t="inlineStr">
        <is>
          <t>1974</t>
        </is>
      </c>
      <c r="O1101" t="inlineStr">
        <is>
          <t>eng</t>
        </is>
      </c>
      <c r="P1101" t="inlineStr">
        <is>
          <t>ilu</t>
        </is>
      </c>
      <c r="Q1101" t="inlineStr">
        <is>
          <t>American lecture series, publication no. 902. A monograph in American lectures in environmental studies</t>
        </is>
      </c>
      <c r="R1101" t="inlineStr">
        <is>
          <t xml:space="preserve">QH </t>
        </is>
      </c>
      <c r="S1101" t="n">
        <v>1</v>
      </c>
      <c r="T1101" t="n">
        <v>1</v>
      </c>
      <c r="U1101" t="inlineStr">
        <is>
          <t>2000-05-09</t>
        </is>
      </c>
      <c r="V1101" t="inlineStr">
        <is>
          <t>2000-05-09</t>
        </is>
      </c>
      <c r="W1101" t="inlineStr">
        <is>
          <t>1997-07-03</t>
        </is>
      </c>
      <c r="X1101" t="inlineStr">
        <is>
          <t>1997-07-03</t>
        </is>
      </c>
      <c r="Y1101" t="n">
        <v>301</v>
      </c>
      <c r="Z1101" t="n">
        <v>248</v>
      </c>
      <c r="AA1101" t="n">
        <v>415</v>
      </c>
      <c r="AB1101" t="n">
        <v>3</v>
      </c>
      <c r="AC1101" t="n">
        <v>3</v>
      </c>
      <c r="AD1101" t="n">
        <v>3</v>
      </c>
      <c r="AE1101" t="n">
        <v>9</v>
      </c>
      <c r="AF1101" t="n">
        <v>0</v>
      </c>
      <c r="AG1101" t="n">
        <v>2</v>
      </c>
      <c r="AH1101" t="n">
        <v>0</v>
      </c>
      <c r="AI1101" t="n">
        <v>4</v>
      </c>
      <c r="AJ1101" t="n">
        <v>1</v>
      </c>
      <c r="AK1101" t="n">
        <v>3</v>
      </c>
      <c r="AL1101" t="n">
        <v>2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Yes</t>
        </is>
      </c>
      <c r="AR1101">
        <f>HYPERLINK("http://catalog.hathitrust.org/Record/000876093","HathiTrust Record")</f>
        <v/>
      </c>
      <c r="AS1101">
        <f>HYPERLINK("https://creighton-primo.hosted.exlibrisgroup.com/primo-explore/search?tab=default_tab&amp;search_scope=EVERYTHING&amp;vid=01CRU&amp;lang=en_US&amp;offset=0&amp;query=any,contains,991005356019702656","Catalog Record")</f>
        <v/>
      </c>
      <c r="AT1101">
        <f>HYPERLINK("http://www.worldcat.org/oclc/605847","WorldCat Record")</f>
        <v/>
      </c>
      <c r="AU1101" t="inlineStr">
        <is>
          <t>471452:eng</t>
        </is>
      </c>
      <c r="AV1101" t="inlineStr">
        <is>
          <t>605847</t>
        </is>
      </c>
      <c r="AW1101" t="inlineStr">
        <is>
          <t>991005356019702656</t>
        </is>
      </c>
      <c r="AX1101" t="inlineStr">
        <is>
          <t>991005356019702656</t>
        </is>
      </c>
      <c r="AY1101" t="inlineStr">
        <is>
          <t>2263517450002656</t>
        </is>
      </c>
      <c r="AZ1101" t="inlineStr">
        <is>
          <t>BOOK</t>
        </is>
      </c>
      <c r="BB1101" t="inlineStr">
        <is>
          <t>9780398028725</t>
        </is>
      </c>
      <c r="BC1101" t="inlineStr">
        <is>
          <t>32285002912912</t>
        </is>
      </c>
      <c r="BD1101" t="inlineStr">
        <is>
          <t>893320488</t>
        </is>
      </c>
    </row>
    <row r="1102">
      <c r="A1102" t="inlineStr">
        <is>
          <t>No</t>
        </is>
      </c>
      <c r="B1102" t="inlineStr">
        <is>
          <t>QH527 .B813 1973</t>
        </is>
      </c>
      <c r="C1102" t="inlineStr">
        <is>
          <t>0                      QH 0527000B  813         1973</t>
        </is>
      </c>
      <c r="D1102" t="inlineStr">
        <is>
          <t>The physiological clock; circadian rhythms and biological chronometry.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Bünning, Erwin, 1906-1990.</t>
        </is>
      </c>
      <c r="L1102" t="inlineStr">
        <is>
          <t>London, English Universities Press; New York, Springer-Verlag, 1973.</t>
        </is>
      </c>
      <c r="M1102" t="inlineStr">
        <is>
          <t>1973</t>
        </is>
      </c>
      <c r="N1102" t="inlineStr">
        <is>
          <t>Rev. 3d ed.</t>
        </is>
      </c>
      <c r="O1102" t="inlineStr">
        <is>
          <t>eng</t>
        </is>
      </c>
      <c r="P1102" t="inlineStr">
        <is>
          <t>enk</t>
        </is>
      </c>
      <c r="Q1102" t="inlineStr">
        <is>
          <t>The Heidelberg science library, v. 1</t>
        </is>
      </c>
      <c r="R1102" t="inlineStr">
        <is>
          <t xml:space="preserve">QH </t>
        </is>
      </c>
      <c r="S1102" t="n">
        <v>2</v>
      </c>
      <c r="T1102" t="n">
        <v>2</v>
      </c>
      <c r="U1102" t="inlineStr">
        <is>
          <t>2002-10-03</t>
        </is>
      </c>
      <c r="V1102" t="inlineStr">
        <is>
          <t>2002-10-03</t>
        </is>
      </c>
      <c r="W1102" t="inlineStr">
        <is>
          <t>1998-05-07</t>
        </is>
      </c>
      <c r="X1102" t="inlineStr">
        <is>
          <t>1998-05-07</t>
        </is>
      </c>
      <c r="Y1102" t="n">
        <v>470</v>
      </c>
      <c r="Z1102" t="n">
        <v>353</v>
      </c>
      <c r="AA1102" t="n">
        <v>865</v>
      </c>
      <c r="AB1102" t="n">
        <v>4</v>
      </c>
      <c r="AC1102" t="n">
        <v>7</v>
      </c>
      <c r="AD1102" t="n">
        <v>12</v>
      </c>
      <c r="AE1102" t="n">
        <v>28</v>
      </c>
      <c r="AF1102" t="n">
        <v>2</v>
      </c>
      <c r="AG1102" t="n">
        <v>8</v>
      </c>
      <c r="AH1102" t="n">
        <v>2</v>
      </c>
      <c r="AI1102" t="n">
        <v>3</v>
      </c>
      <c r="AJ1102" t="n">
        <v>8</v>
      </c>
      <c r="AK1102" t="n">
        <v>16</v>
      </c>
      <c r="AL1102" t="n">
        <v>3</v>
      </c>
      <c r="AM1102" t="n">
        <v>6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HYPERLINK("http://catalog.hathitrust.org/Record/000741398","HathiTrust Record")</f>
        <v/>
      </c>
      <c r="AS1102">
        <f>HYPERLINK("https://creighton-primo.hosted.exlibrisgroup.com/primo-explore/search?tab=default_tab&amp;search_scope=EVERYTHING&amp;vid=01CRU&amp;lang=en_US&amp;offset=0&amp;query=any,contains,991005356769702656","Catalog Record")</f>
        <v/>
      </c>
      <c r="AT1102">
        <f>HYPERLINK("http://www.worldcat.org/oclc/781906","WorldCat Record")</f>
        <v/>
      </c>
      <c r="AU1102" t="inlineStr">
        <is>
          <t>4160022980:eng</t>
        </is>
      </c>
      <c r="AV1102" t="inlineStr">
        <is>
          <t>781906</t>
        </is>
      </c>
      <c r="AW1102" t="inlineStr">
        <is>
          <t>991005356769702656</t>
        </is>
      </c>
      <c r="AX1102" t="inlineStr">
        <is>
          <t>991005356769702656</t>
        </is>
      </c>
      <c r="AY1102" t="inlineStr">
        <is>
          <t>2263053390002656</t>
        </is>
      </c>
      <c r="AZ1102" t="inlineStr">
        <is>
          <t>BOOK</t>
        </is>
      </c>
      <c r="BB1102" t="inlineStr">
        <is>
          <t>9780387900674</t>
        </is>
      </c>
      <c r="BC1102" t="inlineStr">
        <is>
          <t>32285003395562</t>
        </is>
      </c>
      <c r="BD1102" t="inlineStr">
        <is>
          <t>893802171</t>
        </is>
      </c>
    </row>
    <row r="1103">
      <c r="A1103" t="inlineStr">
        <is>
          <t>No</t>
        </is>
      </c>
      <c r="B1103" t="inlineStr">
        <is>
          <t>QH527 .D33 1975</t>
        </is>
      </c>
      <c r="C1103" t="inlineStr">
        <is>
          <t>0                      QH 0527000D  33          1975</t>
        </is>
      </c>
      <c r="D1103" t="inlineStr">
        <is>
          <t>The molecular basis of circadian rhythms : report of the Dahlem Workshop on the Molecular Basis of Circadian Rhythms, Berlin 1975, November 3-7 / ed., J. Woodward Hastings, Hans-Georg Schweiger ; rapporteurs, J.W. Hastings ... [et al.].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Dahlem Workshop on the Molecular Basis of Circadian Rhythms (1975 : Berlin, Germany)</t>
        </is>
      </c>
      <c r="L1103" t="inlineStr">
        <is>
          <t>Berlin : Abakon-Verlagsgesellschaft [in Komm.], 1976</t>
        </is>
      </c>
      <c r="M1103" t="inlineStr">
        <is>
          <t>1976</t>
        </is>
      </c>
      <c r="N1103" t="inlineStr">
        <is>
          <t>1. Aufl.</t>
        </is>
      </c>
      <c r="O1103" t="inlineStr">
        <is>
          <t>eng</t>
        </is>
      </c>
      <c r="P1103" t="inlineStr">
        <is>
          <t xml:space="preserve">gw </t>
        </is>
      </c>
      <c r="Q1103" t="inlineStr">
        <is>
          <t>Life sciences research report ; 1</t>
        </is>
      </c>
      <c r="R1103" t="inlineStr">
        <is>
          <t xml:space="preserve">QH </t>
        </is>
      </c>
      <c r="S1103" t="n">
        <v>1</v>
      </c>
      <c r="T1103" t="n">
        <v>1</v>
      </c>
      <c r="U1103" t="inlineStr">
        <is>
          <t>2002-10-03</t>
        </is>
      </c>
      <c r="V1103" t="inlineStr">
        <is>
          <t>2002-10-03</t>
        </is>
      </c>
      <c r="W1103" t="inlineStr">
        <is>
          <t>1997-07-03</t>
        </is>
      </c>
      <c r="X1103" t="inlineStr">
        <is>
          <t>1997-07-03</t>
        </is>
      </c>
      <c r="Y1103" t="n">
        <v>227</v>
      </c>
      <c r="Z1103" t="n">
        <v>168</v>
      </c>
      <c r="AA1103" t="n">
        <v>170</v>
      </c>
      <c r="AB1103" t="n">
        <v>3</v>
      </c>
      <c r="AC1103" t="n">
        <v>3</v>
      </c>
      <c r="AD1103" t="n">
        <v>9</v>
      </c>
      <c r="AE1103" t="n">
        <v>9</v>
      </c>
      <c r="AF1103" t="n">
        <v>3</v>
      </c>
      <c r="AG1103" t="n">
        <v>3</v>
      </c>
      <c r="AH1103" t="n">
        <v>3</v>
      </c>
      <c r="AI1103" t="n">
        <v>3</v>
      </c>
      <c r="AJ1103" t="n">
        <v>5</v>
      </c>
      <c r="AK1103" t="n">
        <v>5</v>
      </c>
      <c r="AL1103" t="n">
        <v>2</v>
      </c>
      <c r="AM1103" t="n">
        <v>2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HYPERLINK("http://catalog.hathitrust.org/Record/000691308","HathiTrust Record")</f>
        <v/>
      </c>
      <c r="AS1103">
        <f>HYPERLINK("https://creighton-primo.hosted.exlibrisgroup.com/primo-explore/search?tab=default_tab&amp;search_scope=EVERYTHING&amp;vid=01CRU&amp;lang=en_US&amp;offset=0&amp;query=any,contains,991004276269702656","Catalog Record")</f>
        <v/>
      </c>
      <c r="AT1103">
        <f>HYPERLINK("http://www.worldcat.org/oclc/2894337","WorldCat Record")</f>
        <v/>
      </c>
      <c r="AU1103" t="inlineStr">
        <is>
          <t>499599267:eng</t>
        </is>
      </c>
      <c r="AV1103" t="inlineStr">
        <is>
          <t>2894337</t>
        </is>
      </c>
      <c r="AW1103" t="inlineStr">
        <is>
          <t>991004276269702656</t>
        </is>
      </c>
      <c r="AX1103" t="inlineStr">
        <is>
          <t>991004276269702656</t>
        </is>
      </c>
      <c r="AY1103" t="inlineStr">
        <is>
          <t>2269331630002656</t>
        </is>
      </c>
      <c r="AZ1103" t="inlineStr">
        <is>
          <t>BOOK</t>
        </is>
      </c>
      <c r="BB1103" t="inlineStr">
        <is>
          <t>9783820012026</t>
        </is>
      </c>
      <c r="BC1103" t="inlineStr">
        <is>
          <t>32285002912938</t>
        </is>
      </c>
      <c r="BD1103" t="inlineStr">
        <is>
          <t>893235277</t>
        </is>
      </c>
    </row>
    <row r="1104">
      <c r="A1104" t="inlineStr">
        <is>
          <t>No</t>
        </is>
      </c>
      <c r="B1104" t="inlineStr">
        <is>
          <t>QH527 .F67 2009</t>
        </is>
      </c>
      <c r="C1104" t="inlineStr">
        <is>
          <t>0                      QH 0527000F  67          2009</t>
        </is>
      </c>
      <c r="D1104" t="inlineStr">
        <is>
          <t>Seasons of life : the biological rhythms that enable living things to thrive and survive / Russell G. Foster &amp; Leon Kreitzman.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Foster, Russell G.</t>
        </is>
      </c>
      <c r="L1104" t="inlineStr">
        <is>
          <t>New Haven : Yale University Press, c2009.</t>
        </is>
      </c>
      <c r="M1104" t="inlineStr">
        <is>
          <t>2009</t>
        </is>
      </c>
      <c r="O1104" t="inlineStr">
        <is>
          <t>eng</t>
        </is>
      </c>
      <c r="P1104" t="inlineStr">
        <is>
          <t>ctu</t>
        </is>
      </c>
      <c r="R1104" t="inlineStr">
        <is>
          <t xml:space="preserve">QH </t>
        </is>
      </c>
      <c r="S1104" t="n">
        <v>2</v>
      </c>
      <c r="T1104" t="n">
        <v>2</v>
      </c>
      <c r="U1104" t="inlineStr">
        <is>
          <t>2010-02-27</t>
        </is>
      </c>
      <c r="V1104" t="inlineStr">
        <is>
          <t>2010-02-27</t>
        </is>
      </c>
      <c r="W1104" t="inlineStr">
        <is>
          <t>2009-10-14</t>
        </is>
      </c>
      <c r="X1104" t="inlineStr">
        <is>
          <t>2009-10-14</t>
        </is>
      </c>
      <c r="Y1104" t="n">
        <v>548</v>
      </c>
      <c r="Z1104" t="n">
        <v>496</v>
      </c>
      <c r="AA1104" t="n">
        <v>521</v>
      </c>
      <c r="AB1104" t="n">
        <v>4</v>
      </c>
      <c r="AC1104" t="n">
        <v>4</v>
      </c>
      <c r="AD1104" t="n">
        <v>24</v>
      </c>
      <c r="AE1104" t="n">
        <v>24</v>
      </c>
      <c r="AF1104" t="n">
        <v>7</v>
      </c>
      <c r="AG1104" t="n">
        <v>7</v>
      </c>
      <c r="AH1104" t="n">
        <v>8</v>
      </c>
      <c r="AI1104" t="n">
        <v>8</v>
      </c>
      <c r="AJ1104" t="n">
        <v>10</v>
      </c>
      <c r="AK1104" t="n">
        <v>10</v>
      </c>
      <c r="AL1104" t="n">
        <v>3</v>
      </c>
      <c r="AM1104" t="n">
        <v>3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HYPERLINK("https://creighton-primo.hosted.exlibrisgroup.com/primo-explore/search?tab=default_tab&amp;search_scope=EVERYTHING&amp;vid=01CRU&amp;lang=en_US&amp;offset=0&amp;query=any,contains,991005338259702656","Catalog Record")</f>
        <v/>
      </c>
      <c r="AT1104">
        <f>HYPERLINK("http://www.worldcat.org/oclc/262432333","WorldCat Record")</f>
        <v/>
      </c>
      <c r="AU1104" t="inlineStr">
        <is>
          <t>866854082:eng</t>
        </is>
      </c>
      <c r="AV1104" t="inlineStr">
        <is>
          <t>262432333</t>
        </is>
      </c>
      <c r="AW1104" t="inlineStr">
        <is>
          <t>991005338259702656</t>
        </is>
      </c>
      <c r="AX1104" t="inlineStr">
        <is>
          <t>991005338259702656</t>
        </is>
      </c>
      <c r="AY1104" t="inlineStr">
        <is>
          <t>2268629730002656</t>
        </is>
      </c>
      <c r="AZ1104" t="inlineStr">
        <is>
          <t>BOOK</t>
        </is>
      </c>
      <c r="BB1104" t="inlineStr">
        <is>
          <t>9780300115567</t>
        </is>
      </c>
      <c r="BC1104" t="inlineStr">
        <is>
          <t>32285005547749</t>
        </is>
      </c>
      <c r="BD1104" t="inlineStr">
        <is>
          <t>893431257</t>
        </is>
      </c>
    </row>
    <row r="1105">
      <c r="A1105" t="inlineStr">
        <is>
          <t>No</t>
        </is>
      </c>
      <c r="B1105" t="inlineStr">
        <is>
          <t>QH527 .G595 1988</t>
        </is>
      </c>
      <c r="C1105" t="inlineStr">
        <is>
          <t>0                      QH 0527000G  595         1988</t>
        </is>
      </c>
      <c r="D1105" t="inlineStr">
        <is>
          <t>From clocks to chaos : the rhythms of life / Leon Glass and Michael C. Mackey.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Glass, Leon, 1943-</t>
        </is>
      </c>
      <c r="L1105" t="inlineStr">
        <is>
          <t>Princeton, N.J. : Princeton University Press, c1988.</t>
        </is>
      </c>
      <c r="M1105" t="inlineStr">
        <is>
          <t>1988</t>
        </is>
      </c>
      <c r="O1105" t="inlineStr">
        <is>
          <t>eng</t>
        </is>
      </c>
      <c r="P1105" t="inlineStr">
        <is>
          <t>nju</t>
        </is>
      </c>
      <c r="R1105" t="inlineStr">
        <is>
          <t xml:space="preserve">QH </t>
        </is>
      </c>
      <c r="S1105" t="n">
        <v>2</v>
      </c>
      <c r="T1105" t="n">
        <v>2</v>
      </c>
      <c r="U1105" t="inlineStr">
        <is>
          <t>2000-05-09</t>
        </is>
      </c>
      <c r="V1105" t="inlineStr">
        <is>
          <t>2000-05-09</t>
        </is>
      </c>
      <c r="W1105" t="inlineStr">
        <is>
          <t>1990-07-12</t>
        </is>
      </c>
      <c r="X1105" t="inlineStr">
        <is>
          <t>1990-07-12</t>
        </is>
      </c>
      <c r="Y1105" t="n">
        <v>983</v>
      </c>
      <c r="Z1105" t="n">
        <v>782</v>
      </c>
      <c r="AA1105" t="n">
        <v>918</v>
      </c>
      <c r="AB1105" t="n">
        <v>8</v>
      </c>
      <c r="AC1105" t="n">
        <v>8</v>
      </c>
      <c r="AD1105" t="n">
        <v>33</v>
      </c>
      <c r="AE1105" t="n">
        <v>40</v>
      </c>
      <c r="AF1105" t="n">
        <v>10</v>
      </c>
      <c r="AG1105" t="n">
        <v>15</v>
      </c>
      <c r="AH1105" t="n">
        <v>7</v>
      </c>
      <c r="AI1105" t="n">
        <v>9</v>
      </c>
      <c r="AJ1105" t="n">
        <v>16</v>
      </c>
      <c r="AK1105" t="n">
        <v>19</v>
      </c>
      <c r="AL1105" t="n">
        <v>7</v>
      </c>
      <c r="AM1105" t="n">
        <v>7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HYPERLINK("https://creighton-primo.hosted.exlibrisgroup.com/primo-explore/search?tab=default_tab&amp;search_scope=EVERYTHING&amp;vid=01CRU&amp;lang=en_US&amp;offset=0&amp;query=any,contains,991005408689702656","Catalog Record")</f>
        <v/>
      </c>
      <c r="AT1105">
        <f>HYPERLINK("http://www.worldcat.org/oclc/17199934","WorldCat Record")</f>
        <v/>
      </c>
      <c r="AU1105" t="inlineStr">
        <is>
          <t>808202679:eng</t>
        </is>
      </c>
      <c r="AV1105" t="inlineStr">
        <is>
          <t>17199934</t>
        </is>
      </c>
      <c r="AW1105" t="inlineStr">
        <is>
          <t>991005408689702656</t>
        </is>
      </c>
      <c r="AX1105" t="inlineStr">
        <is>
          <t>991005408689702656</t>
        </is>
      </c>
      <c r="AY1105" t="inlineStr">
        <is>
          <t>2262896440002656</t>
        </is>
      </c>
      <c r="AZ1105" t="inlineStr">
        <is>
          <t>BOOK</t>
        </is>
      </c>
      <c r="BB1105" t="inlineStr">
        <is>
          <t>9780691084954</t>
        </is>
      </c>
      <c r="BC1105" t="inlineStr">
        <is>
          <t>32285000236371</t>
        </is>
      </c>
      <c r="BD1105" t="inlineStr">
        <is>
          <t>893883840</t>
        </is>
      </c>
    </row>
    <row r="1106">
      <c r="A1106" t="inlineStr">
        <is>
          <t>No</t>
        </is>
      </c>
      <c r="B1106" t="inlineStr">
        <is>
          <t>QH527 .G94 1986</t>
        </is>
      </c>
      <c r="C1106" t="inlineStr">
        <is>
          <t>0                      QH 0527000G  94          1986</t>
        </is>
      </c>
      <c r="D1106" t="inlineStr">
        <is>
          <t>Circannual rhythms : endogenous annual clocks in the organization of seasonal processes / Eberhard Gwinner.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Gwinner, Eberhard, 1938-</t>
        </is>
      </c>
      <c r="L1106" t="inlineStr">
        <is>
          <t>Berlin ; New York : Springer-Verlag, c1986.</t>
        </is>
      </c>
      <c r="M1106" t="inlineStr">
        <is>
          <t>1986</t>
        </is>
      </c>
      <c r="O1106" t="inlineStr">
        <is>
          <t>eng</t>
        </is>
      </c>
      <c r="P1106" t="inlineStr">
        <is>
          <t xml:space="preserve">gw </t>
        </is>
      </c>
      <c r="Q1106" t="inlineStr">
        <is>
          <t>Zoophysiology ; v. 18</t>
        </is>
      </c>
      <c r="R1106" t="inlineStr">
        <is>
          <t xml:space="preserve">QH </t>
        </is>
      </c>
      <c r="S1106" t="n">
        <v>2</v>
      </c>
      <c r="T1106" t="n">
        <v>2</v>
      </c>
      <c r="U1106" t="inlineStr">
        <is>
          <t>2000-05-09</t>
        </is>
      </c>
      <c r="V1106" t="inlineStr">
        <is>
          <t>2000-05-09</t>
        </is>
      </c>
      <c r="W1106" t="inlineStr">
        <is>
          <t>1993-04-27</t>
        </is>
      </c>
      <c r="X1106" t="inlineStr">
        <is>
          <t>1993-04-27</t>
        </is>
      </c>
      <c r="Y1106" t="n">
        <v>286</v>
      </c>
      <c r="Z1106" t="n">
        <v>189</v>
      </c>
      <c r="AA1106" t="n">
        <v>207</v>
      </c>
      <c r="AB1106" t="n">
        <v>2</v>
      </c>
      <c r="AC1106" t="n">
        <v>2</v>
      </c>
      <c r="AD1106" t="n">
        <v>8</v>
      </c>
      <c r="AE1106" t="n">
        <v>9</v>
      </c>
      <c r="AF1106" t="n">
        <v>1</v>
      </c>
      <c r="AG1106" t="n">
        <v>2</v>
      </c>
      <c r="AH1106" t="n">
        <v>3</v>
      </c>
      <c r="AI1106" t="n">
        <v>3</v>
      </c>
      <c r="AJ1106" t="n">
        <v>5</v>
      </c>
      <c r="AK1106" t="n">
        <v>6</v>
      </c>
      <c r="AL1106" t="n">
        <v>1</v>
      </c>
      <c r="AM1106" t="n">
        <v>1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HYPERLINK("http://catalog.hathitrust.org/Record/000490490","HathiTrust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HYPERLINK("https://creighton-primo.hosted.exlibrisgroup.com/primo-explore/search?tab=default_tab&amp;search_scope=EVERYTHING&amp;vid=01CRU&amp;lang=en_US&amp;offset=0&amp;query=any,contains,991005406859702656","Catalog Record")</f>
        <v/>
      </c>
      <c r="AT1106">
        <f>HYPERLINK("http://www.worldcat.org/oclc/13860927","WorldCat Record")</f>
        <v/>
      </c>
      <c r="AU1106" t="inlineStr">
        <is>
          <t>795400602:eng</t>
        </is>
      </c>
      <c r="AV1106" t="inlineStr">
        <is>
          <t>13860927</t>
        </is>
      </c>
      <c r="AW1106" t="inlineStr">
        <is>
          <t>991005406859702656</t>
        </is>
      </c>
      <c r="AX1106" t="inlineStr">
        <is>
          <t>991005406859702656</t>
        </is>
      </c>
      <c r="AY1106" t="inlineStr">
        <is>
          <t>2262354750002656</t>
        </is>
      </c>
      <c r="AZ1106" t="inlineStr">
        <is>
          <t>BOOK</t>
        </is>
      </c>
      <c r="BB1106" t="inlineStr">
        <is>
          <t>9780387168913</t>
        </is>
      </c>
      <c r="BC1106" t="inlineStr">
        <is>
          <t>32285001641942</t>
        </is>
      </c>
      <c r="BD1106" t="inlineStr">
        <is>
          <t>893508211</t>
        </is>
      </c>
    </row>
    <row r="1107">
      <c r="A1107" t="inlineStr">
        <is>
          <t>No</t>
        </is>
      </c>
      <c r="B1107" t="inlineStr">
        <is>
          <t>QH527 .S6</t>
        </is>
      </c>
      <c r="C1107" t="inlineStr">
        <is>
          <t>0                      QH 0527000S  6</t>
        </is>
      </c>
      <c r="D1107" t="inlineStr">
        <is>
          <t>Biological rhythm research, by A. Sollberger.</t>
        </is>
      </c>
      <c r="F1107" t="inlineStr">
        <is>
          <t>No</t>
        </is>
      </c>
      <c r="G1107" t="inlineStr">
        <is>
          <t>1</t>
        </is>
      </c>
      <c r="H1107" t="inlineStr">
        <is>
          <t>Yes</t>
        </is>
      </c>
      <c r="I1107" t="inlineStr">
        <is>
          <t>No</t>
        </is>
      </c>
      <c r="J1107" t="inlineStr">
        <is>
          <t>0</t>
        </is>
      </c>
      <c r="K1107" t="inlineStr">
        <is>
          <t>Sollberger, A.</t>
        </is>
      </c>
      <c r="L1107" t="inlineStr">
        <is>
          <t>Amsterdam, New York, Elsevier Pub. Co., 1965.</t>
        </is>
      </c>
      <c r="M1107" t="inlineStr">
        <is>
          <t>1965</t>
        </is>
      </c>
      <c r="O1107" t="inlineStr">
        <is>
          <t>eng</t>
        </is>
      </c>
      <c r="P1107" t="inlineStr">
        <is>
          <t xml:space="preserve">ne </t>
        </is>
      </c>
      <c r="R1107" t="inlineStr">
        <is>
          <t xml:space="preserve">QH </t>
        </is>
      </c>
      <c r="S1107" t="n">
        <v>1</v>
      </c>
      <c r="T1107" t="n">
        <v>6</v>
      </c>
      <c r="V1107" t="inlineStr">
        <is>
          <t>1988-09-28</t>
        </is>
      </c>
      <c r="W1107" t="inlineStr">
        <is>
          <t>1997-07-03</t>
        </is>
      </c>
      <c r="X1107" t="inlineStr">
        <is>
          <t>1997-07-03</t>
        </is>
      </c>
      <c r="Y1107" t="n">
        <v>492</v>
      </c>
      <c r="Z1107" t="n">
        <v>343</v>
      </c>
      <c r="AA1107" t="n">
        <v>352</v>
      </c>
      <c r="AB1107" t="n">
        <v>5</v>
      </c>
      <c r="AC1107" t="n">
        <v>5</v>
      </c>
      <c r="AD1107" t="n">
        <v>18</v>
      </c>
      <c r="AE1107" t="n">
        <v>18</v>
      </c>
      <c r="AF1107" t="n">
        <v>5</v>
      </c>
      <c r="AG1107" t="n">
        <v>5</v>
      </c>
      <c r="AH1107" t="n">
        <v>3</v>
      </c>
      <c r="AI1107" t="n">
        <v>3</v>
      </c>
      <c r="AJ1107" t="n">
        <v>10</v>
      </c>
      <c r="AK1107" t="n">
        <v>10</v>
      </c>
      <c r="AL1107" t="n">
        <v>3</v>
      </c>
      <c r="AM1107" t="n">
        <v>3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HYPERLINK("http://catalog.hathitrust.org/Record/001492653","HathiTrust Record")</f>
        <v/>
      </c>
      <c r="AS1107">
        <f>HYPERLINK("https://creighton-primo.hosted.exlibrisgroup.com/primo-explore/search?tab=default_tab&amp;search_scope=EVERYTHING&amp;vid=01CRU&amp;lang=en_US&amp;offset=0&amp;query=any,contains,991001771629702656","Catalog Record")</f>
        <v/>
      </c>
      <c r="AT1107">
        <f>HYPERLINK("http://www.worldcat.org/oclc/734731","WorldCat Record")</f>
        <v/>
      </c>
      <c r="AU1107" t="inlineStr">
        <is>
          <t>1774309:eng</t>
        </is>
      </c>
      <c r="AV1107" t="inlineStr">
        <is>
          <t>734731</t>
        </is>
      </c>
      <c r="AW1107" t="inlineStr">
        <is>
          <t>991001771629702656</t>
        </is>
      </c>
      <c r="AX1107" t="inlineStr">
        <is>
          <t>991001771629702656</t>
        </is>
      </c>
      <c r="AY1107" t="inlineStr">
        <is>
          <t>2259662330002656</t>
        </is>
      </c>
      <c r="AZ1107" t="inlineStr">
        <is>
          <t>BOOK</t>
        </is>
      </c>
      <c r="BC1107" t="inlineStr">
        <is>
          <t>32285002913001</t>
        </is>
      </c>
      <c r="BD1107" t="inlineStr">
        <is>
          <t>893322244</t>
        </is>
      </c>
    </row>
    <row r="1108">
      <c r="A1108" t="inlineStr">
        <is>
          <t>No</t>
        </is>
      </c>
      <c r="B1108" t="inlineStr">
        <is>
          <t>QH527 .W37 1971</t>
        </is>
      </c>
      <c r="C1108" t="inlineStr">
        <is>
          <t>0                      QH 0527000W  37          1971</t>
        </is>
      </c>
      <c r="D1108" t="inlineStr">
        <is>
          <t>The living clocks / Ritchie R. Ward. Drawings by Hollett Smith.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Ward, Ritchie R.</t>
        </is>
      </c>
      <c r="L1108" t="inlineStr">
        <is>
          <t>New York : Knopf, 1971.</t>
        </is>
      </c>
      <c r="M1108" t="inlineStr">
        <is>
          <t>1971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QH </t>
        </is>
      </c>
      <c r="S1108" t="n">
        <v>1</v>
      </c>
      <c r="T1108" t="n">
        <v>1</v>
      </c>
      <c r="U1108" t="inlineStr">
        <is>
          <t>2000-04-03</t>
        </is>
      </c>
      <c r="V1108" t="inlineStr">
        <is>
          <t>2000-04-03</t>
        </is>
      </c>
      <c r="W1108" t="inlineStr">
        <is>
          <t>2000-03-15</t>
        </is>
      </c>
      <c r="X1108" t="inlineStr">
        <is>
          <t>2000-03-15</t>
        </is>
      </c>
      <c r="Y1108" t="n">
        <v>741</v>
      </c>
      <c r="Z1108" t="n">
        <v>691</v>
      </c>
      <c r="AA1108" t="n">
        <v>737</v>
      </c>
      <c r="AB1108" t="n">
        <v>6</v>
      </c>
      <c r="AC1108" t="n">
        <v>6</v>
      </c>
      <c r="AD1108" t="n">
        <v>14</v>
      </c>
      <c r="AE1108" t="n">
        <v>17</v>
      </c>
      <c r="AF1108" t="n">
        <v>5</v>
      </c>
      <c r="AG1108" t="n">
        <v>6</v>
      </c>
      <c r="AH1108" t="n">
        <v>4</v>
      </c>
      <c r="AI1108" t="n">
        <v>4</v>
      </c>
      <c r="AJ1108" t="n">
        <v>6</v>
      </c>
      <c r="AK1108" t="n">
        <v>9</v>
      </c>
      <c r="AL1108" t="n">
        <v>4</v>
      </c>
      <c r="AM1108" t="n">
        <v>4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HYPERLINK("http://catalog.hathitrust.org/Record/001492657","HathiTrust Record")</f>
        <v/>
      </c>
      <c r="AS1108">
        <f>HYPERLINK("https://creighton-primo.hosted.exlibrisgroup.com/primo-explore/search?tab=default_tab&amp;search_scope=EVERYTHING&amp;vid=01CRU&amp;lang=en_US&amp;offset=0&amp;query=any,contains,991000830339702656","Catalog Record")</f>
        <v/>
      </c>
      <c r="AT1108">
        <f>HYPERLINK("http://www.worldcat.org/oclc/147599","WorldCat Record")</f>
        <v/>
      </c>
      <c r="AU1108" t="inlineStr">
        <is>
          <t>1330649:eng</t>
        </is>
      </c>
      <c r="AV1108" t="inlineStr">
        <is>
          <t>147599</t>
        </is>
      </c>
      <c r="AW1108" t="inlineStr">
        <is>
          <t>991000830339702656</t>
        </is>
      </c>
      <c r="AX1108" t="inlineStr">
        <is>
          <t>991000830339702656</t>
        </is>
      </c>
      <c r="AY1108" t="inlineStr">
        <is>
          <t>2258879630002656</t>
        </is>
      </c>
      <c r="AZ1108" t="inlineStr">
        <is>
          <t>BOOK</t>
        </is>
      </c>
      <c r="BB1108" t="inlineStr">
        <is>
          <t>9780394416953</t>
        </is>
      </c>
      <c r="BC1108" t="inlineStr">
        <is>
          <t>32285003669982</t>
        </is>
      </c>
      <c r="BD1108" t="inlineStr">
        <is>
          <t>893444481</t>
        </is>
      </c>
    </row>
    <row r="1109">
      <c r="A1109" t="inlineStr">
        <is>
          <t>No</t>
        </is>
      </c>
      <c r="B1109" t="inlineStr">
        <is>
          <t>QH527 .W55</t>
        </is>
      </c>
      <c r="C1109" t="inlineStr">
        <is>
          <t>0                      QH 0527000W  55</t>
        </is>
      </c>
      <c r="D1109" t="inlineStr">
        <is>
          <t>The geometry of biological time / Arthur T. Winfree.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Winfree, Arthur T.</t>
        </is>
      </c>
      <c r="L1109" t="inlineStr">
        <is>
          <t>New York : Springer Verlag, c1980.</t>
        </is>
      </c>
      <c r="M1109" t="inlineStr">
        <is>
          <t>1980</t>
        </is>
      </c>
      <c r="O1109" t="inlineStr">
        <is>
          <t>eng</t>
        </is>
      </c>
      <c r="P1109" t="inlineStr">
        <is>
          <t>nyu</t>
        </is>
      </c>
      <c r="Q1109" t="inlineStr">
        <is>
          <t>Biomathematics ; v. 8</t>
        </is>
      </c>
      <c r="R1109" t="inlineStr">
        <is>
          <t xml:space="preserve">QH </t>
        </is>
      </c>
      <c r="S1109" t="n">
        <v>2</v>
      </c>
      <c r="T1109" t="n">
        <v>2</v>
      </c>
      <c r="U1109" t="inlineStr">
        <is>
          <t>2000-04-11</t>
        </is>
      </c>
      <c r="V1109" t="inlineStr">
        <is>
          <t>2000-04-11</t>
        </is>
      </c>
      <c r="W1109" t="inlineStr">
        <is>
          <t>1993-04-27</t>
        </is>
      </c>
      <c r="X1109" t="inlineStr">
        <is>
          <t>1993-04-27</t>
        </is>
      </c>
      <c r="Y1109" t="n">
        <v>615</v>
      </c>
      <c r="Z1109" t="n">
        <v>466</v>
      </c>
      <c r="AA1109" t="n">
        <v>546</v>
      </c>
      <c r="AB1109" t="n">
        <v>2</v>
      </c>
      <c r="AC1109" t="n">
        <v>2</v>
      </c>
      <c r="AD1109" t="n">
        <v>10</v>
      </c>
      <c r="AE1109" t="n">
        <v>14</v>
      </c>
      <c r="AF1109" t="n">
        <v>4</v>
      </c>
      <c r="AG1109" t="n">
        <v>5</v>
      </c>
      <c r="AH1109" t="n">
        <v>3</v>
      </c>
      <c r="AI1109" t="n">
        <v>4</v>
      </c>
      <c r="AJ1109" t="n">
        <v>5</v>
      </c>
      <c r="AK1109" t="n">
        <v>9</v>
      </c>
      <c r="AL1109" t="n">
        <v>1</v>
      </c>
      <c r="AM1109" t="n">
        <v>1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HYPERLINK("http://catalog.hathitrust.org/Record/000693266","HathiTrust Record")</f>
        <v/>
      </c>
      <c r="AS1109">
        <f>HYPERLINK("https://creighton-primo.hosted.exlibrisgroup.com/primo-explore/search?tab=default_tab&amp;search_scope=EVERYTHING&amp;vid=01CRU&amp;lang=en_US&amp;offset=0&amp;query=any,contains,991004736659702656","Catalog Record")</f>
        <v/>
      </c>
      <c r="AT1109">
        <f>HYPERLINK("http://www.worldcat.org/oclc/4857856","WorldCat Record")</f>
        <v/>
      </c>
      <c r="AU1109" t="inlineStr">
        <is>
          <t>14990134:eng</t>
        </is>
      </c>
      <c r="AV1109" t="inlineStr">
        <is>
          <t>4857856</t>
        </is>
      </c>
      <c r="AW1109" t="inlineStr">
        <is>
          <t>991004736659702656</t>
        </is>
      </c>
      <c r="AX1109" t="inlineStr">
        <is>
          <t>991004736659702656</t>
        </is>
      </c>
      <c r="AY1109" t="inlineStr">
        <is>
          <t>2266601360002656</t>
        </is>
      </c>
      <c r="AZ1109" t="inlineStr">
        <is>
          <t>BOOK</t>
        </is>
      </c>
      <c r="BB1109" t="inlineStr">
        <is>
          <t>9780387093734</t>
        </is>
      </c>
      <c r="BC1109" t="inlineStr">
        <is>
          <t>32285001641959</t>
        </is>
      </c>
      <c r="BD1109" t="inlineStr">
        <is>
          <t>893619026</t>
        </is>
      </c>
    </row>
    <row r="1110">
      <c r="A1110" t="inlineStr">
        <is>
          <t>No</t>
        </is>
      </c>
      <c r="B1110" t="inlineStr">
        <is>
          <t>QH529 .D4513 2000</t>
        </is>
      </c>
      <c r="C1110" t="inlineStr">
        <is>
          <t>0                      QH 0529000D  4513        2000</t>
        </is>
      </c>
      <c r="D1110" t="inlineStr">
        <is>
          <t>The way of all flesh : the romance of ruins / Midas Dekkers ; translated from the Dutch by Sherry Marx-Macdonald.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Dekkers, Midas, 1946-</t>
        </is>
      </c>
      <c r="L1110" t="inlineStr">
        <is>
          <t>New York : Farrar, Straus and Giroux, 2000.</t>
        </is>
      </c>
      <c r="M1110" t="inlineStr">
        <is>
          <t>2000</t>
        </is>
      </c>
      <c r="N1110" t="inlineStr">
        <is>
          <t>1st American ed.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QH </t>
        </is>
      </c>
      <c r="S1110" t="n">
        <v>1</v>
      </c>
      <c r="T1110" t="n">
        <v>1</v>
      </c>
      <c r="U1110" t="inlineStr">
        <is>
          <t>2000-11-30</t>
        </is>
      </c>
      <c r="V1110" t="inlineStr">
        <is>
          <t>2000-11-30</t>
        </is>
      </c>
      <c r="W1110" t="inlineStr">
        <is>
          <t>2000-11-29</t>
        </is>
      </c>
      <c r="X1110" t="inlineStr">
        <is>
          <t>2000-11-29</t>
        </is>
      </c>
      <c r="Y1110" t="n">
        <v>265</v>
      </c>
      <c r="Z1110" t="n">
        <v>250</v>
      </c>
      <c r="AA1110" t="n">
        <v>263</v>
      </c>
      <c r="AB1110" t="n">
        <v>1</v>
      </c>
      <c r="AC1110" t="n">
        <v>2</v>
      </c>
      <c r="AD1110" t="n">
        <v>5</v>
      </c>
      <c r="AE1110" t="n">
        <v>6</v>
      </c>
      <c r="AF1110" t="n">
        <v>0</v>
      </c>
      <c r="AG1110" t="n">
        <v>0</v>
      </c>
      <c r="AH1110" t="n">
        <v>1</v>
      </c>
      <c r="AI1110" t="n">
        <v>1</v>
      </c>
      <c r="AJ1110" t="n">
        <v>4</v>
      </c>
      <c r="AK1110" t="n">
        <v>4</v>
      </c>
      <c r="AL1110" t="n">
        <v>0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HYPERLINK("https://creighton-primo.hosted.exlibrisgroup.com/primo-explore/search?tab=default_tab&amp;search_scope=EVERYTHING&amp;vid=01CRU&amp;lang=en_US&amp;offset=0&amp;query=any,contains,991003314089702656","Catalog Record")</f>
        <v/>
      </c>
      <c r="AT1110">
        <f>HYPERLINK("http://www.worldcat.org/oclc/44425389","WorldCat Record")</f>
        <v/>
      </c>
      <c r="AU1110" t="inlineStr">
        <is>
          <t>375576865:eng</t>
        </is>
      </c>
      <c r="AV1110" t="inlineStr">
        <is>
          <t>44425389</t>
        </is>
      </c>
      <c r="AW1110" t="inlineStr">
        <is>
          <t>991003314089702656</t>
        </is>
      </c>
      <c r="AX1110" t="inlineStr">
        <is>
          <t>991003314089702656</t>
        </is>
      </c>
      <c r="AY1110" t="inlineStr">
        <is>
          <t>2259144470002656</t>
        </is>
      </c>
      <c r="AZ1110" t="inlineStr">
        <is>
          <t>BOOK</t>
        </is>
      </c>
      <c r="BB1110" t="inlineStr">
        <is>
          <t>9780374286828</t>
        </is>
      </c>
      <c r="BC1110" t="inlineStr">
        <is>
          <t>32285004267901</t>
        </is>
      </c>
      <c r="BD1110" t="inlineStr">
        <is>
          <t>893868296</t>
        </is>
      </c>
    </row>
    <row r="1111">
      <c r="A1111" t="inlineStr">
        <is>
          <t>No</t>
        </is>
      </c>
      <c r="B1111" t="inlineStr">
        <is>
          <t>QH529 .G46</t>
        </is>
      </c>
      <c r="C1111" t="inlineStr">
        <is>
          <t>0                      QH 0529000G  46</t>
        </is>
      </c>
      <c r="D1111" t="inlineStr">
        <is>
          <t>The Genetics of aging / edited by Edward L. Schneider.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New York : Plenum Press, c1978.</t>
        </is>
      </c>
      <c r="M1111" t="inlineStr">
        <is>
          <t>1978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QH </t>
        </is>
      </c>
      <c r="S1111" t="n">
        <v>2</v>
      </c>
      <c r="T1111" t="n">
        <v>2</v>
      </c>
      <c r="U1111" t="inlineStr">
        <is>
          <t>1998-10-07</t>
        </is>
      </c>
      <c r="V1111" t="inlineStr">
        <is>
          <t>1998-10-07</t>
        </is>
      </c>
      <c r="W1111" t="inlineStr">
        <is>
          <t>1991-12-12</t>
        </is>
      </c>
      <c r="X1111" t="inlineStr">
        <is>
          <t>1991-12-12</t>
        </is>
      </c>
      <c r="Y1111" t="n">
        <v>645</v>
      </c>
      <c r="Z1111" t="n">
        <v>541</v>
      </c>
      <c r="AA1111" t="n">
        <v>561</v>
      </c>
      <c r="AB1111" t="n">
        <v>4</v>
      </c>
      <c r="AC1111" t="n">
        <v>4</v>
      </c>
      <c r="AD1111" t="n">
        <v>26</v>
      </c>
      <c r="AE1111" t="n">
        <v>27</v>
      </c>
      <c r="AF1111" t="n">
        <v>11</v>
      </c>
      <c r="AG1111" t="n">
        <v>12</v>
      </c>
      <c r="AH1111" t="n">
        <v>5</v>
      </c>
      <c r="AI1111" t="n">
        <v>5</v>
      </c>
      <c r="AJ1111" t="n">
        <v>12</v>
      </c>
      <c r="AK1111" t="n">
        <v>13</v>
      </c>
      <c r="AL1111" t="n">
        <v>3</v>
      </c>
      <c r="AM1111" t="n">
        <v>3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HYPERLINK("http://catalog.hathitrust.org/Record/000176848","HathiTrust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HYPERLINK("https://creighton-primo.hosted.exlibrisgroup.com/primo-explore/search?tab=default_tab&amp;search_scope=EVERYTHING&amp;vid=01CRU&amp;lang=en_US&amp;offset=0&amp;query=any,contains,991004568109702656","Catalog Record")</f>
        <v/>
      </c>
      <c r="AT1111">
        <f>HYPERLINK("http://www.worldcat.org/oclc/4005013","WorldCat Record")</f>
        <v/>
      </c>
      <c r="AU1111" t="inlineStr">
        <is>
          <t>54231793:eng</t>
        </is>
      </c>
      <c r="AV1111" t="inlineStr">
        <is>
          <t>4005013</t>
        </is>
      </c>
      <c r="AW1111" t="inlineStr">
        <is>
          <t>991004568109702656</t>
        </is>
      </c>
      <c r="AX1111" t="inlineStr">
        <is>
          <t>991004568109702656</t>
        </is>
      </c>
      <c r="AY1111" t="inlineStr">
        <is>
          <t>2264714560002656</t>
        </is>
      </c>
      <c r="AZ1111" t="inlineStr">
        <is>
          <t>BOOK</t>
        </is>
      </c>
      <c r="BB1111" t="inlineStr">
        <is>
          <t>9780306311000</t>
        </is>
      </c>
      <c r="BC1111" t="inlineStr">
        <is>
          <t>32285000887439</t>
        </is>
      </c>
      <c r="BD1111" t="inlineStr">
        <is>
          <t>893430223</t>
        </is>
      </c>
    </row>
    <row r="1112">
      <c r="A1112" t="inlineStr">
        <is>
          <t>No</t>
        </is>
      </c>
      <c r="B1112" t="inlineStr">
        <is>
          <t>QH53 .R78</t>
        </is>
      </c>
      <c r="C1112" t="inlineStr">
        <is>
          <t>0                      QH 0053000R  78</t>
        </is>
      </c>
      <c r="D1112" t="inlineStr">
        <is>
          <t>Ten-minute field trips, using the school grounds for environmental studies; a teacher's guide. Illustrated by Klaus Winckelmann.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Russell, Helen Ross, 1915-</t>
        </is>
      </c>
      <c r="L1112" t="inlineStr">
        <is>
          <t>Chicago, Ill., J. G. Ferguson Pub. Co. [1973]</t>
        </is>
      </c>
      <c r="M1112" t="inlineStr">
        <is>
          <t>1973</t>
        </is>
      </c>
      <c r="O1112" t="inlineStr">
        <is>
          <t>eng</t>
        </is>
      </c>
      <c r="P1112" t="inlineStr">
        <is>
          <t>ilu</t>
        </is>
      </c>
      <c r="R1112" t="inlineStr">
        <is>
          <t xml:space="preserve">QH </t>
        </is>
      </c>
      <c r="S1112" t="n">
        <v>1</v>
      </c>
      <c r="T1112" t="n">
        <v>1</v>
      </c>
      <c r="U1112" t="inlineStr">
        <is>
          <t>2002-05-04</t>
        </is>
      </c>
      <c r="V1112" t="inlineStr">
        <is>
          <t>2002-05-04</t>
        </is>
      </c>
      <c r="W1112" t="inlineStr">
        <is>
          <t>1997-06-27</t>
        </is>
      </c>
      <c r="X1112" t="inlineStr">
        <is>
          <t>1997-06-27</t>
        </is>
      </c>
      <c r="Y1112" t="n">
        <v>321</v>
      </c>
      <c r="Z1112" t="n">
        <v>295</v>
      </c>
      <c r="AA1112" t="n">
        <v>298</v>
      </c>
      <c r="AB1112" t="n">
        <v>5</v>
      </c>
      <c r="AC1112" t="n">
        <v>5</v>
      </c>
      <c r="AD1112" t="n">
        <v>5</v>
      </c>
      <c r="AE1112" t="n">
        <v>5</v>
      </c>
      <c r="AF1112" t="n">
        <v>1</v>
      </c>
      <c r="AG1112" t="n">
        <v>1</v>
      </c>
      <c r="AH1112" t="n">
        <v>1</v>
      </c>
      <c r="AI1112" t="n">
        <v>1</v>
      </c>
      <c r="AJ1112" t="n">
        <v>1</v>
      </c>
      <c r="AK1112" t="n">
        <v>1</v>
      </c>
      <c r="AL1112" t="n">
        <v>3</v>
      </c>
      <c r="AM1112" t="n">
        <v>3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HYPERLINK("http://catalog.hathitrust.org/Record/000008494","HathiTrust Record")</f>
        <v/>
      </c>
      <c r="AS1112">
        <f>HYPERLINK("https://creighton-primo.hosted.exlibrisgroup.com/primo-explore/search?tab=default_tab&amp;search_scope=EVERYTHING&amp;vid=01CRU&amp;lang=en_US&amp;offset=0&amp;query=any,contains,991003060129702656","Catalog Record")</f>
        <v/>
      </c>
      <c r="AT1112">
        <f>HYPERLINK("http://www.worldcat.org/oclc/617847","WorldCat Record")</f>
        <v/>
      </c>
      <c r="AU1112" t="inlineStr">
        <is>
          <t>2531967457:eng</t>
        </is>
      </c>
      <c r="AV1112" t="inlineStr">
        <is>
          <t>617847</t>
        </is>
      </c>
      <c r="AW1112" t="inlineStr">
        <is>
          <t>991003060129702656</t>
        </is>
      </c>
      <c r="AX1112" t="inlineStr">
        <is>
          <t>991003060129702656</t>
        </is>
      </c>
      <c r="AY1112" t="inlineStr">
        <is>
          <t>2270820270002656</t>
        </is>
      </c>
      <c r="AZ1112" t="inlineStr">
        <is>
          <t>BOOK</t>
        </is>
      </c>
      <c r="BC1112" t="inlineStr">
        <is>
          <t>32285002865367</t>
        </is>
      </c>
      <c r="BD1112" t="inlineStr">
        <is>
          <t>893524384</t>
        </is>
      </c>
    </row>
    <row r="1113">
      <c r="A1113" t="inlineStr">
        <is>
          <t>No</t>
        </is>
      </c>
      <c r="B1113" t="inlineStr">
        <is>
          <t>QH54.5 .M55 1997</t>
        </is>
      </c>
      <c r="C1113" t="inlineStr">
        <is>
          <t>0                      QH 0054500M  55          1997</t>
        </is>
      </c>
      <c r="D1113" t="inlineStr">
        <is>
          <t>The kids' nature book : 365 indoor/outdoor activities &amp; experiences / by Susan Milord.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Milord, Susan.</t>
        </is>
      </c>
      <c r="L1113" t="inlineStr">
        <is>
          <t>Milwaukee : Gareth Stevens Pub., 1997.</t>
        </is>
      </c>
      <c r="M1113" t="inlineStr">
        <is>
          <t>1997</t>
        </is>
      </c>
      <c r="O1113" t="inlineStr">
        <is>
          <t>eng</t>
        </is>
      </c>
      <c r="P1113" t="inlineStr">
        <is>
          <t>wiu</t>
        </is>
      </c>
      <c r="Q1113" t="inlineStr">
        <is>
          <t>Kids can!</t>
        </is>
      </c>
      <c r="R1113" t="inlineStr">
        <is>
          <t xml:space="preserve">QH </t>
        </is>
      </c>
      <c r="S1113" t="n">
        <v>9</v>
      </c>
      <c r="T1113" t="n">
        <v>9</v>
      </c>
      <c r="U1113" t="inlineStr">
        <is>
          <t>1999-02-15</t>
        </is>
      </c>
      <c r="V1113" t="inlineStr">
        <is>
          <t>1999-02-15</t>
        </is>
      </c>
      <c r="W1113" t="inlineStr">
        <is>
          <t>1997-12-03</t>
        </is>
      </c>
      <c r="X1113" t="inlineStr">
        <is>
          <t>1997-12-03</t>
        </is>
      </c>
      <c r="Y1113" t="n">
        <v>350</v>
      </c>
      <c r="Z1113" t="n">
        <v>344</v>
      </c>
      <c r="AA1113" t="n">
        <v>1288</v>
      </c>
      <c r="AB1113" t="n">
        <v>2</v>
      </c>
      <c r="AC1113" t="n">
        <v>15</v>
      </c>
      <c r="AD1113" t="n">
        <v>1</v>
      </c>
      <c r="AE1113" t="n">
        <v>9</v>
      </c>
      <c r="AF1113" t="n">
        <v>1</v>
      </c>
      <c r="AG1113" t="n">
        <v>4</v>
      </c>
      <c r="AH1113" t="n">
        <v>0</v>
      </c>
      <c r="AI1113" t="n">
        <v>2</v>
      </c>
      <c r="AJ1113" t="n">
        <v>1</v>
      </c>
      <c r="AK1113" t="n">
        <v>3</v>
      </c>
      <c r="AL1113" t="n">
        <v>0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HYPERLINK("http://catalog.hathitrust.org/Record/009924442","HathiTrust Record")</f>
        <v/>
      </c>
      <c r="AS1113">
        <f>HYPERLINK("https://creighton-primo.hosted.exlibrisgroup.com/primo-explore/search?tab=default_tab&amp;search_scope=EVERYTHING&amp;vid=01CRU&amp;lang=en_US&amp;offset=0&amp;query=any,contains,991004625169702656","Catalog Record")</f>
        <v/>
      </c>
      <c r="AT1113">
        <f>HYPERLINK("http://www.worldcat.org/oclc/36648729","WorldCat Record")</f>
        <v/>
      </c>
      <c r="AU1113" t="inlineStr">
        <is>
          <t>14546412:eng</t>
        </is>
      </c>
      <c r="AV1113" t="inlineStr">
        <is>
          <t>36648729</t>
        </is>
      </c>
      <c r="AW1113" t="inlineStr">
        <is>
          <t>991004625169702656</t>
        </is>
      </c>
      <c r="AX1113" t="inlineStr">
        <is>
          <t>991004625169702656</t>
        </is>
      </c>
      <c r="AY1113" t="inlineStr">
        <is>
          <t>2265962850002656</t>
        </is>
      </c>
      <c r="AZ1113" t="inlineStr">
        <is>
          <t>BOOK</t>
        </is>
      </c>
      <c r="BB1113" t="inlineStr">
        <is>
          <t>9780836819670</t>
        </is>
      </c>
      <c r="BC1113" t="inlineStr">
        <is>
          <t>32285003281176</t>
        </is>
      </c>
      <c r="BD1113" t="inlineStr">
        <is>
          <t>893403394</t>
        </is>
      </c>
    </row>
    <row r="1114">
      <c r="A1114" t="inlineStr">
        <is>
          <t>No</t>
        </is>
      </c>
      <c r="B1114" t="inlineStr">
        <is>
          <t>QH540 .H33 1991</t>
        </is>
      </c>
      <c r="C1114" t="inlineStr">
        <is>
          <t>0                      QH 0540000H  33          1991</t>
        </is>
      </c>
      <c r="D1114" t="inlineStr">
        <is>
          <t>Habitat structure : the physical arrangement of objects in space / edited by Susan S. Bell, Earl D. McCoy, Henry R. Mushinsky.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L1114" t="inlineStr">
        <is>
          <t>London ; New York : Chapman and Hall, 1991.</t>
        </is>
      </c>
      <c r="M1114" t="inlineStr">
        <is>
          <t>1991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enk</t>
        </is>
      </c>
      <c r="Q1114" t="inlineStr">
        <is>
          <t>Population and community biology</t>
        </is>
      </c>
      <c r="R1114" t="inlineStr">
        <is>
          <t xml:space="preserve">QH </t>
        </is>
      </c>
      <c r="S1114" t="n">
        <v>4</v>
      </c>
      <c r="T1114" t="n">
        <v>4</v>
      </c>
      <c r="U1114" t="inlineStr">
        <is>
          <t>1995-09-25</t>
        </is>
      </c>
      <c r="V1114" t="inlineStr">
        <is>
          <t>1995-09-25</t>
        </is>
      </c>
      <c r="W1114" t="inlineStr">
        <is>
          <t>1992-03-17</t>
        </is>
      </c>
      <c r="X1114" t="inlineStr">
        <is>
          <t>1992-03-17</t>
        </is>
      </c>
      <c r="Y1114" t="n">
        <v>293</v>
      </c>
      <c r="Z1114" t="n">
        <v>174</v>
      </c>
      <c r="AA1114" t="n">
        <v>196</v>
      </c>
      <c r="AB1114" t="n">
        <v>2</v>
      </c>
      <c r="AC1114" t="n">
        <v>2</v>
      </c>
      <c r="AD1114" t="n">
        <v>5</v>
      </c>
      <c r="AE1114" t="n">
        <v>6</v>
      </c>
      <c r="AF1114" t="n">
        <v>2</v>
      </c>
      <c r="AG1114" t="n">
        <v>3</v>
      </c>
      <c r="AH1114" t="n">
        <v>1</v>
      </c>
      <c r="AI1114" t="n">
        <v>1</v>
      </c>
      <c r="AJ1114" t="n">
        <v>1</v>
      </c>
      <c r="AK1114" t="n">
        <v>2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HYPERLINK("http://catalog.hathitrust.org/Record/002422457","HathiTrust Record")</f>
        <v/>
      </c>
      <c r="AS1114">
        <f>HYPERLINK("https://creighton-primo.hosted.exlibrisgroup.com/primo-explore/search?tab=default_tab&amp;search_scope=EVERYTHING&amp;vid=01CRU&amp;lang=en_US&amp;offset=0&amp;query=any,contains,991001724939702656","Catalog Record")</f>
        <v/>
      </c>
      <c r="AT1114">
        <f>HYPERLINK("http://www.worldcat.org/oclc/21875064","WorldCat Record")</f>
        <v/>
      </c>
      <c r="AU1114" t="inlineStr">
        <is>
          <t>836711800:eng</t>
        </is>
      </c>
      <c r="AV1114" t="inlineStr">
        <is>
          <t>21875064</t>
        </is>
      </c>
      <c r="AW1114" t="inlineStr">
        <is>
          <t>991001724939702656</t>
        </is>
      </c>
      <c r="AX1114" t="inlineStr">
        <is>
          <t>991001724939702656</t>
        </is>
      </c>
      <c r="AY1114" t="inlineStr">
        <is>
          <t>2270182770002656</t>
        </is>
      </c>
      <c r="AZ1114" t="inlineStr">
        <is>
          <t>BOOK</t>
        </is>
      </c>
      <c r="BB1114" t="inlineStr">
        <is>
          <t>9780412322709</t>
        </is>
      </c>
      <c r="BC1114" t="inlineStr">
        <is>
          <t>32285000939792</t>
        </is>
      </c>
      <c r="BD1114" t="inlineStr">
        <is>
          <t>893238292</t>
        </is>
      </c>
    </row>
    <row r="1115">
      <c r="A1115" t="inlineStr">
        <is>
          <t>No</t>
        </is>
      </c>
      <c r="B1115" t="inlineStr">
        <is>
          <t>QH540 .I5 Supp.13</t>
        </is>
      </c>
      <c r="C1115" t="inlineStr">
        <is>
          <t>0                      QH 0540000I  5                                                       Supp.13</t>
        </is>
      </c>
      <c r="D1115" t="inlineStr">
        <is>
          <t>Biology of the Rhizobiaceae / edited by Kenneth L. Giles, Alan G. Atherly.</t>
        </is>
      </c>
      <c r="E1115" t="inlineStr">
        <is>
          <t>Supp.13*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L1115" t="inlineStr">
        <is>
          <t>New York : Academic Press, 1981</t>
        </is>
      </c>
      <c r="M1115" t="inlineStr">
        <is>
          <t>1981</t>
        </is>
      </c>
      <c r="O1115" t="inlineStr">
        <is>
          <t>eng</t>
        </is>
      </c>
      <c r="P1115" t="inlineStr">
        <is>
          <t>nyu</t>
        </is>
      </c>
      <c r="Q1115" t="inlineStr">
        <is>
          <t>International review of cytology. Supplement ; 13</t>
        </is>
      </c>
      <c r="R1115" t="inlineStr">
        <is>
          <t xml:space="preserve">QH </t>
        </is>
      </c>
      <c r="S1115" t="n">
        <v>2</v>
      </c>
      <c r="T1115" t="n">
        <v>2</v>
      </c>
      <c r="U1115" t="inlineStr">
        <is>
          <t>1994-11-29</t>
        </is>
      </c>
      <c r="V1115" t="inlineStr">
        <is>
          <t>1994-11-29</t>
        </is>
      </c>
      <c r="W1115" t="inlineStr">
        <is>
          <t>1993-09-22</t>
        </is>
      </c>
      <c r="X1115" t="inlineStr">
        <is>
          <t>1993-09-22</t>
        </is>
      </c>
      <c r="Y1115" t="n">
        <v>331</v>
      </c>
      <c r="Z1115" t="n">
        <v>236</v>
      </c>
      <c r="AA1115" t="n">
        <v>262</v>
      </c>
      <c r="AB1115" t="n">
        <v>2</v>
      </c>
      <c r="AC1115" t="n">
        <v>2</v>
      </c>
      <c r="AD1115" t="n">
        <v>13</v>
      </c>
      <c r="AE1115" t="n">
        <v>15</v>
      </c>
      <c r="AF1115" t="n">
        <v>4</v>
      </c>
      <c r="AG1115" t="n">
        <v>5</v>
      </c>
      <c r="AH1115" t="n">
        <v>5</v>
      </c>
      <c r="AI1115" t="n">
        <v>6</v>
      </c>
      <c r="AJ1115" t="n">
        <v>8</v>
      </c>
      <c r="AK1115" t="n">
        <v>8</v>
      </c>
      <c r="AL1115" t="n">
        <v>1</v>
      </c>
      <c r="AM1115" t="n">
        <v>1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HYPERLINK("http://catalog.hathitrust.org/Record/000102721","HathiTrust Record")</f>
        <v/>
      </c>
      <c r="AS1115">
        <f>HYPERLINK("https://creighton-primo.hosted.exlibrisgroup.com/primo-explore/search?tab=default_tab&amp;search_scope=EVERYTHING&amp;vid=01CRU&amp;lang=en_US&amp;offset=0&amp;query=any,contains,991005200869702656","Catalog Record")</f>
        <v/>
      </c>
      <c r="AT1115">
        <f>HYPERLINK("http://www.worldcat.org/oclc/8075738","WorldCat Record")</f>
        <v/>
      </c>
      <c r="AU1115" t="inlineStr">
        <is>
          <t>355122720:eng</t>
        </is>
      </c>
      <c r="AV1115" t="inlineStr">
        <is>
          <t>8075738</t>
        </is>
      </c>
      <c r="AW1115" t="inlineStr">
        <is>
          <t>991005200869702656</t>
        </is>
      </c>
      <c r="AX1115" t="inlineStr">
        <is>
          <t>991005200869702656</t>
        </is>
      </c>
      <c r="AY1115" t="inlineStr">
        <is>
          <t>2256417090002656</t>
        </is>
      </c>
      <c r="AZ1115" t="inlineStr">
        <is>
          <t>BOOK</t>
        </is>
      </c>
      <c r="BB1115" t="inlineStr">
        <is>
          <t>9780123643742</t>
        </is>
      </c>
      <c r="BC1115" t="inlineStr">
        <is>
          <t>32285001777134</t>
        </is>
      </c>
      <c r="BD1115" t="inlineStr">
        <is>
          <t>893688764</t>
        </is>
      </c>
    </row>
    <row r="1116">
      <c r="A1116" t="inlineStr">
        <is>
          <t>No</t>
        </is>
      </c>
      <c r="B1116" t="inlineStr">
        <is>
          <t>QH540 .I5 Supp.14</t>
        </is>
      </c>
      <c r="C1116" t="inlineStr">
        <is>
          <t>0                      QH 0540000I  5                                                       Supp.14</t>
        </is>
      </c>
      <c r="D1116" t="inlineStr">
        <is>
          <t>Intracellular symbiosis / edited by Kwang W. Jeon.</t>
        </is>
      </c>
      <c r="E1116" t="inlineStr">
        <is>
          <t>Supp.14*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L1116" t="inlineStr">
        <is>
          <t>New York : Academic Press, 1983.</t>
        </is>
      </c>
      <c r="M1116" t="inlineStr">
        <is>
          <t>1983</t>
        </is>
      </c>
      <c r="O1116" t="inlineStr">
        <is>
          <t>eng</t>
        </is>
      </c>
      <c r="P1116" t="inlineStr">
        <is>
          <t>nyu</t>
        </is>
      </c>
      <c r="Q1116" t="inlineStr">
        <is>
          <t>International review of cytology. Supplement ; 14</t>
        </is>
      </c>
      <c r="R1116" t="inlineStr">
        <is>
          <t xml:space="preserve">QH </t>
        </is>
      </c>
      <c r="S1116" t="n">
        <v>8</v>
      </c>
      <c r="T1116" t="n">
        <v>8</v>
      </c>
      <c r="U1116" t="inlineStr">
        <is>
          <t>1996-03-06</t>
        </is>
      </c>
      <c r="V1116" t="inlineStr">
        <is>
          <t>1996-03-06</t>
        </is>
      </c>
      <c r="W1116" t="inlineStr">
        <is>
          <t>1993-09-22</t>
        </is>
      </c>
      <c r="X1116" t="inlineStr">
        <is>
          <t>1993-09-22</t>
        </is>
      </c>
      <c r="Y1116" t="n">
        <v>321</v>
      </c>
      <c r="Z1116" t="n">
        <v>240</v>
      </c>
      <c r="AA1116" t="n">
        <v>242</v>
      </c>
      <c r="AB1116" t="n">
        <v>3</v>
      </c>
      <c r="AC1116" t="n">
        <v>3</v>
      </c>
      <c r="AD1116" t="n">
        <v>14</v>
      </c>
      <c r="AE1116" t="n">
        <v>14</v>
      </c>
      <c r="AF1116" t="n">
        <v>2</v>
      </c>
      <c r="AG1116" t="n">
        <v>2</v>
      </c>
      <c r="AH1116" t="n">
        <v>6</v>
      </c>
      <c r="AI1116" t="n">
        <v>6</v>
      </c>
      <c r="AJ1116" t="n">
        <v>8</v>
      </c>
      <c r="AK1116" t="n">
        <v>8</v>
      </c>
      <c r="AL1116" t="n">
        <v>2</v>
      </c>
      <c r="AM1116" t="n">
        <v>2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HYPERLINK("http://catalog.hathitrust.org/Record/000277741","HathiTrust Record")</f>
        <v/>
      </c>
      <c r="AS1116">
        <f>HYPERLINK("https://creighton-primo.hosted.exlibrisgroup.com/primo-explore/search?tab=default_tab&amp;search_scope=EVERYTHING&amp;vid=01CRU&amp;lang=en_US&amp;offset=0&amp;query=any,contains,991000198759702656","Catalog Record")</f>
        <v/>
      </c>
      <c r="AT1116">
        <f>HYPERLINK("http://www.worldcat.org/oclc/9449230","WorldCat Record")</f>
        <v/>
      </c>
      <c r="AU1116" t="inlineStr">
        <is>
          <t>43090979:eng</t>
        </is>
      </c>
      <c r="AV1116" t="inlineStr">
        <is>
          <t>9449230</t>
        </is>
      </c>
      <c r="AW1116" t="inlineStr">
        <is>
          <t>991000198759702656</t>
        </is>
      </c>
      <c r="AX1116" t="inlineStr">
        <is>
          <t>991000198759702656</t>
        </is>
      </c>
      <c r="AY1116" t="inlineStr">
        <is>
          <t>2260369870002656</t>
        </is>
      </c>
      <c r="AZ1116" t="inlineStr">
        <is>
          <t>BOOK</t>
        </is>
      </c>
      <c r="BB1116" t="inlineStr">
        <is>
          <t>9780123643759</t>
        </is>
      </c>
      <c r="BC1116" t="inlineStr">
        <is>
          <t>32285001777142</t>
        </is>
      </c>
      <c r="BD1116" t="inlineStr">
        <is>
          <t>893419277</t>
        </is>
      </c>
    </row>
    <row r="1117">
      <c r="A1117" t="inlineStr">
        <is>
          <t>No</t>
        </is>
      </c>
      <c r="B1117" t="inlineStr">
        <is>
          <t>QH540 .I5 v.103, etc.</t>
        </is>
      </c>
      <c r="C1117" t="inlineStr">
        <is>
          <t>0                      QH 0540000I  5                                                       v.103, etc.</t>
        </is>
      </c>
      <c r="D1117" t="inlineStr">
        <is>
          <t>A Survey of cell biology / editor-in-chief, G.H. Bourne ; associate editors, K.W. Jeon, M. Friedlander.</t>
        </is>
      </c>
      <c r="E1117" t="inlineStr">
        <is>
          <t>V. 116</t>
        </is>
      </c>
      <c r="F1117" t="inlineStr">
        <is>
          <t>Yes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L1117" t="inlineStr">
        <is>
          <t>Orlando, Fla. : Academic Press, 1986-&lt;c1989 &gt;</t>
        </is>
      </c>
      <c r="M1117" t="inlineStr">
        <is>
          <t>1986</t>
        </is>
      </c>
      <c r="O1117" t="inlineStr">
        <is>
          <t>eng</t>
        </is>
      </c>
      <c r="P1117" t="inlineStr">
        <is>
          <t>flu</t>
        </is>
      </c>
      <c r="Q1117" t="inlineStr">
        <is>
          <t>International review of cytology ; 103-&lt;106, 108-136, 138-139, 142-145 &gt;</t>
        </is>
      </c>
      <c r="R1117" t="inlineStr">
        <is>
          <t xml:space="preserve">QH </t>
        </is>
      </c>
      <c r="S1117" t="n">
        <v>0</v>
      </c>
      <c r="T1117" t="n">
        <v>5</v>
      </c>
      <c r="V1117" t="inlineStr">
        <is>
          <t>1994-06-20</t>
        </is>
      </c>
      <c r="W1117" t="inlineStr">
        <is>
          <t>1993-06-23</t>
        </is>
      </c>
      <c r="X1117" t="inlineStr">
        <is>
          <t>1995-09-21</t>
        </is>
      </c>
      <c r="Y1117" t="n">
        <v>5</v>
      </c>
      <c r="Z1117" t="n">
        <v>5</v>
      </c>
      <c r="AA1117" t="n">
        <v>5</v>
      </c>
      <c r="AB1117" t="n">
        <v>1</v>
      </c>
      <c r="AC1117" t="n">
        <v>1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I1117" t="n">
        <v>0</v>
      </c>
      <c r="AJ1117" t="n">
        <v>0</v>
      </c>
      <c r="AK1117" t="n">
        <v>0</v>
      </c>
      <c r="AL1117" t="n">
        <v>0</v>
      </c>
      <c r="AM1117" t="n">
        <v>0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7">
        <f>HYPERLINK("http://www.worldcat.org/oclc/20984114","WorldCat Record")</f>
        <v/>
      </c>
      <c r="AU1117" t="inlineStr">
        <is>
          <t>8907502297:eng</t>
        </is>
      </c>
      <c r="AV1117" t="inlineStr">
        <is>
          <t>20984114</t>
        </is>
      </c>
      <c r="AW1117" t="inlineStr">
        <is>
          <t>991001636879702656</t>
        </is>
      </c>
      <c r="AX1117" t="inlineStr">
        <is>
          <t>991001636879702656</t>
        </is>
      </c>
      <c r="AY1117" t="inlineStr">
        <is>
          <t>2271385450002656</t>
        </is>
      </c>
      <c r="AZ1117" t="inlineStr">
        <is>
          <t>BOOK</t>
        </is>
      </c>
      <c r="BC1117" t="inlineStr">
        <is>
          <t>32285001736387</t>
        </is>
      </c>
      <c r="BD1117" t="inlineStr">
        <is>
          <t>893497235</t>
        </is>
      </c>
    </row>
    <row r="1118">
      <c r="A1118" t="inlineStr">
        <is>
          <t>No</t>
        </is>
      </c>
      <c r="B1118" t="inlineStr">
        <is>
          <t>QH540 .I5 v.103, etc.</t>
        </is>
      </c>
      <c r="C1118" t="inlineStr">
        <is>
          <t>0                      QH 0540000I  5                                                       v.103, etc.</t>
        </is>
      </c>
      <c r="D1118" t="inlineStr">
        <is>
          <t>A Survey of cell biology / editor-in-chief, G.H. Bourne ; associate editors, K.W. Jeon, M. Friedlander.</t>
        </is>
      </c>
      <c r="E1118" t="inlineStr">
        <is>
          <t>V. 148</t>
        </is>
      </c>
      <c r="F1118" t="inlineStr">
        <is>
          <t>Yes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Orlando, Fla. : Academic Press, 1986-&lt;c1989 &gt;</t>
        </is>
      </c>
      <c r="M1118" t="inlineStr">
        <is>
          <t>1986</t>
        </is>
      </c>
      <c r="O1118" t="inlineStr">
        <is>
          <t>eng</t>
        </is>
      </c>
      <c r="P1118" t="inlineStr">
        <is>
          <t>flu</t>
        </is>
      </c>
      <c r="Q1118" t="inlineStr">
        <is>
          <t>International review of cytology ; 103-&lt;106, 108-136, 138-139, 142-145 &gt;</t>
        </is>
      </c>
      <c r="R1118" t="inlineStr">
        <is>
          <t xml:space="preserve">QH </t>
        </is>
      </c>
      <c r="S1118" t="n">
        <v>0</v>
      </c>
      <c r="T1118" t="n">
        <v>5</v>
      </c>
      <c r="V1118" t="inlineStr">
        <is>
          <t>1994-06-20</t>
        </is>
      </c>
      <c r="W1118" t="inlineStr">
        <is>
          <t>1994-03-03</t>
        </is>
      </c>
      <c r="X1118" t="inlineStr">
        <is>
          <t>1995-09-21</t>
        </is>
      </c>
      <c r="Y1118" t="n">
        <v>5</v>
      </c>
      <c r="Z1118" t="n">
        <v>5</v>
      </c>
      <c r="AA1118" t="n">
        <v>5</v>
      </c>
      <c r="AB1118" t="n">
        <v>1</v>
      </c>
      <c r="AC1118" t="n">
        <v>1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8">
        <f>HYPERLINK("http://www.worldcat.org/oclc/20984114","WorldCat Record")</f>
        <v/>
      </c>
      <c r="AU1118" t="inlineStr">
        <is>
          <t>8907502297:eng</t>
        </is>
      </c>
      <c r="AV1118" t="inlineStr">
        <is>
          <t>20984114</t>
        </is>
      </c>
      <c r="AW1118" t="inlineStr">
        <is>
          <t>991001636879702656</t>
        </is>
      </c>
      <c r="AX1118" t="inlineStr">
        <is>
          <t>991001636879702656</t>
        </is>
      </c>
      <c r="AY1118" t="inlineStr">
        <is>
          <t>2271385450002656</t>
        </is>
      </c>
      <c r="AZ1118" t="inlineStr">
        <is>
          <t>BOOK</t>
        </is>
      </c>
      <c r="BC1118" t="inlineStr">
        <is>
          <t>32285001862027</t>
        </is>
      </c>
      <c r="BD1118" t="inlineStr">
        <is>
          <t>893516349</t>
        </is>
      </c>
    </row>
    <row r="1119">
      <c r="A1119" t="inlineStr">
        <is>
          <t>No</t>
        </is>
      </c>
      <c r="B1119" t="inlineStr">
        <is>
          <t>QH540 .I5 v.103, etc.</t>
        </is>
      </c>
      <c r="C1119" t="inlineStr">
        <is>
          <t>0                      QH 0540000I  5                                                       v.103, etc.</t>
        </is>
      </c>
      <c r="D1119" t="inlineStr">
        <is>
          <t>A Survey of cell biology / editor-in-chief, G.H. Bourne ; associate editors, K.W. Jeon, M. Friedlander.</t>
        </is>
      </c>
      <c r="E1119" t="inlineStr">
        <is>
          <t>V. 157</t>
        </is>
      </c>
      <c r="F1119" t="inlineStr">
        <is>
          <t>Yes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Orlando, Fla. : Academic Press, 1986-&lt;c1989 &gt;</t>
        </is>
      </c>
      <c r="M1119" t="inlineStr">
        <is>
          <t>1986</t>
        </is>
      </c>
      <c r="O1119" t="inlineStr">
        <is>
          <t>eng</t>
        </is>
      </c>
      <c r="P1119" t="inlineStr">
        <is>
          <t>flu</t>
        </is>
      </c>
      <c r="Q1119" t="inlineStr">
        <is>
          <t>International review of cytology ; 103-&lt;106, 108-136, 138-139, 142-145 &gt;</t>
        </is>
      </c>
      <c r="R1119" t="inlineStr">
        <is>
          <t xml:space="preserve">QH </t>
        </is>
      </c>
      <c r="S1119" t="n">
        <v>1</v>
      </c>
      <c r="T1119" t="n">
        <v>5</v>
      </c>
      <c r="V1119" t="inlineStr">
        <is>
          <t>1994-06-20</t>
        </is>
      </c>
      <c r="W1119" t="inlineStr">
        <is>
          <t>1995-04-17</t>
        </is>
      </c>
      <c r="X1119" t="inlineStr">
        <is>
          <t>1995-09-21</t>
        </is>
      </c>
      <c r="Y1119" t="n">
        <v>5</v>
      </c>
      <c r="Z1119" t="n">
        <v>5</v>
      </c>
      <c r="AA1119" t="n">
        <v>5</v>
      </c>
      <c r="AB1119" t="n">
        <v>1</v>
      </c>
      <c r="AC1119" t="n">
        <v>1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I1119" t="n">
        <v>0</v>
      </c>
      <c r="AJ1119" t="n">
        <v>0</v>
      </c>
      <c r="AK1119" t="n">
        <v>0</v>
      </c>
      <c r="AL1119" t="n">
        <v>0</v>
      </c>
      <c r="AM1119" t="n">
        <v>0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No</t>
        </is>
      </c>
      <c r="AS111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9">
        <f>HYPERLINK("http://www.worldcat.org/oclc/20984114","WorldCat Record")</f>
        <v/>
      </c>
      <c r="AU1119" t="inlineStr">
        <is>
          <t>8907502297:eng</t>
        </is>
      </c>
      <c r="AV1119" t="inlineStr">
        <is>
          <t>20984114</t>
        </is>
      </c>
      <c r="AW1119" t="inlineStr">
        <is>
          <t>991001636879702656</t>
        </is>
      </c>
      <c r="AX1119" t="inlineStr">
        <is>
          <t>991001636879702656</t>
        </is>
      </c>
      <c r="AY1119" t="inlineStr">
        <is>
          <t>2271385450002656</t>
        </is>
      </c>
      <c r="AZ1119" t="inlineStr">
        <is>
          <t>BOOK</t>
        </is>
      </c>
      <c r="BC1119" t="inlineStr">
        <is>
          <t>32285002009230</t>
        </is>
      </c>
      <c r="BD1119" t="inlineStr">
        <is>
          <t>893516347</t>
        </is>
      </c>
    </row>
    <row r="1120">
      <c r="A1120" t="inlineStr">
        <is>
          <t>No</t>
        </is>
      </c>
      <c r="B1120" t="inlineStr">
        <is>
          <t>QH540 .I5 v.103, etc.</t>
        </is>
      </c>
      <c r="C1120" t="inlineStr">
        <is>
          <t>0                      QH 0540000I  5                                                       v.103, etc.</t>
        </is>
      </c>
      <c r="D1120" t="inlineStr">
        <is>
          <t>A Survey of cell biology / editor-in-chief, G.H. Bourne ; associate editors, K.W. Jeon, M. Friedlander.</t>
        </is>
      </c>
      <c r="E1120" t="inlineStr">
        <is>
          <t>V. 155</t>
        </is>
      </c>
      <c r="F1120" t="inlineStr">
        <is>
          <t>Yes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Orlando, Fla. : Academic Press, 1986-&lt;c1989 &gt;</t>
        </is>
      </c>
      <c r="M1120" t="inlineStr">
        <is>
          <t>1986</t>
        </is>
      </c>
      <c r="O1120" t="inlineStr">
        <is>
          <t>eng</t>
        </is>
      </c>
      <c r="P1120" t="inlineStr">
        <is>
          <t>flu</t>
        </is>
      </c>
      <c r="Q1120" t="inlineStr">
        <is>
          <t>International review of cytology ; 103-&lt;106, 108-136, 138-139, 142-145 &gt;</t>
        </is>
      </c>
      <c r="R1120" t="inlineStr">
        <is>
          <t xml:space="preserve">QH </t>
        </is>
      </c>
      <c r="S1120" t="n">
        <v>0</v>
      </c>
      <c r="T1120" t="n">
        <v>5</v>
      </c>
      <c r="V1120" t="inlineStr">
        <is>
          <t>1994-06-20</t>
        </is>
      </c>
      <c r="W1120" t="inlineStr">
        <is>
          <t>1994-10-26</t>
        </is>
      </c>
      <c r="X1120" t="inlineStr">
        <is>
          <t>1995-09-21</t>
        </is>
      </c>
      <c r="Y1120" t="n">
        <v>5</v>
      </c>
      <c r="Z1120" t="n">
        <v>5</v>
      </c>
      <c r="AA1120" t="n">
        <v>5</v>
      </c>
      <c r="AB1120" t="n">
        <v>1</v>
      </c>
      <c r="AC1120" t="n">
        <v>1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I1120" t="n">
        <v>0</v>
      </c>
      <c r="AJ1120" t="n">
        <v>0</v>
      </c>
      <c r="AK1120" t="n">
        <v>0</v>
      </c>
      <c r="AL1120" t="n">
        <v>0</v>
      </c>
      <c r="AM1120" t="n">
        <v>0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0">
        <f>HYPERLINK("http://www.worldcat.org/oclc/20984114","WorldCat Record")</f>
        <v/>
      </c>
      <c r="AU1120" t="inlineStr">
        <is>
          <t>8907502297:eng</t>
        </is>
      </c>
      <c r="AV1120" t="inlineStr">
        <is>
          <t>20984114</t>
        </is>
      </c>
      <c r="AW1120" t="inlineStr">
        <is>
          <t>991001636879702656</t>
        </is>
      </c>
      <c r="AX1120" t="inlineStr">
        <is>
          <t>991001636879702656</t>
        </is>
      </c>
      <c r="AY1120" t="inlineStr">
        <is>
          <t>2271385450002656</t>
        </is>
      </c>
      <c r="AZ1120" t="inlineStr">
        <is>
          <t>BOOK</t>
        </is>
      </c>
      <c r="BC1120" t="inlineStr">
        <is>
          <t>32285001970242</t>
        </is>
      </c>
      <c r="BD1120" t="inlineStr">
        <is>
          <t>893503545</t>
        </is>
      </c>
    </row>
    <row r="1121">
      <c r="A1121" t="inlineStr">
        <is>
          <t>No</t>
        </is>
      </c>
      <c r="B1121" t="inlineStr">
        <is>
          <t>QH540 .I5 v.103, etc.</t>
        </is>
      </c>
      <c r="C1121" t="inlineStr">
        <is>
          <t>0                      QH 0540000I  5                                                       v.103, etc.</t>
        </is>
      </c>
      <c r="D1121" t="inlineStr">
        <is>
          <t>A Survey of cell biology / editor-in-chief, G.H. Bourne ; associate editors, K.W. Jeon, M. Friedlander.</t>
        </is>
      </c>
      <c r="E1121" t="inlineStr">
        <is>
          <t>V. 159</t>
        </is>
      </c>
      <c r="F1121" t="inlineStr">
        <is>
          <t>Yes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L1121" t="inlineStr">
        <is>
          <t>Orlando, Fla. : Academic Press, 1986-&lt;c1989 &gt;</t>
        </is>
      </c>
      <c r="M1121" t="inlineStr">
        <is>
          <t>1986</t>
        </is>
      </c>
      <c r="O1121" t="inlineStr">
        <is>
          <t>eng</t>
        </is>
      </c>
      <c r="P1121" t="inlineStr">
        <is>
          <t>flu</t>
        </is>
      </c>
      <c r="Q1121" t="inlineStr">
        <is>
          <t>International review of cytology ; 103-&lt;106, 108-136, 138-139, 142-145 &gt;</t>
        </is>
      </c>
      <c r="R1121" t="inlineStr">
        <is>
          <t xml:space="preserve">QH </t>
        </is>
      </c>
      <c r="S1121" t="n">
        <v>0</v>
      </c>
      <c r="T1121" t="n">
        <v>5</v>
      </c>
      <c r="V1121" t="inlineStr">
        <is>
          <t>1994-06-20</t>
        </is>
      </c>
      <c r="W1121" t="inlineStr">
        <is>
          <t>1995-06-08</t>
        </is>
      </c>
      <c r="X1121" t="inlineStr">
        <is>
          <t>1995-09-21</t>
        </is>
      </c>
      <c r="Y1121" t="n">
        <v>5</v>
      </c>
      <c r="Z1121" t="n">
        <v>5</v>
      </c>
      <c r="AA1121" t="n">
        <v>5</v>
      </c>
      <c r="AB1121" t="n">
        <v>1</v>
      </c>
      <c r="AC1121" t="n">
        <v>1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I1121" t="n">
        <v>0</v>
      </c>
      <c r="AJ1121" t="n">
        <v>0</v>
      </c>
      <c r="AK1121" t="n">
        <v>0</v>
      </c>
      <c r="AL1121" t="n">
        <v>0</v>
      </c>
      <c r="AM1121" t="n">
        <v>0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1">
        <f>HYPERLINK("http://www.worldcat.org/oclc/20984114","WorldCat Record")</f>
        <v/>
      </c>
      <c r="AU1121" t="inlineStr">
        <is>
          <t>8907502297:eng</t>
        </is>
      </c>
      <c r="AV1121" t="inlineStr">
        <is>
          <t>20984114</t>
        </is>
      </c>
      <c r="AW1121" t="inlineStr">
        <is>
          <t>991001636879702656</t>
        </is>
      </c>
      <c r="AX1121" t="inlineStr">
        <is>
          <t>991001636879702656</t>
        </is>
      </c>
      <c r="AY1121" t="inlineStr">
        <is>
          <t>2271385450002656</t>
        </is>
      </c>
      <c r="AZ1121" t="inlineStr">
        <is>
          <t>BOOK</t>
        </is>
      </c>
      <c r="BC1121" t="inlineStr">
        <is>
          <t>32285002057809</t>
        </is>
      </c>
      <c r="BD1121" t="inlineStr">
        <is>
          <t>893516341</t>
        </is>
      </c>
    </row>
    <row r="1122">
      <c r="A1122" t="inlineStr">
        <is>
          <t>No</t>
        </is>
      </c>
      <c r="B1122" t="inlineStr">
        <is>
          <t>QH540 .I5 v.103, etc.</t>
        </is>
      </c>
      <c r="C1122" t="inlineStr">
        <is>
          <t>0                      QH 0540000I  5                                                       v.103, etc.</t>
        </is>
      </c>
      <c r="D1122" t="inlineStr">
        <is>
          <t>A Survey of cell biology / editor-in-chief, G.H. Bourne ; associate editors, K.W. Jeon, M. Friedlander.</t>
        </is>
      </c>
      <c r="E1122" t="inlineStr">
        <is>
          <t>V. 105</t>
        </is>
      </c>
      <c r="F1122" t="inlineStr">
        <is>
          <t>Yes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L1122" t="inlineStr">
        <is>
          <t>Orlando, Fla. : Academic Press, 1986-&lt;c1989 &gt;</t>
        </is>
      </c>
      <c r="M1122" t="inlineStr">
        <is>
          <t>1986</t>
        </is>
      </c>
      <c r="O1122" t="inlineStr">
        <is>
          <t>eng</t>
        </is>
      </c>
      <c r="P1122" t="inlineStr">
        <is>
          <t>flu</t>
        </is>
      </c>
      <c r="Q1122" t="inlineStr">
        <is>
          <t>International review of cytology ; 103-&lt;106, 108-136, 138-139, 142-145 &gt;</t>
        </is>
      </c>
      <c r="R1122" t="inlineStr">
        <is>
          <t xml:space="preserve">QH </t>
        </is>
      </c>
      <c r="S1122" t="n">
        <v>0</v>
      </c>
      <c r="T1122" t="n">
        <v>5</v>
      </c>
      <c r="V1122" t="inlineStr">
        <is>
          <t>1994-06-20</t>
        </is>
      </c>
      <c r="W1122" t="inlineStr">
        <is>
          <t>1993-06-23</t>
        </is>
      </c>
      <c r="X1122" t="inlineStr">
        <is>
          <t>1995-09-21</t>
        </is>
      </c>
      <c r="Y1122" t="n">
        <v>5</v>
      </c>
      <c r="Z1122" t="n">
        <v>5</v>
      </c>
      <c r="AA1122" t="n">
        <v>5</v>
      </c>
      <c r="AB1122" t="n">
        <v>1</v>
      </c>
      <c r="AC1122" t="n">
        <v>1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I1122" t="n">
        <v>0</v>
      </c>
      <c r="AJ1122" t="n">
        <v>0</v>
      </c>
      <c r="AK1122" t="n">
        <v>0</v>
      </c>
      <c r="AL1122" t="n">
        <v>0</v>
      </c>
      <c r="AM1122" t="n">
        <v>0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2">
        <f>HYPERLINK("http://www.worldcat.org/oclc/20984114","WorldCat Record")</f>
        <v/>
      </c>
      <c r="AU1122" t="inlineStr">
        <is>
          <t>8907502297:eng</t>
        </is>
      </c>
      <c r="AV1122" t="inlineStr">
        <is>
          <t>20984114</t>
        </is>
      </c>
      <c r="AW1122" t="inlineStr">
        <is>
          <t>991001636879702656</t>
        </is>
      </c>
      <c r="AX1122" t="inlineStr">
        <is>
          <t>991001636879702656</t>
        </is>
      </c>
      <c r="AY1122" t="inlineStr">
        <is>
          <t>2271385450002656</t>
        </is>
      </c>
      <c r="AZ1122" t="inlineStr">
        <is>
          <t>BOOK</t>
        </is>
      </c>
      <c r="BC1122" t="inlineStr">
        <is>
          <t>32285001736270</t>
        </is>
      </c>
      <c r="BD1122" t="inlineStr">
        <is>
          <t>893516345</t>
        </is>
      </c>
    </row>
    <row r="1123">
      <c r="A1123" t="inlineStr">
        <is>
          <t>No</t>
        </is>
      </c>
      <c r="B1123" t="inlineStr">
        <is>
          <t>QH540 .I5 v.103, etc.</t>
        </is>
      </c>
      <c r="C1123" t="inlineStr">
        <is>
          <t>0                      QH 0540000I  5                                                       v.103, etc.</t>
        </is>
      </c>
      <c r="D1123" t="inlineStr">
        <is>
          <t>A Survey of cell biology / editor-in-chief, G.H. Bourne ; associate editors, K.W. Jeon, M. Friedlander.</t>
        </is>
      </c>
      <c r="E1123" t="inlineStr">
        <is>
          <t>V. 108</t>
        </is>
      </c>
      <c r="F1123" t="inlineStr">
        <is>
          <t>Yes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Orlando, Fla. : Academic Press, 1986-&lt;c1989 &gt;</t>
        </is>
      </c>
      <c r="M1123" t="inlineStr">
        <is>
          <t>1986</t>
        </is>
      </c>
      <c r="O1123" t="inlineStr">
        <is>
          <t>eng</t>
        </is>
      </c>
      <c r="P1123" t="inlineStr">
        <is>
          <t>flu</t>
        </is>
      </c>
      <c r="Q1123" t="inlineStr">
        <is>
          <t>International review of cytology ; 103-&lt;106, 108-136, 138-139, 142-145 &gt;</t>
        </is>
      </c>
      <c r="R1123" t="inlineStr">
        <is>
          <t xml:space="preserve">QH </t>
        </is>
      </c>
      <c r="S1123" t="n">
        <v>0</v>
      </c>
      <c r="T1123" t="n">
        <v>5</v>
      </c>
      <c r="V1123" t="inlineStr">
        <is>
          <t>1994-06-20</t>
        </is>
      </c>
      <c r="W1123" t="inlineStr">
        <is>
          <t>1993-06-23</t>
        </is>
      </c>
      <c r="X1123" t="inlineStr">
        <is>
          <t>1995-09-21</t>
        </is>
      </c>
      <c r="Y1123" t="n">
        <v>5</v>
      </c>
      <c r="Z1123" t="n">
        <v>5</v>
      </c>
      <c r="AA1123" t="n">
        <v>5</v>
      </c>
      <c r="AB1123" t="n">
        <v>1</v>
      </c>
      <c r="AC1123" t="n">
        <v>1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I1123" t="n">
        <v>0</v>
      </c>
      <c r="AJ1123" t="n">
        <v>0</v>
      </c>
      <c r="AK1123" t="n">
        <v>0</v>
      </c>
      <c r="AL1123" t="n">
        <v>0</v>
      </c>
      <c r="AM1123" t="n">
        <v>0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3">
        <f>HYPERLINK("http://www.worldcat.org/oclc/20984114","WorldCat Record")</f>
        <v/>
      </c>
      <c r="AU1123" t="inlineStr">
        <is>
          <t>8907502297:eng</t>
        </is>
      </c>
      <c r="AV1123" t="inlineStr">
        <is>
          <t>20984114</t>
        </is>
      </c>
      <c r="AW1123" t="inlineStr">
        <is>
          <t>991001636879702656</t>
        </is>
      </c>
      <c r="AX1123" t="inlineStr">
        <is>
          <t>991001636879702656</t>
        </is>
      </c>
      <c r="AY1123" t="inlineStr">
        <is>
          <t>2271385450002656</t>
        </is>
      </c>
      <c r="AZ1123" t="inlineStr">
        <is>
          <t>BOOK</t>
        </is>
      </c>
      <c r="BC1123" t="inlineStr">
        <is>
          <t>32285001736304</t>
        </is>
      </c>
      <c r="BD1123" t="inlineStr">
        <is>
          <t>893509764</t>
        </is>
      </c>
    </row>
    <row r="1124">
      <c r="A1124" t="inlineStr">
        <is>
          <t>No</t>
        </is>
      </c>
      <c r="B1124" t="inlineStr">
        <is>
          <t>QH540 .I5 v.103, etc.</t>
        </is>
      </c>
      <c r="C1124" t="inlineStr">
        <is>
          <t>0                      QH 0540000I  5                                                       v.103, etc.</t>
        </is>
      </c>
      <c r="D1124" t="inlineStr">
        <is>
          <t>A Survey of cell biology / editor-in-chief, G.H. Bourne ; associate editors, K.W. Jeon, M. Friedlander.</t>
        </is>
      </c>
      <c r="E1124" t="inlineStr">
        <is>
          <t>V. 151</t>
        </is>
      </c>
      <c r="F1124" t="inlineStr">
        <is>
          <t>Yes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Orlando, Fla. : Academic Press, 1986-&lt;c1989 &gt;</t>
        </is>
      </c>
      <c r="M1124" t="inlineStr">
        <is>
          <t>1986</t>
        </is>
      </c>
      <c r="O1124" t="inlineStr">
        <is>
          <t>eng</t>
        </is>
      </c>
      <c r="P1124" t="inlineStr">
        <is>
          <t>flu</t>
        </is>
      </c>
      <c r="Q1124" t="inlineStr">
        <is>
          <t>International review of cytology ; 103-&lt;106, 108-136, 138-139, 142-145 &gt;</t>
        </is>
      </c>
      <c r="R1124" t="inlineStr">
        <is>
          <t xml:space="preserve">QH </t>
        </is>
      </c>
      <c r="S1124" t="n">
        <v>2</v>
      </c>
      <c r="T1124" t="n">
        <v>5</v>
      </c>
      <c r="U1124" t="inlineStr">
        <is>
          <t>1994-06-20</t>
        </is>
      </c>
      <c r="V1124" t="inlineStr">
        <is>
          <t>1994-06-20</t>
        </is>
      </c>
      <c r="W1124" t="inlineStr">
        <is>
          <t>1994-06-07</t>
        </is>
      </c>
      <c r="X1124" t="inlineStr">
        <is>
          <t>1995-09-21</t>
        </is>
      </c>
      <c r="Y1124" t="n">
        <v>5</v>
      </c>
      <c r="Z1124" t="n">
        <v>5</v>
      </c>
      <c r="AA1124" t="n">
        <v>5</v>
      </c>
      <c r="AB1124" t="n">
        <v>1</v>
      </c>
      <c r="AC1124" t="n">
        <v>1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I1124" t="n">
        <v>0</v>
      </c>
      <c r="AJ1124" t="n">
        <v>0</v>
      </c>
      <c r="AK1124" t="n">
        <v>0</v>
      </c>
      <c r="AL1124" t="n">
        <v>0</v>
      </c>
      <c r="AM1124" t="n">
        <v>0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No</t>
        </is>
      </c>
      <c r="AS112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4">
        <f>HYPERLINK("http://www.worldcat.org/oclc/20984114","WorldCat Record")</f>
        <v/>
      </c>
      <c r="AU1124" t="inlineStr">
        <is>
          <t>8907502297:eng</t>
        </is>
      </c>
      <c r="AV1124" t="inlineStr">
        <is>
          <t>20984114</t>
        </is>
      </c>
      <c r="AW1124" t="inlineStr">
        <is>
          <t>991001636879702656</t>
        </is>
      </c>
      <c r="AX1124" t="inlineStr">
        <is>
          <t>991001636879702656</t>
        </is>
      </c>
      <c r="AY1124" t="inlineStr">
        <is>
          <t>2271385450002656</t>
        </is>
      </c>
      <c r="AZ1124" t="inlineStr">
        <is>
          <t>BOOK</t>
        </is>
      </c>
      <c r="BC1124" t="inlineStr">
        <is>
          <t>32285001916666</t>
        </is>
      </c>
      <c r="BD1124" t="inlineStr">
        <is>
          <t>893509758</t>
        </is>
      </c>
    </row>
    <row r="1125">
      <c r="A1125" t="inlineStr">
        <is>
          <t>No</t>
        </is>
      </c>
      <c r="B1125" t="inlineStr">
        <is>
          <t>QH540 .I5 v.103, etc.</t>
        </is>
      </c>
      <c r="C1125" t="inlineStr">
        <is>
          <t>0                      QH 0540000I  5                                                       v.103, etc.</t>
        </is>
      </c>
      <c r="D1125" t="inlineStr">
        <is>
          <t>A Survey of cell biology / editor-in-chief, G.H. Bourne ; associate editors, K.W. Jeon, M. Friedlander.</t>
        </is>
      </c>
      <c r="E1125" t="inlineStr">
        <is>
          <t>V. 122</t>
        </is>
      </c>
      <c r="F1125" t="inlineStr">
        <is>
          <t>Yes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L1125" t="inlineStr">
        <is>
          <t>Orlando, Fla. : Academic Press, 1986-&lt;c1989 &gt;</t>
        </is>
      </c>
      <c r="M1125" t="inlineStr">
        <is>
          <t>1986</t>
        </is>
      </c>
      <c r="O1125" t="inlineStr">
        <is>
          <t>eng</t>
        </is>
      </c>
      <c r="P1125" t="inlineStr">
        <is>
          <t>flu</t>
        </is>
      </c>
      <c r="Q1125" t="inlineStr">
        <is>
          <t>International review of cytology ; 103-&lt;106, 108-136, 138-139, 142-145 &gt;</t>
        </is>
      </c>
      <c r="R1125" t="inlineStr">
        <is>
          <t xml:space="preserve">QH </t>
        </is>
      </c>
      <c r="S1125" t="n">
        <v>0</v>
      </c>
      <c r="T1125" t="n">
        <v>5</v>
      </c>
      <c r="V1125" t="inlineStr">
        <is>
          <t>1994-06-20</t>
        </is>
      </c>
      <c r="W1125" t="inlineStr">
        <is>
          <t>1993-06-23</t>
        </is>
      </c>
      <c r="X1125" t="inlineStr">
        <is>
          <t>1995-09-21</t>
        </is>
      </c>
      <c r="Y1125" t="n">
        <v>5</v>
      </c>
      <c r="Z1125" t="n">
        <v>5</v>
      </c>
      <c r="AA1125" t="n">
        <v>5</v>
      </c>
      <c r="AB1125" t="n">
        <v>1</v>
      </c>
      <c r="AC1125" t="n">
        <v>1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I1125" t="n">
        <v>0</v>
      </c>
      <c r="AJ1125" t="n">
        <v>0</v>
      </c>
      <c r="AK1125" t="n">
        <v>0</v>
      </c>
      <c r="AL1125" t="n">
        <v>0</v>
      </c>
      <c r="AM1125" t="n">
        <v>0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5">
        <f>HYPERLINK("http://www.worldcat.org/oclc/20984114","WorldCat Record")</f>
        <v/>
      </c>
      <c r="AU1125" t="inlineStr">
        <is>
          <t>8907502297:eng</t>
        </is>
      </c>
      <c r="AV1125" t="inlineStr">
        <is>
          <t>20984114</t>
        </is>
      </c>
      <c r="AW1125" t="inlineStr">
        <is>
          <t>991001636879702656</t>
        </is>
      </c>
      <c r="AX1125" t="inlineStr">
        <is>
          <t>991001636879702656</t>
        </is>
      </c>
      <c r="AY1125" t="inlineStr">
        <is>
          <t>2271385450002656</t>
        </is>
      </c>
      <c r="AZ1125" t="inlineStr">
        <is>
          <t>BOOK</t>
        </is>
      </c>
      <c r="BC1125" t="inlineStr">
        <is>
          <t>32285001736445</t>
        </is>
      </c>
      <c r="BD1125" t="inlineStr">
        <is>
          <t>893509760</t>
        </is>
      </c>
    </row>
    <row r="1126">
      <c r="A1126" t="inlineStr">
        <is>
          <t>No</t>
        </is>
      </c>
      <c r="B1126" t="inlineStr">
        <is>
          <t>QH540 .I5 v.103, etc.</t>
        </is>
      </c>
      <c r="C1126" t="inlineStr">
        <is>
          <t>0                      QH 0540000I  5                                                       v.103, etc.</t>
        </is>
      </c>
      <c r="D1126" t="inlineStr">
        <is>
          <t>A Survey of cell biology / editor-in-chief, G.H. Bourne ; associate editors, K.W. Jeon, M. Friedlander.</t>
        </is>
      </c>
      <c r="E1126" t="inlineStr">
        <is>
          <t>V. 104</t>
        </is>
      </c>
      <c r="F1126" t="inlineStr">
        <is>
          <t>Yes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Orlando, Fla. : Academic Press, 1986-&lt;c1989 &gt;</t>
        </is>
      </c>
      <c r="M1126" t="inlineStr">
        <is>
          <t>1986</t>
        </is>
      </c>
      <c r="O1126" t="inlineStr">
        <is>
          <t>eng</t>
        </is>
      </c>
      <c r="P1126" t="inlineStr">
        <is>
          <t>flu</t>
        </is>
      </c>
      <c r="Q1126" t="inlineStr">
        <is>
          <t>International review of cytology ; 103-&lt;106, 108-136, 138-139, 142-145 &gt;</t>
        </is>
      </c>
      <c r="R1126" t="inlineStr">
        <is>
          <t xml:space="preserve">QH </t>
        </is>
      </c>
      <c r="S1126" t="n">
        <v>0</v>
      </c>
      <c r="T1126" t="n">
        <v>5</v>
      </c>
      <c r="V1126" t="inlineStr">
        <is>
          <t>1994-06-20</t>
        </is>
      </c>
      <c r="W1126" t="inlineStr">
        <is>
          <t>1993-06-23</t>
        </is>
      </c>
      <c r="X1126" t="inlineStr">
        <is>
          <t>1995-09-21</t>
        </is>
      </c>
      <c r="Y1126" t="n">
        <v>5</v>
      </c>
      <c r="Z1126" t="n">
        <v>5</v>
      </c>
      <c r="AA1126" t="n">
        <v>5</v>
      </c>
      <c r="AB1126" t="n">
        <v>1</v>
      </c>
      <c r="AC1126" t="n">
        <v>1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I1126" t="n">
        <v>0</v>
      </c>
      <c r="AJ1126" t="n">
        <v>0</v>
      </c>
      <c r="AK1126" t="n">
        <v>0</v>
      </c>
      <c r="AL1126" t="n">
        <v>0</v>
      </c>
      <c r="AM1126" t="n">
        <v>0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6">
        <f>HYPERLINK("http://www.worldcat.org/oclc/20984114","WorldCat Record")</f>
        <v/>
      </c>
      <c r="AU1126" t="inlineStr">
        <is>
          <t>8907502297:eng</t>
        </is>
      </c>
      <c r="AV1126" t="inlineStr">
        <is>
          <t>20984114</t>
        </is>
      </c>
      <c r="AW1126" t="inlineStr">
        <is>
          <t>991001636879702656</t>
        </is>
      </c>
      <c r="AX1126" t="inlineStr">
        <is>
          <t>991001636879702656</t>
        </is>
      </c>
      <c r="AY1126" t="inlineStr">
        <is>
          <t>2271385450002656</t>
        </is>
      </c>
      <c r="AZ1126" t="inlineStr">
        <is>
          <t>BOOK</t>
        </is>
      </c>
      <c r="BC1126" t="inlineStr">
        <is>
          <t>32285001736262</t>
        </is>
      </c>
      <c r="BD1126" t="inlineStr">
        <is>
          <t>893497239</t>
        </is>
      </c>
    </row>
    <row r="1127">
      <c r="A1127" t="inlineStr">
        <is>
          <t>No</t>
        </is>
      </c>
      <c r="B1127" t="inlineStr">
        <is>
          <t>QH540 .I5 v.103, etc.</t>
        </is>
      </c>
      <c r="C1127" t="inlineStr">
        <is>
          <t>0                      QH 0540000I  5                                                       v.103, etc.</t>
        </is>
      </c>
      <c r="D1127" t="inlineStr">
        <is>
          <t>A Survey of cell biology / editor-in-chief, G.H. Bourne ; associate editors, K.W. Jeon, M. Friedlander.</t>
        </is>
      </c>
      <c r="E1127" t="inlineStr">
        <is>
          <t>V. 106</t>
        </is>
      </c>
      <c r="F1127" t="inlineStr">
        <is>
          <t>Yes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Orlando, Fla. : Academic Press, 1986-&lt;c1989 &gt;</t>
        </is>
      </c>
      <c r="M1127" t="inlineStr">
        <is>
          <t>1986</t>
        </is>
      </c>
      <c r="O1127" t="inlineStr">
        <is>
          <t>eng</t>
        </is>
      </c>
      <c r="P1127" t="inlineStr">
        <is>
          <t>flu</t>
        </is>
      </c>
      <c r="Q1127" t="inlineStr">
        <is>
          <t>International review of cytology ; 103-&lt;106, 108-136, 138-139, 142-145 &gt;</t>
        </is>
      </c>
      <c r="R1127" t="inlineStr">
        <is>
          <t xml:space="preserve">QH </t>
        </is>
      </c>
      <c r="S1127" t="n">
        <v>0</v>
      </c>
      <c r="T1127" t="n">
        <v>5</v>
      </c>
      <c r="V1127" t="inlineStr">
        <is>
          <t>1994-06-20</t>
        </is>
      </c>
      <c r="W1127" t="inlineStr">
        <is>
          <t>1993-06-23</t>
        </is>
      </c>
      <c r="X1127" t="inlineStr">
        <is>
          <t>1995-09-21</t>
        </is>
      </c>
      <c r="Y1127" t="n">
        <v>5</v>
      </c>
      <c r="Z1127" t="n">
        <v>5</v>
      </c>
      <c r="AA1127" t="n">
        <v>5</v>
      </c>
      <c r="AB1127" t="n">
        <v>1</v>
      </c>
      <c r="AC1127" t="n">
        <v>1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I1127" t="n">
        <v>0</v>
      </c>
      <c r="AJ1127" t="n">
        <v>0</v>
      </c>
      <c r="AK1127" t="n">
        <v>0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7">
        <f>HYPERLINK("http://www.worldcat.org/oclc/20984114","WorldCat Record")</f>
        <v/>
      </c>
      <c r="AU1127" t="inlineStr">
        <is>
          <t>8907502297:eng</t>
        </is>
      </c>
      <c r="AV1127" t="inlineStr">
        <is>
          <t>20984114</t>
        </is>
      </c>
      <c r="AW1127" t="inlineStr">
        <is>
          <t>991001636879702656</t>
        </is>
      </c>
      <c r="AX1127" t="inlineStr">
        <is>
          <t>991001636879702656</t>
        </is>
      </c>
      <c r="AY1127" t="inlineStr">
        <is>
          <t>2271385450002656</t>
        </is>
      </c>
      <c r="AZ1127" t="inlineStr">
        <is>
          <t>BOOK</t>
        </is>
      </c>
      <c r="BC1127" t="inlineStr">
        <is>
          <t>32285001736288</t>
        </is>
      </c>
      <c r="BD1127" t="inlineStr">
        <is>
          <t>893497238</t>
        </is>
      </c>
    </row>
    <row r="1128">
      <c r="A1128" t="inlineStr">
        <is>
          <t>No</t>
        </is>
      </c>
      <c r="B1128" t="inlineStr">
        <is>
          <t>QH540 .I5 v.103, etc.</t>
        </is>
      </c>
      <c r="C1128" t="inlineStr">
        <is>
          <t>0                      QH 0540000I  5                                                       v.103, etc.</t>
        </is>
      </c>
      <c r="D1128" t="inlineStr">
        <is>
          <t>A Survey of cell biology / editor-in-chief, G.H. Bourne ; associate editors, K.W. Jeon, M. Friedlander.</t>
        </is>
      </c>
      <c r="E1128" t="inlineStr">
        <is>
          <t>V. 123</t>
        </is>
      </c>
      <c r="F1128" t="inlineStr">
        <is>
          <t>Yes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Orlando, Fla. : Academic Press, 1986-&lt;c1989 &gt;</t>
        </is>
      </c>
      <c r="M1128" t="inlineStr">
        <is>
          <t>1986</t>
        </is>
      </c>
      <c r="O1128" t="inlineStr">
        <is>
          <t>eng</t>
        </is>
      </c>
      <c r="P1128" t="inlineStr">
        <is>
          <t>flu</t>
        </is>
      </c>
      <c r="Q1128" t="inlineStr">
        <is>
          <t>International review of cytology ; 103-&lt;106, 108-136, 138-139, 142-145 &gt;</t>
        </is>
      </c>
      <c r="R1128" t="inlineStr">
        <is>
          <t xml:space="preserve">QH </t>
        </is>
      </c>
      <c r="S1128" t="n">
        <v>0</v>
      </c>
      <c r="T1128" t="n">
        <v>5</v>
      </c>
      <c r="V1128" t="inlineStr">
        <is>
          <t>1994-06-20</t>
        </is>
      </c>
      <c r="W1128" t="inlineStr">
        <is>
          <t>1993-06-23</t>
        </is>
      </c>
      <c r="X1128" t="inlineStr">
        <is>
          <t>1995-09-21</t>
        </is>
      </c>
      <c r="Y1128" t="n">
        <v>5</v>
      </c>
      <c r="Z1128" t="n">
        <v>5</v>
      </c>
      <c r="AA1128" t="n">
        <v>5</v>
      </c>
      <c r="AB1128" t="n">
        <v>1</v>
      </c>
      <c r="AC1128" t="n">
        <v>1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I1128" t="n">
        <v>0</v>
      </c>
      <c r="AJ1128" t="n">
        <v>0</v>
      </c>
      <c r="AK1128" t="n">
        <v>0</v>
      </c>
      <c r="AL1128" t="n">
        <v>0</v>
      </c>
      <c r="AM1128" t="n">
        <v>0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8">
        <f>HYPERLINK("http://www.worldcat.org/oclc/20984114","WorldCat Record")</f>
        <v/>
      </c>
      <c r="AU1128" t="inlineStr">
        <is>
          <t>8907502297:eng</t>
        </is>
      </c>
      <c r="AV1128" t="inlineStr">
        <is>
          <t>20984114</t>
        </is>
      </c>
      <c r="AW1128" t="inlineStr">
        <is>
          <t>991001636879702656</t>
        </is>
      </c>
      <c r="AX1128" t="inlineStr">
        <is>
          <t>991001636879702656</t>
        </is>
      </c>
      <c r="AY1128" t="inlineStr">
        <is>
          <t>2271385450002656</t>
        </is>
      </c>
      <c r="AZ1128" t="inlineStr">
        <is>
          <t>BOOK</t>
        </is>
      </c>
      <c r="BC1128" t="inlineStr">
        <is>
          <t>32285001736452</t>
        </is>
      </c>
      <c r="BD1128" t="inlineStr">
        <is>
          <t>893522700</t>
        </is>
      </c>
    </row>
    <row r="1129">
      <c r="A1129" t="inlineStr">
        <is>
          <t>No</t>
        </is>
      </c>
      <c r="B1129" t="inlineStr">
        <is>
          <t>QH540 .I5 v.103, etc.</t>
        </is>
      </c>
      <c r="C1129" t="inlineStr">
        <is>
          <t>0                      QH 0540000I  5                                                       v.103, etc.</t>
        </is>
      </c>
      <c r="D1129" t="inlineStr">
        <is>
          <t>A Survey of cell biology / editor-in-chief, G.H. Bourne ; associate editors, K.W. Jeon, M. Friedlander.</t>
        </is>
      </c>
      <c r="E1129" t="inlineStr">
        <is>
          <t>V. 160</t>
        </is>
      </c>
      <c r="F1129" t="inlineStr">
        <is>
          <t>Yes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Orlando, Fla. : Academic Press, 1986-&lt;c1989 &gt;</t>
        </is>
      </c>
      <c r="M1129" t="inlineStr">
        <is>
          <t>1986</t>
        </is>
      </c>
      <c r="O1129" t="inlineStr">
        <is>
          <t>eng</t>
        </is>
      </c>
      <c r="P1129" t="inlineStr">
        <is>
          <t>flu</t>
        </is>
      </c>
      <c r="Q1129" t="inlineStr">
        <is>
          <t>International review of cytology ; 103-&lt;106, 108-136, 138-139, 142-145 &gt;</t>
        </is>
      </c>
      <c r="R1129" t="inlineStr">
        <is>
          <t xml:space="preserve">QH </t>
        </is>
      </c>
      <c r="S1129" t="n">
        <v>0</v>
      </c>
      <c r="T1129" t="n">
        <v>5</v>
      </c>
      <c r="V1129" t="inlineStr">
        <is>
          <t>1994-06-20</t>
        </is>
      </c>
      <c r="W1129" t="inlineStr">
        <is>
          <t>1995-09-21</t>
        </is>
      </c>
      <c r="X1129" t="inlineStr">
        <is>
          <t>1995-09-21</t>
        </is>
      </c>
      <c r="Y1129" t="n">
        <v>5</v>
      </c>
      <c r="Z1129" t="n">
        <v>5</v>
      </c>
      <c r="AA1129" t="n">
        <v>5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9">
        <f>HYPERLINK("http://www.worldcat.org/oclc/20984114","WorldCat Record")</f>
        <v/>
      </c>
      <c r="AU1129" t="inlineStr">
        <is>
          <t>8907502297:eng</t>
        </is>
      </c>
      <c r="AV1129" t="inlineStr">
        <is>
          <t>20984114</t>
        </is>
      </c>
      <c r="AW1129" t="inlineStr">
        <is>
          <t>991001636879702656</t>
        </is>
      </c>
      <c r="AX1129" t="inlineStr">
        <is>
          <t>991001636879702656</t>
        </is>
      </c>
      <c r="AY1129" t="inlineStr">
        <is>
          <t>2271385450002656</t>
        </is>
      </c>
      <c r="AZ1129" t="inlineStr">
        <is>
          <t>BOOK</t>
        </is>
      </c>
      <c r="BC1129" t="inlineStr">
        <is>
          <t>32285002086337</t>
        </is>
      </c>
      <c r="BD1129" t="inlineStr">
        <is>
          <t>893516346</t>
        </is>
      </c>
    </row>
    <row r="1130">
      <c r="A1130" t="inlineStr">
        <is>
          <t>No</t>
        </is>
      </c>
      <c r="B1130" t="inlineStr">
        <is>
          <t>QH540 .I5 v.103, etc.</t>
        </is>
      </c>
      <c r="C1130" t="inlineStr">
        <is>
          <t>0                      QH 0540000I  5                                                       v.103, etc.</t>
        </is>
      </c>
      <c r="D1130" t="inlineStr">
        <is>
          <t>A Survey of cell biology / editor-in-chief, G.H. Bourne ; associate editors, K.W. Jeon, M. Friedlander.</t>
        </is>
      </c>
      <c r="E1130" t="inlineStr">
        <is>
          <t>V. 153</t>
        </is>
      </c>
      <c r="F1130" t="inlineStr">
        <is>
          <t>Yes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L1130" t="inlineStr">
        <is>
          <t>Orlando, Fla. : Academic Press, 1986-&lt;c1989 &gt;</t>
        </is>
      </c>
      <c r="M1130" t="inlineStr">
        <is>
          <t>1986</t>
        </is>
      </c>
      <c r="O1130" t="inlineStr">
        <is>
          <t>eng</t>
        </is>
      </c>
      <c r="P1130" t="inlineStr">
        <is>
          <t>flu</t>
        </is>
      </c>
      <c r="Q1130" t="inlineStr">
        <is>
          <t>International review of cytology ; 103-&lt;106, 108-136, 138-139, 142-145 &gt;</t>
        </is>
      </c>
      <c r="R1130" t="inlineStr">
        <is>
          <t xml:space="preserve">QH </t>
        </is>
      </c>
      <c r="S1130" t="n">
        <v>0</v>
      </c>
      <c r="T1130" t="n">
        <v>5</v>
      </c>
      <c r="V1130" t="inlineStr">
        <is>
          <t>1994-06-20</t>
        </is>
      </c>
      <c r="W1130" t="inlineStr">
        <is>
          <t>1994-08-23</t>
        </is>
      </c>
      <c r="X1130" t="inlineStr">
        <is>
          <t>1995-09-21</t>
        </is>
      </c>
      <c r="Y1130" t="n">
        <v>5</v>
      </c>
      <c r="Z1130" t="n">
        <v>5</v>
      </c>
      <c r="AA1130" t="n">
        <v>5</v>
      </c>
      <c r="AB1130" t="n">
        <v>1</v>
      </c>
      <c r="AC1130" t="n">
        <v>1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I1130" t="n">
        <v>0</v>
      </c>
      <c r="AJ1130" t="n">
        <v>0</v>
      </c>
      <c r="AK1130" t="n">
        <v>0</v>
      </c>
      <c r="AL1130" t="n">
        <v>0</v>
      </c>
      <c r="AM1130" t="n">
        <v>0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0">
        <f>HYPERLINK("http://www.worldcat.org/oclc/20984114","WorldCat Record")</f>
        <v/>
      </c>
      <c r="AU1130" t="inlineStr">
        <is>
          <t>8907502297:eng</t>
        </is>
      </c>
      <c r="AV1130" t="inlineStr">
        <is>
          <t>20984114</t>
        </is>
      </c>
      <c r="AW1130" t="inlineStr">
        <is>
          <t>991001636879702656</t>
        </is>
      </c>
      <c r="AX1130" t="inlineStr">
        <is>
          <t>991001636879702656</t>
        </is>
      </c>
      <c r="AY1130" t="inlineStr">
        <is>
          <t>2271385450002656</t>
        </is>
      </c>
      <c r="AZ1130" t="inlineStr">
        <is>
          <t>BOOK</t>
        </is>
      </c>
      <c r="BC1130" t="inlineStr">
        <is>
          <t>32285001866671</t>
        </is>
      </c>
      <c r="BD1130" t="inlineStr">
        <is>
          <t>893497233</t>
        </is>
      </c>
    </row>
    <row r="1131">
      <c r="A1131" t="inlineStr">
        <is>
          <t>No</t>
        </is>
      </c>
      <c r="B1131" t="inlineStr">
        <is>
          <t>QH540 .I5 v.103, etc.</t>
        </is>
      </c>
      <c r="C1131" t="inlineStr">
        <is>
          <t>0                      QH 0540000I  5                                                       v.103, etc.</t>
        </is>
      </c>
      <c r="D1131" t="inlineStr">
        <is>
          <t>A Survey of cell biology / editor-in-chief, G.H. Bourne ; associate editors, K.W. Jeon, M. Friedlander.</t>
        </is>
      </c>
      <c r="E1131" t="inlineStr">
        <is>
          <t>V. 115</t>
        </is>
      </c>
      <c r="F1131" t="inlineStr">
        <is>
          <t>Yes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L1131" t="inlineStr">
        <is>
          <t>Orlando, Fla. : Academic Press, 1986-&lt;c1989 &gt;</t>
        </is>
      </c>
      <c r="M1131" t="inlineStr">
        <is>
          <t>1986</t>
        </is>
      </c>
      <c r="O1131" t="inlineStr">
        <is>
          <t>eng</t>
        </is>
      </c>
      <c r="P1131" t="inlineStr">
        <is>
          <t>flu</t>
        </is>
      </c>
      <c r="Q1131" t="inlineStr">
        <is>
          <t>International review of cytology ; 103-&lt;106, 108-136, 138-139, 142-145 &gt;</t>
        </is>
      </c>
      <c r="R1131" t="inlineStr">
        <is>
          <t xml:space="preserve">QH </t>
        </is>
      </c>
      <c r="S1131" t="n">
        <v>0</v>
      </c>
      <c r="T1131" t="n">
        <v>5</v>
      </c>
      <c r="V1131" t="inlineStr">
        <is>
          <t>1994-06-20</t>
        </is>
      </c>
      <c r="W1131" t="inlineStr">
        <is>
          <t>1993-06-23</t>
        </is>
      </c>
      <c r="X1131" t="inlineStr">
        <is>
          <t>1995-09-21</t>
        </is>
      </c>
      <c r="Y1131" t="n">
        <v>5</v>
      </c>
      <c r="Z1131" t="n">
        <v>5</v>
      </c>
      <c r="AA1131" t="n">
        <v>5</v>
      </c>
      <c r="AB1131" t="n">
        <v>1</v>
      </c>
      <c r="AC1131" t="n">
        <v>1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I1131" t="n">
        <v>0</v>
      </c>
      <c r="AJ1131" t="n">
        <v>0</v>
      </c>
      <c r="AK1131" t="n">
        <v>0</v>
      </c>
      <c r="AL1131" t="n">
        <v>0</v>
      </c>
      <c r="AM1131" t="n">
        <v>0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1">
        <f>HYPERLINK("http://www.worldcat.org/oclc/20984114","WorldCat Record")</f>
        <v/>
      </c>
      <c r="AU1131" t="inlineStr">
        <is>
          <t>8907502297:eng</t>
        </is>
      </c>
      <c r="AV1131" t="inlineStr">
        <is>
          <t>20984114</t>
        </is>
      </c>
      <c r="AW1131" t="inlineStr">
        <is>
          <t>991001636879702656</t>
        </is>
      </c>
      <c r="AX1131" t="inlineStr">
        <is>
          <t>991001636879702656</t>
        </is>
      </c>
      <c r="AY1131" t="inlineStr">
        <is>
          <t>2271385450002656</t>
        </is>
      </c>
      <c r="AZ1131" t="inlineStr">
        <is>
          <t>BOOK</t>
        </is>
      </c>
      <c r="BC1131" t="inlineStr">
        <is>
          <t>32285001736379</t>
        </is>
      </c>
      <c r="BD1131" t="inlineStr">
        <is>
          <t>893516343</t>
        </is>
      </c>
    </row>
    <row r="1132">
      <c r="A1132" t="inlineStr">
        <is>
          <t>No</t>
        </is>
      </c>
      <c r="B1132" t="inlineStr">
        <is>
          <t>QH540 .I5 v.103, etc.</t>
        </is>
      </c>
      <c r="C1132" t="inlineStr">
        <is>
          <t>0                      QH 0540000I  5                                                       v.103, etc.</t>
        </is>
      </c>
      <c r="D1132" t="inlineStr">
        <is>
          <t>A Survey of cell biology / editor-in-chief, G.H. Bourne ; associate editors, K.W. Jeon, M. Friedlander.</t>
        </is>
      </c>
      <c r="E1132" t="inlineStr">
        <is>
          <t>V. 146</t>
        </is>
      </c>
      <c r="F1132" t="inlineStr">
        <is>
          <t>Yes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Orlando, Fla. : Academic Press, 1986-&lt;c1989 &gt;</t>
        </is>
      </c>
      <c r="M1132" t="inlineStr">
        <is>
          <t>1986</t>
        </is>
      </c>
      <c r="O1132" t="inlineStr">
        <is>
          <t>eng</t>
        </is>
      </c>
      <c r="P1132" t="inlineStr">
        <is>
          <t>flu</t>
        </is>
      </c>
      <c r="Q1132" t="inlineStr">
        <is>
          <t>International review of cytology ; 103-&lt;106, 108-136, 138-139, 142-145 &gt;</t>
        </is>
      </c>
      <c r="R1132" t="inlineStr">
        <is>
          <t xml:space="preserve">QH </t>
        </is>
      </c>
      <c r="S1132" t="n">
        <v>0</v>
      </c>
      <c r="T1132" t="n">
        <v>5</v>
      </c>
      <c r="V1132" t="inlineStr">
        <is>
          <t>1994-06-20</t>
        </is>
      </c>
      <c r="W1132" t="inlineStr">
        <is>
          <t>1993-09-01</t>
        </is>
      </c>
      <c r="X1132" t="inlineStr">
        <is>
          <t>1995-09-21</t>
        </is>
      </c>
      <c r="Y1132" t="n">
        <v>5</v>
      </c>
      <c r="Z1132" t="n">
        <v>5</v>
      </c>
      <c r="AA1132" t="n">
        <v>5</v>
      </c>
      <c r="AB1132" t="n">
        <v>1</v>
      </c>
      <c r="AC1132" t="n">
        <v>1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I1132" t="n">
        <v>0</v>
      </c>
      <c r="AJ1132" t="n">
        <v>0</v>
      </c>
      <c r="AK1132" t="n">
        <v>0</v>
      </c>
      <c r="AL1132" t="n">
        <v>0</v>
      </c>
      <c r="AM1132" t="n">
        <v>0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2">
        <f>HYPERLINK("http://www.worldcat.org/oclc/20984114","WorldCat Record")</f>
        <v/>
      </c>
      <c r="AU1132" t="inlineStr">
        <is>
          <t>8907502297:eng</t>
        </is>
      </c>
      <c r="AV1132" t="inlineStr">
        <is>
          <t>20984114</t>
        </is>
      </c>
      <c r="AW1132" t="inlineStr">
        <is>
          <t>991001636879702656</t>
        </is>
      </c>
      <c r="AX1132" t="inlineStr">
        <is>
          <t>991001636879702656</t>
        </is>
      </c>
      <c r="AY1132" t="inlineStr">
        <is>
          <t>2271385450002656</t>
        </is>
      </c>
      <c r="AZ1132" t="inlineStr">
        <is>
          <t>BOOK</t>
        </is>
      </c>
      <c r="BC1132" t="inlineStr">
        <is>
          <t>32285001758597</t>
        </is>
      </c>
      <c r="BD1132" t="inlineStr">
        <is>
          <t>893509756</t>
        </is>
      </c>
    </row>
    <row r="1133">
      <c r="A1133" t="inlineStr">
        <is>
          <t>No</t>
        </is>
      </c>
      <c r="B1133" t="inlineStr">
        <is>
          <t>QH540 .I5 v.103, etc.</t>
        </is>
      </c>
      <c r="C1133" t="inlineStr">
        <is>
          <t>0                      QH 0540000I  5                                                       v.103, etc.</t>
        </is>
      </c>
      <c r="D1133" t="inlineStr">
        <is>
          <t>A Survey of cell biology / editor-in-chief, G.H. Bourne ; associate editors, K.W. Jeon, M. Friedlander.</t>
        </is>
      </c>
      <c r="E1133" t="inlineStr">
        <is>
          <t>V. 147</t>
        </is>
      </c>
      <c r="F1133" t="inlineStr">
        <is>
          <t>Yes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L1133" t="inlineStr">
        <is>
          <t>Orlando, Fla. : Academic Press, 1986-&lt;c1989 &gt;</t>
        </is>
      </c>
      <c r="M1133" t="inlineStr">
        <is>
          <t>1986</t>
        </is>
      </c>
      <c r="O1133" t="inlineStr">
        <is>
          <t>eng</t>
        </is>
      </c>
      <c r="P1133" t="inlineStr">
        <is>
          <t>flu</t>
        </is>
      </c>
      <c r="Q1133" t="inlineStr">
        <is>
          <t>International review of cytology ; 103-&lt;106, 108-136, 138-139, 142-145 &gt;</t>
        </is>
      </c>
      <c r="R1133" t="inlineStr">
        <is>
          <t xml:space="preserve">QH </t>
        </is>
      </c>
      <c r="S1133" t="n">
        <v>0</v>
      </c>
      <c r="T1133" t="n">
        <v>5</v>
      </c>
      <c r="V1133" t="inlineStr">
        <is>
          <t>1994-06-20</t>
        </is>
      </c>
      <c r="W1133" t="inlineStr">
        <is>
          <t>1993-11-02</t>
        </is>
      </c>
      <c r="X1133" t="inlineStr">
        <is>
          <t>1995-09-21</t>
        </is>
      </c>
      <c r="Y1133" t="n">
        <v>5</v>
      </c>
      <c r="Z1133" t="n">
        <v>5</v>
      </c>
      <c r="AA1133" t="n">
        <v>5</v>
      </c>
      <c r="AB1133" t="n">
        <v>1</v>
      </c>
      <c r="AC1133" t="n">
        <v>1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I1133" t="n">
        <v>0</v>
      </c>
      <c r="AJ1133" t="n">
        <v>0</v>
      </c>
      <c r="AK1133" t="n">
        <v>0</v>
      </c>
      <c r="AL1133" t="n">
        <v>0</v>
      </c>
      <c r="AM1133" t="n">
        <v>0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3">
        <f>HYPERLINK("http://www.worldcat.org/oclc/20984114","WorldCat Record")</f>
        <v/>
      </c>
      <c r="AU1133" t="inlineStr">
        <is>
          <t>8907502297:eng</t>
        </is>
      </c>
      <c r="AV1133" t="inlineStr">
        <is>
          <t>20984114</t>
        </is>
      </c>
      <c r="AW1133" t="inlineStr">
        <is>
          <t>991001636879702656</t>
        </is>
      </c>
      <c r="AX1133" t="inlineStr">
        <is>
          <t>991001636879702656</t>
        </is>
      </c>
      <c r="AY1133" t="inlineStr">
        <is>
          <t>2271385450002656</t>
        </is>
      </c>
      <c r="AZ1133" t="inlineStr">
        <is>
          <t>BOOK</t>
        </is>
      </c>
      <c r="BC1133" t="inlineStr">
        <is>
          <t>32285001801983</t>
        </is>
      </c>
      <c r="BD1133" t="inlineStr">
        <is>
          <t>893516350</t>
        </is>
      </c>
    </row>
    <row r="1134">
      <c r="A1134" t="inlineStr">
        <is>
          <t>No</t>
        </is>
      </c>
      <c r="B1134" t="inlineStr">
        <is>
          <t>QH540 .I5 v.103, etc.</t>
        </is>
      </c>
      <c r="C1134" t="inlineStr">
        <is>
          <t>0                      QH 0540000I  5                                                       v.103, etc.</t>
        </is>
      </c>
      <c r="D1134" t="inlineStr">
        <is>
          <t>A Survey of cell biology / editor-in-chief, G.H. Bourne ; associate editors, K.W. Jeon, M. Friedlander.</t>
        </is>
      </c>
      <c r="E1134" t="inlineStr">
        <is>
          <t>V. 119</t>
        </is>
      </c>
      <c r="F1134" t="inlineStr">
        <is>
          <t>Yes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L1134" t="inlineStr">
        <is>
          <t>Orlando, Fla. : Academic Press, 1986-&lt;c1989 &gt;</t>
        </is>
      </c>
      <c r="M1134" t="inlineStr">
        <is>
          <t>1986</t>
        </is>
      </c>
      <c r="O1134" t="inlineStr">
        <is>
          <t>eng</t>
        </is>
      </c>
      <c r="P1134" t="inlineStr">
        <is>
          <t>flu</t>
        </is>
      </c>
      <c r="Q1134" t="inlineStr">
        <is>
          <t>International review of cytology ; 103-&lt;106, 108-136, 138-139, 142-145 &gt;</t>
        </is>
      </c>
      <c r="R1134" t="inlineStr">
        <is>
          <t xml:space="preserve">QH </t>
        </is>
      </c>
      <c r="S1134" t="n">
        <v>1</v>
      </c>
      <c r="T1134" t="n">
        <v>5</v>
      </c>
      <c r="V1134" t="inlineStr">
        <is>
          <t>1994-06-20</t>
        </is>
      </c>
      <c r="W1134" t="inlineStr">
        <is>
          <t>1993-06-23</t>
        </is>
      </c>
      <c r="X1134" t="inlineStr">
        <is>
          <t>1995-09-21</t>
        </is>
      </c>
      <c r="Y1134" t="n">
        <v>5</v>
      </c>
      <c r="Z1134" t="n">
        <v>5</v>
      </c>
      <c r="AA1134" t="n">
        <v>5</v>
      </c>
      <c r="AB1134" t="n">
        <v>1</v>
      </c>
      <c r="AC1134" t="n">
        <v>1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I1134" t="n">
        <v>0</v>
      </c>
      <c r="AJ1134" t="n">
        <v>0</v>
      </c>
      <c r="AK1134" t="n">
        <v>0</v>
      </c>
      <c r="AL1134" t="n">
        <v>0</v>
      </c>
      <c r="AM1134" t="n">
        <v>0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4">
        <f>HYPERLINK("http://www.worldcat.org/oclc/20984114","WorldCat Record")</f>
        <v/>
      </c>
      <c r="AU1134" t="inlineStr">
        <is>
          <t>8907502297:eng</t>
        </is>
      </c>
      <c r="AV1134" t="inlineStr">
        <is>
          <t>20984114</t>
        </is>
      </c>
      <c r="AW1134" t="inlineStr">
        <is>
          <t>991001636879702656</t>
        </is>
      </c>
      <c r="AX1134" t="inlineStr">
        <is>
          <t>991001636879702656</t>
        </is>
      </c>
      <c r="AY1134" t="inlineStr">
        <is>
          <t>2271385450002656</t>
        </is>
      </c>
      <c r="AZ1134" t="inlineStr">
        <is>
          <t>BOOK</t>
        </is>
      </c>
      <c r="BC1134" t="inlineStr">
        <is>
          <t>32285001736411</t>
        </is>
      </c>
      <c r="BD1134" t="inlineStr">
        <is>
          <t>893509762</t>
        </is>
      </c>
    </row>
    <row r="1135">
      <c r="A1135" t="inlineStr">
        <is>
          <t>No</t>
        </is>
      </c>
      <c r="B1135" t="inlineStr">
        <is>
          <t>QH540 .I5 v.103, etc.</t>
        </is>
      </c>
      <c r="C1135" t="inlineStr">
        <is>
          <t>0                      QH 0540000I  5                                                       v.103, etc.</t>
        </is>
      </c>
      <c r="D1135" t="inlineStr">
        <is>
          <t>A Survey of cell biology / editor-in-chief, G.H. Bourne ; associate editors, K.W. Jeon, M. Friedlander.</t>
        </is>
      </c>
      <c r="E1135" t="inlineStr">
        <is>
          <t>V. 120</t>
        </is>
      </c>
      <c r="F1135" t="inlineStr">
        <is>
          <t>Yes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L1135" t="inlineStr">
        <is>
          <t>Orlando, Fla. : Academic Press, 1986-&lt;c1989 &gt;</t>
        </is>
      </c>
      <c r="M1135" t="inlineStr">
        <is>
          <t>1986</t>
        </is>
      </c>
      <c r="O1135" t="inlineStr">
        <is>
          <t>eng</t>
        </is>
      </c>
      <c r="P1135" t="inlineStr">
        <is>
          <t>flu</t>
        </is>
      </c>
      <c r="Q1135" t="inlineStr">
        <is>
          <t>International review of cytology ; 103-&lt;106, 108-136, 138-139, 142-145 &gt;</t>
        </is>
      </c>
      <c r="R1135" t="inlineStr">
        <is>
          <t xml:space="preserve">QH </t>
        </is>
      </c>
      <c r="S1135" t="n">
        <v>0</v>
      </c>
      <c r="T1135" t="n">
        <v>5</v>
      </c>
      <c r="V1135" t="inlineStr">
        <is>
          <t>1994-06-20</t>
        </is>
      </c>
      <c r="W1135" t="inlineStr">
        <is>
          <t>1993-06-23</t>
        </is>
      </c>
      <c r="X1135" t="inlineStr">
        <is>
          <t>1995-09-21</t>
        </is>
      </c>
      <c r="Y1135" t="n">
        <v>5</v>
      </c>
      <c r="Z1135" t="n">
        <v>5</v>
      </c>
      <c r="AA1135" t="n">
        <v>5</v>
      </c>
      <c r="AB1135" t="n">
        <v>1</v>
      </c>
      <c r="AC1135" t="n">
        <v>1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I1135" t="n">
        <v>0</v>
      </c>
      <c r="AJ1135" t="n">
        <v>0</v>
      </c>
      <c r="AK1135" t="n">
        <v>0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No</t>
        </is>
      </c>
      <c r="AS113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5">
        <f>HYPERLINK("http://www.worldcat.org/oclc/20984114","WorldCat Record")</f>
        <v/>
      </c>
      <c r="AU1135" t="inlineStr">
        <is>
          <t>8907502297:eng</t>
        </is>
      </c>
      <c r="AV1135" t="inlineStr">
        <is>
          <t>20984114</t>
        </is>
      </c>
      <c r="AW1135" t="inlineStr">
        <is>
          <t>991001636879702656</t>
        </is>
      </c>
      <c r="AX1135" t="inlineStr">
        <is>
          <t>991001636879702656</t>
        </is>
      </c>
      <c r="AY1135" t="inlineStr">
        <is>
          <t>2271385450002656</t>
        </is>
      </c>
      <c r="AZ1135" t="inlineStr">
        <is>
          <t>BOOK</t>
        </is>
      </c>
      <c r="BC1135" t="inlineStr">
        <is>
          <t>32285001736429</t>
        </is>
      </c>
      <c r="BD1135" t="inlineStr">
        <is>
          <t>893509761</t>
        </is>
      </c>
    </row>
    <row r="1136">
      <c r="A1136" t="inlineStr">
        <is>
          <t>No</t>
        </is>
      </c>
      <c r="B1136" t="inlineStr">
        <is>
          <t>QH540 .I5 v.103, etc.</t>
        </is>
      </c>
      <c r="C1136" t="inlineStr">
        <is>
          <t>0                      QH 0540000I  5                                                       v.103, etc.</t>
        </is>
      </c>
      <c r="D1136" t="inlineStr">
        <is>
          <t>A Survey of cell biology / editor-in-chief, G.H. Bourne ; associate editors, K.W. Jeon, M. Friedlander.</t>
        </is>
      </c>
      <c r="E1136" t="inlineStr">
        <is>
          <t>V. 110</t>
        </is>
      </c>
      <c r="F1136" t="inlineStr">
        <is>
          <t>Yes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L1136" t="inlineStr">
        <is>
          <t>Orlando, Fla. : Academic Press, 1986-&lt;c1989 &gt;</t>
        </is>
      </c>
      <c r="M1136" t="inlineStr">
        <is>
          <t>1986</t>
        </is>
      </c>
      <c r="O1136" t="inlineStr">
        <is>
          <t>eng</t>
        </is>
      </c>
      <c r="P1136" t="inlineStr">
        <is>
          <t>flu</t>
        </is>
      </c>
      <c r="Q1136" t="inlineStr">
        <is>
          <t>International review of cytology ; 103-&lt;106, 108-136, 138-139, 142-145 &gt;</t>
        </is>
      </c>
      <c r="R1136" t="inlineStr">
        <is>
          <t xml:space="preserve">QH </t>
        </is>
      </c>
      <c r="S1136" t="n">
        <v>0</v>
      </c>
      <c r="T1136" t="n">
        <v>5</v>
      </c>
      <c r="V1136" t="inlineStr">
        <is>
          <t>1994-06-20</t>
        </is>
      </c>
      <c r="W1136" t="inlineStr">
        <is>
          <t>1993-06-23</t>
        </is>
      </c>
      <c r="X1136" t="inlineStr">
        <is>
          <t>1995-09-21</t>
        </is>
      </c>
      <c r="Y1136" t="n">
        <v>5</v>
      </c>
      <c r="Z1136" t="n">
        <v>5</v>
      </c>
      <c r="AA1136" t="n">
        <v>5</v>
      </c>
      <c r="AB1136" t="n">
        <v>1</v>
      </c>
      <c r="AC1136" t="n">
        <v>1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I1136" t="n">
        <v>0</v>
      </c>
      <c r="AJ1136" t="n">
        <v>0</v>
      </c>
      <c r="AK1136" t="n">
        <v>0</v>
      </c>
      <c r="AL1136" t="n">
        <v>0</v>
      </c>
      <c r="AM1136" t="n">
        <v>0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6">
        <f>HYPERLINK("http://www.worldcat.org/oclc/20984114","WorldCat Record")</f>
        <v/>
      </c>
      <c r="AU1136" t="inlineStr">
        <is>
          <t>8907502297:eng</t>
        </is>
      </c>
      <c r="AV1136" t="inlineStr">
        <is>
          <t>20984114</t>
        </is>
      </c>
      <c r="AW1136" t="inlineStr">
        <is>
          <t>991001636879702656</t>
        </is>
      </c>
      <c r="AX1136" t="inlineStr">
        <is>
          <t>991001636879702656</t>
        </is>
      </c>
      <c r="AY1136" t="inlineStr">
        <is>
          <t>2271385450002656</t>
        </is>
      </c>
      <c r="AZ1136" t="inlineStr">
        <is>
          <t>BOOK</t>
        </is>
      </c>
      <c r="BC1136" t="inlineStr">
        <is>
          <t>32285001736320</t>
        </is>
      </c>
      <c r="BD1136" t="inlineStr">
        <is>
          <t>893497237</t>
        </is>
      </c>
    </row>
    <row r="1137">
      <c r="A1137" t="inlineStr">
        <is>
          <t>No</t>
        </is>
      </c>
      <c r="B1137" t="inlineStr">
        <is>
          <t>QH540 .I5 v.103, etc.</t>
        </is>
      </c>
      <c r="C1137" t="inlineStr">
        <is>
          <t>0                      QH 0540000I  5                                                       v.103, etc.</t>
        </is>
      </c>
      <c r="D1137" t="inlineStr">
        <is>
          <t>A Survey of cell biology / editor-in-chief, G.H. Bourne ; associate editors, K.W. Jeon, M. Friedlander.</t>
        </is>
      </c>
      <c r="E1137" t="inlineStr">
        <is>
          <t>V. 121</t>
        </is>
      </c>
      <c r="F1137" t="inlineStr">
        <is>
          <t>Yes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L1137" t="inlineStr">
        <is>
          <t>Orlando, Fla. : Academic Press, 1986-&lt;c1989 &gt;</t>
        </is>
      </c>
      <c r="M1137" t="inlineStr">
        <is>
          <t>1986</t>
        </is>
      </c>
      <c r="O1137" t="inlineStr">
        <is>
          <t>eng</t>
        </is>
      </c>
      <c r="P1137" t="inlineStr">
        <is>
          <t>flu</t>
        </is>
      </c>
      <c r="Q1137" t="inlineStr">
        <is>
          <t>International review of cytology ; 103-&lt;106, 108-136, 138-139, 142-145 &gt;</t>
        </is>
      </c>
      <c r="R1137" t="inlineStr">
        <is>
          <t xml:space="preserve">QH </t>
        </is>
      </c>
      <c r="S1137" t="n">
        <v>0</v>
      </c>
      <c r="T1137" t="n">
        <v>5</v>
      </c>
      <c r="V1137" t="inlineStr">
        <is>
          <t>1994-06-20</t>
        </is>
      </c>
      <c r="W1137" t="inlineStr">
        <is>
          <t>1993-06-23</t>
        </is>
      </c>
      <c r="X1137" t="inlineStr">
        <is>
          <t>1995-09-21</t>
        </is>
      </c>
      <c r="Y1137" t="n">
        <v>5</v>
      </c>
      <c r="Z1137" t="n">
        <v>5</v>
      </c>
      <c r="AA1137" t="n">
        <v>5</v>
      </c>
      <c r="AB1137" t="n">
        <v>1</v>
      </c>
      <c r="AC1137" t="n">
        <v>1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I1137" t="n">
        <v>0</v>
      </c>
      <c r="AJ1137" t="n">
        <v>0</v>
      </c>
      <c r="AK1137" t="n">
        <v>0</v>
      </c>
      <c r="AL1137" t="n">
        <v>0</v>
      </c>
      <c r="AM1137" t="n">
        <v>0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7">
        <f>HYPERLINK("http://www.worldcat.org/oclc/20984114","WorldCat Record")</f>
        <v/>
      </c>
      <c r="AU1137" t="inlineStr">
        <is>
          <t>8907502297:eng</t>
        </is>
      </c>
      <c r="AV1137" t="inlineStr">
        <is>
          <t>20984114</t>
        </is>
      </c>
      <c r="AW1137" t="inlineStr">
        <is>
          <t>991001636879702656</t>
        </is>
      </c>
      <c r="AX1137" t="inlineStr">
        <is>
          <t>991001636879702656</t>
        </is>
      </c>
      <c r="AY1137" t="inlineStr">
        <is>
          <t>2271385450002656</t>
        </is>
      </c>
      <c r="AZ1137" t="inlineStr">
        <is>
          <t>BOOK</t>
        </is>
      </c>
      <c r="BC1137" t="inlineStr">
        <is>
          <t>32285001736437</t>
        </is>
      </c>
      <c r="BD1137" t="inlineStr">
        <is>
          <t>893516351</t>
        </is>
      </c>
    </row>
    <row r="1138">
      <c r="A1138" t="inlineStr">
        <is>
          <t>No</t>
        </is>
      </c>
      <c r="B1138" t="inlineStr">
        <is>
          <t>QH540 .I5 v.103, etc.</t>
        </is>
      </c>
      <c r="C1138" t="inlineStr">
        <is>
          <t>0                      QH 0540000I  5                                                       v.103, etc.</t>
        </is>
      </c>
      <c r="D1138" t="inlineStr">
        <is>
          <t>A Survey of cell biology / editor-in-chief, G.H. Bourne ; associate editors, K.W. Jeon, M. Friedlander.</t>
        </is>
      </c>
      <c r="E1138" t="inlineStr">
        <is>
          <t>V. 113</t>
        </is>
      </c>
      <c r="F1138" t="inlineStr">
        <is>
          <t>Yes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L1138" t="inlineStr">
        <is>
          <t>Orlando, Fla. : Academic Press, 1986-&lt;c1989 &gt;</t>
        </is>
      </c>
      <c r="M1138" t="inlineStr">
        <is>
          <t>1986</t>
        </is>
      </c>
      <c r="O1138" t="inlineStr">
        <is>
          <t>eng</t>
        </is>
      </c>
      <c r="P1138" t="inlineStr">
        <is>
          <t>flu</t>
        </is>
      </c>
      <c r="Q1138" t="inlineStr">
        <is>
          <t>International review of cytology ; 103-&lt;106, 108-136, 138-139, 142-145 &gt;</t>
        </is>
      </c>
      <c r="R1138" t="inlineStr">
        <is>
          <t xml:space="preserve">QH </t>
        </is>
      </c>
      <c r="S1138" t="n">
        <v>0</v>
      </c>
      <c r="T1138" t="n">
        <v>5</v>
      </c>
      <c r="V1138" t="inlineStr">
        <is>
          <t>1994-06-20</t>
        </is>
      </c>
      <c r="W1138" t="inlineStr">
        <is>
          <t>1993-06-23</t>
        </is>
      </c>
      <c r="X1138" t="inlineStr">
        <is>
          <t>1995-09-21</t>
        </is>
      </c>
      <c r="Y1138" t="n">
        <v>5</v>
      </c>
      <c r="Z1138" t="n">
        <v>5</v>
      </c>
      <c r="AA1138" t="n">
        <v>5</v>
      </c>
      <c r="AB1138" t="n">
        <v>1</v>
      </c>
      <c r="AC1138" t="n">
        <v>1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I1138" t="n">
        <v>0</v>
      </c>
      <c r="AJ1138" t="n">
        <v>0</v>
      </c>
      <c r="AK1138" t="n">
        <v>0</v>
      </c>
      <c r="AL1138" t="n">
        <v>0</v>
      </c>
      <c r="AM1138" t="n">
        <v>0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8">
        <f>HYPERLINK("http://www.worldcat.org/oclc/20984114","WorldCat Record")</f>
        <v/>
      </c>
      <c r="AU1138" t="inlineStr">
        <is>
          <t>8907502297:eng</t>
        </is>
      </c>
      <c r="AV1138" t="inlineStr">
        <is>
          <t>20984114</t>
        </is>
      </c>
      <c r="AW1138" t="inlineStr">
        <is>
          <t>991001636879702656</t>
        </is>
      </c>
      <c r="AX1138" t="inlineStr">
        <is>
          <t>991001636879702656</t>
        </is>
      </c>
      <c r="AY1138" t="inlineStr">
        <is>
          <t>2271385450002656</t>
        </is>
      </c>
      <c r="AZ1138" t="inlineStr">
        <is>
          <t>BOOK</t>
        </is>
      </c>
      <c r="BC1138" t="inlineStr">
        <is>
          <t>32285001736353</t>
        </is>
      </c>
      <c r="BD1138" t="inlineStr">
        <is>
          <t>893516344</t>
        </is>
      </c>
    </row>
    <row r="1139">
      <c r="A1139" t="inlineStr">
        <is>
          <t>No</t>
        </is>
      </c>
      <c r="B1139" t="inlineStr">
        <is>
          <t>QH540 .I5 v.103, etc.</t>
        </is>
      </c>
      <c r="C1139" t="inlineStr">
        <is>
          <t>0                      QH 0540000I  5                                                       v.103, etc.</t>
        </is>
      </c>
      <c r="D1139" t="inlineStr">
        <is>
          <t>A Survey of cell biology / editor-in-chief, G.H. Bourne ; associate editors, K.W. Jeon, M. Friedlander.</t>
        </is>
      </c>
      <c r="E1139" t="inlineStr">
        <is>
          <t>V. 111</t>
        </is>
      </c>
      <c r="F1139" t="inlineStr">
        <is>
          <t>Yes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Orlando, Fla. : Academic Press, 1986-&lt;c1989 &gt;</t>
        </is>
      </c>
      <c r="M1139" t="inlineStr">
        <is>
          <t>1986</t>
        </is>
      </c>
      <c r="O1139" t="inlineStr">
        <is>
          <t>eng</t>
        </is>
      </c>
      <c r="P1139" t="inlineStr">
        <is>
          <t>flu</t>
        </is>
      </c>
      <c r="Q1139" t="inlineStr">
        <is>
          <t>International review of cytology ; 103-&lt;106, 108-136, 138-139, 142-145 &gt;</t>
        </is>
      </c>
      <c r="R1139" t="inlineStr">
        <is>
          <t xml:space="preserve">QH </t>
        </is>
      </c>
      <c r="S1139" t="n">
        <v>0</v>
      </c>
      <c r="T1139" t="n">
        <v>5</v>
      </c>
      <c r="V1139" t="inlineStr">
        <is>
          <t>1994-06-20</t>
        </is>
      </c>
      <c r="W1139" t="inlineStr">
        <is>
          <t>1993-06-23</t>
        </is>
      </c>
      <c r="X1139" t="inlineStr">
        <is>
          <t>1995-09-21</t>
        </is>
      </c>
      <c r="Y1139" t="n">
        <v>5</v>
      </c>
      <c r="Z1139" t="n">
        <v>5</v>
      </c>
      <c r="AA1139" t="n">
        <v>5</v>
      </c>
      <c r="AB1139" t="n">
        <v>1</v>
      </c>
      <c r="AC1139" t="n">
        <v>1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I1139" t="n">
        <v>0</v>
      </c>
      <c r="AJ1139" t="n">
        <v>0</v>
      </c>
      <c r="AK1139" t="n">
        <v>0</v>
      </c>
      <c r="AL1139" t="n">
        <v>0</v>
      </c>
      <c r="AM1139" t="n">
        <v>0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9">
        <f>HYPERLINK("http://www.worldcat.org/oclc/20984114","WorldCat Record")</f>
        <v/>
      </c>
      <c r="AU1139" t="inlineStr">
        <is>
          <t>8907502297:eng</t>
        </is>
      </c>
      <c r="AV1139" t="inlineStr">
        <is>
          <t>20984114</t>
        </is>
      </c>
      <c r="AW1139" t="inlineStr">
        <is>
          <t>991001636879702656</t>
        </is>
      </c>
      <c r="AX1139" t="inlineStr">
        <is>
          <t>991001636879702656</t>
        </is>
      </c>
      <c r="AY1139" t="inlineStr">
        <is>
          <t>2271385450002656</t>
        </is>
      </c>
      <c r="AZ1139" t="inlineStr">
        <is>
          <t>BOOK</t>
        </is>
      </c>
      <c r="BC1139" t="inlineStr">
        <is>
          <t>32285001736338</t>
        </is>
      </c>
      <c r="BD1139" t="inlineStr">
        <is>
          <t>893497236</t>
        </is>
      </c>
    </row>
    <row r="1140">
      <c r="A1140" t="inlineStr">
        <is>
          <t>No</t>
        </is>
      </c>
      <c r="B1140" t="inlineStr">
        <is>
          <t>QH540 .I5 v.103, etc.</t>
        </is>
      </c>
      <c r="C1140" t="inlineStr">
        <is>
          <t>0                      QH 0540000I  5                                                       v.103, etc.</t>
        </is>
      </c>
      <c r="D1140" t="inlineStr">
        <is>
          <t>A Survey of cell biology / editor-in-chief, G.H. Bourne ; associate editors, K.W. Jeon, M. Friedlander.</t>
        </is>
      </c>
      <c r="E1140" t="inlineStr">
        <is>
          <t>V. 158</t>
        </is>
      </c>
      <c r="F1140" t="inlineStr">
        <is>
          <t>Yes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L1140" t="inlineStr">
        <is>
          <t>Orlando, Fla. : Academic Press, 1986-&lt;c1989 &gt;</t>
        </is>
      </c>
      <c r="M1140" t="inlineStr">
        <is>
          <t>1986</t>
        </is>
      </c>
      <c r="O1140" t="inlineStr">
        <is>
          <t>eng</t>
        </is>
      </c>
      <c r="P1140" t="inlineStr">
        <is>
          <t>flu</t>
        </is>
      </c>
      <c r="Q1140" t="inlineStr">
        <is>
          <t>International review of cytology ; 103-&lt;106, 108-136, 138-139, 142-145 &gt;</t>
        </is>
      </c>
      <c r="R1140" t="inlineStr">
        <is>
          <t xml:space="preserve">QH </t>
        </is>
      </c>
      <c r="S1140" t="n">
        <v>0</v>
      </c>
      <c r="T1140" t="n">
        <v>5</v>
      </c>
      <c r="V1140" t="inlineStr">
        <is>
          <t>1994-06-20</t>
        </is>
      </c>
      <c r="W1140" t="inlineStr">
        <is>
          <t>1995-05-18</t>
        </is>
      </c>
      <c r="X1140" t="inlineStr">
        <is>
          <t>1995-09-21</t>
        </is>
      </c>
      <c r="Y1140" t="n">
        <v>5</v>
      </c>
      <c r="Z1140" t="n">
        <v>5</v>
      </c>
      <c r="AA1140" t="n">
        <v>5</v>
      </c>
      <c r="AB1140" t="n">
        <v>1</v>
      </c>
      <c r="AC1140" t="n">
        <v>1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I1140" t="n">
        <v>0</v>
      </c>
      <c r="AJ1140" t="n">
        <v>0</v>
      </c>
      <c r="AK1140" t="n">
        <v>0</v>
      </c>
      <c r="AL1140" t="n">
        <v>0</v>
      </c>
      <c r="AM1140" t="n">
        <v>0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0">
        <f>HYPERLINK("http://www.worldcat.org/oclc/20984114","WorldCat Record")</f>
        <v/>
      </c>
      <c r="AU1140" t="inlineStr">
        <is>
          <t>8907502297:eng</t>
        </is>
      </c>
      <c r="AV1140" t="inlineStr">
        <is>
          <t>20984114</t>
        </is>
      </c>
      <c r="AW1140" t="inlineStr">
        <is>
          <t>991001636879702656</t>
        </is>
      </c>
      <c r="AX1140" t="inlineStr">
        <is>
          <t>991001636879702656</t>
        </is>
      </c>
      <c r="AY1140" t="inlineStr">
        <is>
          <t>2271385450002656</t>
        </is>
      </c>
      <c r="AZ1140" t="inlineStr">
        <is>
          <t>BOOK</t>
        </is>
      </c>
      <c r="BC1140" t="inlineStr">
        <is>
          <t>32285002056074</t>
        </is>
      </c>
      <c r="BD1140" t="inlineStr">
        <is>
          <t>893516342</t>
        </is>
      </c>
    </row>
    <row r="1141">
      <c r="A1141" t="inlineStr">
        <is>
          <t>No</t>
        </is>
      </c>
      <c r="B1141" t="inlineStr">
        <is>
          <t>QH540 .I5 v.103, etc.</t>
        </is>
      </c>
      <c r="C1141" t="inlineStr">
        <is>
          <t>0                      QH 0540000I  5                                                       v.103, etc.</t>
        </is>
      </c>
      <c r="D1141" t="inlineStr">
        <is>
          <t>A Survey of cell biology / editor-in-chief, G.H. Bourne ; associate editors, K.W. Jeon, M. Friedlander.</t>
        </is>
      </c>
      <c r="E1141" t="inlineStr">
        <is>
          <t>V. 114</t>
        </is>
      </c>
      <c r="F1141" t="inlineStr">
        <is>
          <t>Yes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Orlando, Fla. : Academic Press, 1986-&lt;c1989 &gt;</t>
        </is>
      </c>
      <c r="M1141" t="inlineStr">
        <is>
          <t>1986</t>
        </is>
      </c>
      <c r="O1141" t="inlineStr">
        <is>
          <t>eng</t>
        </is>
      </c>
      <c r="P1141" t="inlineStr">
        <is>
          <t>flu</t>
        </is>
      </c>
      <c r="Q1141" t="inlineStr">
        <is>
          <t>International review of cytology ; 103-&lt;106, 108-136, 138-139, 142-145 &gt;</t>
        </is>
      </c>
      <c r="R1141" t="inlineStr">
        <is>
          <t xml:space="preserve">QH </t>
        </is>
      </c>
      <c r="S1141" t="n">
        <v>0</v>
      </c>
      <c r="T1141" t="n">
        <v>5</v>
      </c>
      <c r="V1141" t="inlineStr">
        <is>
          <t>1994-06-20</t>
        </is>
      </c>
      <c r="W1141" t="inlineStr">
        <is>
          <t>1993-06-23</t>
        </is>
      </c>
      <c r="X1141" t="inlineStr">
        <is>
          <t>1995-09-21</t>
        </is>
      </c>
      <c r="Y1141" t="n">
        <v>5</v>
      </c>
      <c r="Z1141" t="n">
        <v>5</v>
      </c>
      <c r="AA1141" t="n">
        <v>5</v>
      </c>
      <c r="AB1141" t="n">
        <v>1</v>
      </c>
      <c r="AC1141" t="n">
        <v>1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I1141" t="n">
        <v>0</v>
      </c>
      <c r="AJ1141" t="n">
        <v>0</v>
      </c>
      <c r="AK1141" t="n">
        <v>0</v>
      </c>
      <c r="AL1141" t="n">
        <v>0</v>
      </c>
      <c r="AM1141" t="n">
        <v>0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1">
        <f>HYPERLINK("http://www.worldcat.org/oclc/20984114","WorldCat Record")</f>
        <v/>
      </c>
      <c r="AU1141" t="inlineStr">
        <is>
          <t>8907502297:eng</t>
        </is>
      </c>
      <c r="AV1141" t="inlineStr">
        <is>
          <t>20984114</t>
        </is>
      </c>
      <c r="AW1141" t="inlineStr">
        <is>
          <t>991001636879702656</t>
        </is>
      </c>
      <c r="AX1141" t="inlineStr">
        <is>
          <t>991001636879702656</t>
        </is>
      </c>
      <c r="AY1141" t="inlineStr">
        <is>
          <t>2271385450002656</t>
        </is>
      </c>
      <c r="AZ1141" t="inlineStr">
        <is>
          <t>BOOK</t>
        </is>
      </c>
      <c r="BC1141" t="inlineStr">
        <is>
          <t>32285001736361</t>
        </is>
      </c>
      <c r="BD1141" t="inlineStr">
        <is>
          <t>893509763</t>
        </is>
      </c>
    </row>
    <row r="1142">
      <c r="A1142" t="inlineStr">
        <is>
          <t>No</t>
        </is>
      </c>
      <c r="B1142" t="inlineStr">
        <is>
          <t>QH540 .I5 v.103, etc.</t>
        </is>
      </c>
      <c r="C1142" t="inlineStr">
        <is>
          <t>0                      QH 0540000I  5                                                       v.103, etc.</t>
        </is>
      </c>
      <c r="D1142" t="inlineStr">
        <is>
          <t>A Survey of cell biology / editor-in-chief, G.H. Bourne ; associate editors, K.W. Jeon, M. Friedlander.</t>
        </is>
      </c>
      <c r="E1142" t="inlineStr">
        <is>
          <t>V. 152</t>
        </is>
      </c>
      <c r="F1142" t="inlineStr">
        <is>
          <t>Yes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L1142" t="inlineStr">
        <is>
          <t>Orlando, Fla. : Academic Press, 1986-&lt;c1989 &gt;</t>
        </is>
      </c>
      <c r="M1142" t="inlineStr">
        <is>
          <t>1986</t>
        </is>
      </c>
      <c r="O1142" t="inlineStr">
        <is>
          <t>eng</t>
        </is>
      </c>
      <c r="P1142" t="inlineStr">
        <is>
          <t>flu</t>
        </is>
      </c>
      <c r="Q1142" t="inlineStr">
        <is>
          <t>International review of cytology ; 103-&lt;106, 108-136, 138-139, 142-145 &gt;</t>
        </is>
      </c>
      <c r="R1142" t="inlineStr">
        <is>
          <t xml:space="preserve">QH </t>
        </is>
      </c>
      <c r="S1142" t="n">
        <v>0</v>
      </c>
      <c r="T1142" t="n">
        <v>5</v>
      </c>
      <c r="V1142" t="inlineStr">
        <is>
          <t>1994-06-20</t>
        </is>
      </c>
      <c r="W1142" t="inlineStr">
        <is>
          <t>1994-06-15</t>
        </is>
      </c>
      <c r="X1142" t="inlineStr">
        <is>
          <t>1995-09-21</t>
        </is>
      </c>
      <c r="Y1142" t="n">
        <v>5</v>
      </c>
      <c r="Z1142" t="n">
        <v>5</v>
      </c>
      <c r="AA1142" t="n">
        <v>5</v>
      </c>
      <c r="AB1142" t="n">
        <v>1</v>
      </c>
      <c r="AC1142" t="n">
        <v>1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I1142" t="n">
        <v>0</v>
      </c>
      <c r="AJ1142" t="n">
        <v>0</v>
      </c>
      <c r="AK1142" t="n">
        <v>0</v>
      </c>
      <c r="AL1142" t="n">
        <v>0</v>
      </c>
      <c r="AM1142" t="n">
        <v>0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2">
        <f>HYPERLINK("http://www.worldcat.org/oclc/20984114","WorldCat Record")</f>
        <v/>
      </c>
      <c r="AU1142" t="inlineStr">
        <is>
          <t>8907502297:eng</t>
        </is>
      </c>
      <c r="AV1142" t="inlineStr">
        <is>
          <t>20984114</t>
        </is>
      </c>
      <c r="AW1142" t="inlineStr">
        <is>
          <t>991001636879702656</t>
        </is>
      </c>
      <c r="AX1142" t="inlineStr">
        <is>
          <t>991001636879702656</t>
        </is>
      </c>
      <c r="AY1142" t="inlineStr">
        <is>
          <t>2271385450002656</t>
        </is>
      </c>
      <c r="AZ1142" t="inlineStr">
        <is>
          <t>BOOK</t>
        </is>
      </c>
      <c r="BC1142" t="inlineStr">
        <is>
          <t>32285001917169</t>
        </is>
      </c>
      <c r="BD1142" t="inlineStr">
        <is>
          <t>893534617</t>
        </is>
      </c>
    </row>
    <row r="1143">
      <c r="A1143" t="inlineStr">
        <is>
          <t>No</t>
        </is>
      </c>
      <c r="B1143" t="inlineStr">
        <is>
          <t>QH540 .I5 v.103, etc.</t>
        </is>
      </c>
      <c r="C1143" t="inlineStr">
        <is>
          <t>0                      QH 0540000I  5                                                       v.103, etc.</t>
        </is>
      </c>
      <c r="D1143" t="inlineStr">
        <is>
          <t>A Survey of cell biology / editor-in-chief, G.H. Bourne ; associate editors, K.W. Jeon, M. Friedlander.</t>
        </is>
      </c>
      <c r="E1143" t="inlineStr">
        <is>
          <t>V. 112</t>
        </is>
      </c>
      <c r="F1143" t="inlineStr">
        <is>
          <t>Yes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L1143" t="inlineStr">
        <is>
          <t>Orlando, Fla. : Academic Press, 1986-&lt;c1989 &gt;</t>
        </is>
      </c>
      <c r="M1143" t="inlineStr">
        <is>
          <t>1986</t>
        </is>
      </c>
      <c r="O1143" t="inlineStr">
        <is>
          <t>eng</t>
        </is>
      </c>
      <c r="P1143" t="inlineStr">
        <is>
          <t>flu</t>
        </is>
      </c>
      <c r="Q1143" t="inlineStr">
        <is>
          <t>International review of cytology ; 103-&lt;106, 108-136, 138-139, 142-145 &gt;</t>
        </is>
      </c>
      <c r="R1143" t="inlineStr">
        <is>
          <t xml:space="preserve">QH </t>
        </is>
      </c>
      <c r="S1143" t="n">
        <v>0</v>
      </c>
      <c r="T1143" t="n">
        <v>5</v>
      </c>
      <c r="V1143" t="inlineStr">
        <is>
          <t>1994-06-20</t>
        </is>
      </c>
      <c r="W1143" t="inlineStr">
        <is>
          <t>1993-06-23</t>
        </is>
      </c>
      <c r="X1143" t="inlineStr">
        <is>
          <t>1995-09-21</t>
        </is>
      </c>
      <c r="Y1143" t="n">
        <v>5</v>
      </c>
      <c r="Z1143" t="n">
        <v>5</v>
      </c>
      <c r="AA1143" t="n">
        <v>5</v>
      </c>
      <c r="AB1143" t="n">
        <v>1</v>
      </c>
      <c r="AC1143" t="n">
        <v>1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I1143" t="n">
        <v>0</v>
      </c>
      <c r="AJ1143" t="n">
        <v>0</v>
      </c>
      <c r="AK1143" t="n">
        <v>0</v>
      </c>
      <c r="AL1143" t="n">
        <v>0</v>
      </c>
      <c r="AM1143" t="n">
        <v>0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3">
        <f>HYPERLINK("http://www.worldcat.org/oclc/20984114","WorldCat Record")</f>
        <v/>
      </c>
      <c r="AU1143" t="inlineStr">
        <is>
          <t>8907502297:eng</t>
        </is>
      </c>
      <c r="AV1143" t="inlineStr">
        <is>
          <t>20984114</t>
        </is>
      </c>
      <c r="AW1143" t="inlineStr">
        <is>
          <t>991001636879702656</t>
        </is>
      </c>
      <c r="AX1143" t="inlineStr">
        <is>
          <t>991001636879702656</t>
        </is>
      </c>
      <c r="AY1143" t="inlineStr">
        <is>
          <t>2271385450002656</t>
        </is>
      </c>
      <c r="AZ1143" t="inlineStr">
        <is>
          <t>BOOK</t>
        </is>
      </c>
      <c r="BC1143" t="inlineStr">
        <is>
          <t>32285001736346</t>
        </is>
      </c>
      <c r="BD1143" t="inlineStr">
        <is>
          <t>893509757</t>
        </is>
      </c>
    </row>
    <row r="1144">
      <c r="A1144" t="inlineStr">
        <is>
          <t>No</t>
        </is>
      </c>
      <c r="B1144" t="inlineStr">
        <is>
          <t>QH540 .I5 v.103, etc.</t>
        </is>
      </c>
      <c r="C1144" t="inlineStr">
        <is>
          <t>0                      QH 0540000I  5                                                       v.103, etc.</t>
        </is>
      </c>
      <c r="D1144" t="inlineStr">
        <is>
          <t>A Survey of cell biology / editor-in-chief, G.H. Bourne ; associate editors, K.W. Jeon, M. Friedlander.</t>
        </is>
      </c>
      <c r="E1144" t="inlineStr">
        <is>
          <t>V. 109</t>
        </is>
      </c>
      <c r="F1144" t="inlineStr">
        <is>
          <t>Yes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L1144" t="inlineStr">
        <is>
          <t>Orlando, Fla. : Academic Press, 1986-&lt;c1989 &gt;</t>
        </is>
      </c>
      <c r="M1144" t="inlineStr">
        <is>
          <t>1986</t>
        </is>
      </c>
      <c r="O1144" t="inlineStr">
        <is>
          <t>eng</t>
        </is>
      </c>
      <c r="P1144" t="inlineStr">
        <is>
          <t>flu</t>
        </is>
      </c>
      <c r="Q1144" t="inlineStr">
        <is>
          <t>International review of cytology ; 103-&lt;106, 108-136, 138-139, 142-145 &gt;</t>
        </is>
      </c>
      <c r="R1144" t="inlineStr">
        <is>
          <t xml:space="preserve">QH </t>
        </is>
      </c>
      <c r="S1144" t="n">
        <v>1</v>
      </c>
      <c r="T1144" t="n">
        <v>5</v>
      </c>
      <c r="V1144" t="inlineStr">
        <is>
          <t>1994-06-20</t>
        </is>
      </c>
      <c r="W1144" t="inlineStr">
        <is>
          <t>1993-06-23</t>
        </is>
      </c>
      <c r="X1144" t="inlineStr">
        <is>
          <t>1995-09-21</t>
        </is>
      </c>
      <c r="Y1144" t="n">
        <v>5</v>
      </c>
      <c r="Z1144" t="n">
        <v>5</v>
      </c>
      <c r="AA1144" t="n">
        <v>5</v>
      </c>
      <c r="AB1144" t="n">
        <v>1</v>
      </c>
      <c r="AC1144" t="n">
        <v>1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I1144" t="n">
        <v>0</v>
      </c>
      <c r="AJ1144" t="n">
        <v>0</v>
      </c>
      <c r="AK1144" t="n">
        <v>0</v>
      </c>
      <c r="AL1144" t="n">
        <v>0</v>
      </c>
      <c r="AM1144" t="n">
        <v>0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4">
        <f>HYPERLINK("http://www.worldcat.org/oclc/20984114","WorldCat Record")</f>
        <v/>
      </c>
      <c r="AU1144" t="inlineStr">
        <is>
          <t>8907502297:eng</t>
        </is>
      </c>
      <c r="AV1144" t="inlineStr">
        <is>
          <t>20984114</t>
        </is>
      </c>
      <c r="AW1144" t="inlineStr">
        <is>
          <t>991001636879702656</t>
        </is>
      </c>
      <c r="AX1144" t="inlineStr">
        <is>
          <t>991001636879702656</t>
        </is>
      </c>
      <c r="AY1144" t="inlineStr">
        <is>
          <t>2271385450002656</t>
        </is>
      </c>
      <c r="AZ1144" t="inlineStr">
        <is>
          <t>BOOK</t>
        </is>
      </c>
      <c r="BC1144" t="inlineStr">
        <is>
          <t>32285001736312</t>
        </is>
      </c>
      <c r="BD1144" t="inlineStr">
        <is>
          <t>893516352</t>
        </is>
      </c>
    </row>
    <row r="1145">
      <c r="A1145" t="inlineStr">
        <is>
          <t>No</t>
        </is>
      </c>
      <c r="B1145" t="inlineStr">
        <is>
          <t>QH540 .I5 v.103, etc.</t>
        </is>
      </c>
      <c r="C1145" t="inlineStr">
        <is>
          <t>0                      QH 0540000I  5                                                       v.103, etc.</t>
        </is>
      </c>
      <c r="D1145" t="inlineStr">
        <is>
          <t>A Survey of cell biology / editor-in-chief, G.H. Bourne ; associate editors, K.W. Jeon, M. Friedlander.</t>
        </is>
      </c>
      <c r="E1145" t="inlineStr">
        <is>
          <t>V. 149</t>
        </is>
      </c>
      <c r="F1145" t="inlineStr">
        <is>
          <t>Yes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L1145" t="inlineStr">
        <is>
          <t>Orlando, Fla. : Academic Press, 1986-&lt;c1989 &gt;</t>
        </is>
      </c>
      <c r="M1145" t="inlineStr">
        <is>
          <t>1986</t>
        </is>
      </c>
      <c r="O1145" t="inlineStr">
        <is>
          <t>eng</t>
        </is>
      </c>
      <c r="P1145" t="inlineStr">
        <is>
          <t>flu</t>
        </is>
      </c>
      <c r="Q1145" t="inlineStr">
        <is>
          <t>International review of cytology ; 103-&lt;106, 108-136, 138-139, 142-145 &gt;</t>
        </is>
      </c>
      <c r="R1145" t="inlineStr">
        <is>
          <t xml:space="preserve">QH </t>
        </is>
      </c>
      <c r="S1145" t="n">
        <v>0</v>
      </c>
      <c r="T1145" t="n">
        <v>5</v>
      </c>
      <c r="V1145" t="inlineStr">
        <is>
          <t>1994-06-20</t>
        </is>
      </c>
      <c r="W1145" t="inlineStr">
        <is>
          <t>1994-03-11</t>
        </is>
      </c>
      <c r="X1145" t="inlineStr">
        <is>
          <t>1995-09-21</t>
        </is>
      </c>
      <c r="Y1145" t="n">
        <v>5</v>
      </c>
      <c r="Z1145" t="n">
        <v>5</v>
      </c>
      <c r="AA1145" t="n">
        <v>5</v>
      </c>
      <c r="AB1145" t="n">
        <v>1</v>
      </c>
      <c r="AC1145" t="n">
        <v>1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I1145" t="n">
        <v>0</v>
      </c>
      <c r="AJ1145" t="n">
        <v>0</v>
      </c>
      <c r="AK1145" t="n">
        <v>0</v>
      </c>
      <c r="AL1145" t="n">
        <v>0</v>
      </c>
      <c r="AM1145" t="n">
        <v>0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5">
        <f>HYPERLINK("http://www.worldcat.org/oclc/20984114","WorldCat Record")</f>
        <v/>
      </c>
      <c r="AU1145" t="inlineStr">
        <is>
          <t>8907502297:eng</t>
        </is>
      </c>
      <c r="AV1145" t="inlineStr">
        <is>
          <t>20984114</t>
        </is>
      </c>
      <c r="AW1145" t="inlineStr">
        <is>
          <t>991001636879702656</t>
        </is>
      </c>
      <c r="AX1145" t="inlineStr">
        <is>
          <t>991001636879702656</t>
        </is>
      </c>
      <c r="AY1145" t="inlineStr">
        <is>
          <t>2271385450002656</t>
        </is>
      </c>
      <c r="AZ1145" t="inlineStr">
        <is>
          <t>BOOK</t>
        </is>
      </c>
      <c r="BC1145" t="inlineStr">
        <is>
          <t>32285001862498</t>
        </is>
      </c>
      <c r="BD1145" t="inlineStr">
        <is>
          <t>893516348</t>
        </is>
      </c>
    </row>
    <row r="1146">
      <c r="A1146" t="inlineStr">
        <is>
          <t>No</t>
        </is>
      </c>
      <c r="B1146" t="inlineStr">
        <is>
          <t>QH540 .I5 v.103, etc.</t>
        </is>
      </c>
      <c r="C1146" t="inlineStr">
        <is>
          <t>0                      QH 0540000I  5                                                       v.103, etc.</t>
        </is>
      </c>
      <c r="D1146" t="inlineStr">
        <is>
          <t>A Survey of cell biology / editor-in-chief, G.H. Bourne ; associate editors, K.W. Jeon, M. Friedlander.</t>
        </is>
      </c>
      <c r="E1146" t="inlineStr">
        <is>
          <t>V. 118</t>
        </is>
      </c>
      <c r="F1146" t="inlineStr">
        <is>
          <t>Yes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L1146" t="inlineStr">
        <is>
          <t>Orlando, Fla. : Academic Press, 1986-&lt;c1989 &gt;</t>
        </is>
      </c>
      <c r="M1146" t="inlineStr">
        <is>
          <t>1986</t>
        </is>
      </c>
      <c r="O1146" t="inlineStr">
        <is>
          <t>eng</t>
        </is>
      </c>
      <c r="P1146" t="inlineStr">
        <is>
          <t>flu</t>
        </is>
      </c>
      <c r="Q1146" t="inlineStr">
        <is>
          <t>International review of cytology ; 103-&lt;106, 108-136, 138-139, 142-145 &gt;</t>
        </is>
      </c>
      <c r="R1146" t="inlineStr">
        <is>
          <t xml:space="preserve">QH </t>
        </is>
      </c>
      <c r="S1146" t="n">
        <v>0</v>
      </c>
      <c r="T1146" t="n">
        <v>5</v>
      </c>
      <c r="V1146" t="inlineStr">
        <is>
          <t>1994-06-20</t>
        </is>
      </c>
      <c r="W1146" t="inlineStr">
        <is>
          <t>1993-06-23</t>
        </is>
      </c>
      <c r="X1146" t="inlineStr">
        <is>
          <t>1995-09-21</t>
        </is>
      </c>
      <c r="Y1146" t="n">
        <v>5</v>
      </c>
      <c r="Z1146" t="n">
        <v>5</v>
      </c>
      <c r="AA1146" t="n">
        <v>5</v>
      </c>
      <c r="AB1146" t="n">
        <v>1</v>
      </c>
      <c r="AC1146" t="n">
        <v>1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I1146" t="n">
        <v>0</v>
      </c>
      <c r="AJ1146" t="n">
        <v>0</v>
      </c>
      <c r="AK1146" t="n">
        <v>0</v>
      </c>
      <c r="AL1146" t="n">
        <v>0</v>
      </c>
      <c r="AM1146" t="n">
        <v>0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No</t>
        </is>
      </c>
      <c r="AS114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6">
        <f>HYPERLINK("http://www.worldcat.org/oclc/20984114","WorldCat Record")</f>
        <v/>
      </c>
      <c r="AU1146" t="inlineStr">
        <is>
          <t>8907502297:eng</t>
        </is>
      </c>
      <c r="AV1146" t="inlineStr">
        <is>
          <t>20984114</t>
        </is>
      </c>
      <c r="AW1146" t="inlineStr">
        <is>
          <t>991001636879702656</t>
        </is>
      </c>
      <c r="AX1146" t="inlineStr">
        <is>
          <t>991001636879702656</t>
        </is>
      </c>
      <c r="AY1146" t="inlineStr">
        <is>
          <t>2271385450002656</t>
        </is>
      </c>
      <c r="AZ1146" t="inlineStr">
        <is>
          <t>BOOK</t>
        </is>
      </c>
      <c r="BC1146" t="inlineStr">
        <is>
          <t>32285001736403</t>
        </is>
      </c>
      <c r="BD1146" t="inlineStr">
        <is>
          <t>893497234</t>
        </is>
      </c>
    </row>
    <row r="1147">
      <c r="A1147" t="inlineStr">
        <is>
          <t>No</t>
        </is>
      </c>
      <c r="B1147" t="inlineStr">
        <is>
          <t>QH540 .I5 v.103, etc.</t>
        </is>
      </c>
      <c r="C1147" t="inlineStr">
        <is>
          <t>0                      QH 0540000I  5                                                       v.103, etc.</t>
        </is>
      </c>
      <c r="D1147" t="inlineStr">
        <is>
          <t>A Survey of cell biology / editor-in-chief, G.H. Bourne ; associate editors, K.W. Jeon, M. Friedlander.</t>
        </is>
      </c>
      <c r="E1147" t="inlineStr">
        <is>
          <t>V. 117</t>
        </is>
      </c>
      <c r="F1147" t="inlineStr">
        <is>
          <t>Yes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Orlando, Fla. : Academic Press, 1986-&lt;c1989 &gt;</t>
        </is>
      </c>
      <c r="M1147" t="inlineStr">
        <is>
          <t>1986</t>
        </is>
      </c>
      <c r="O1147" t="inlineStr">
        <is>
          <t>eng</t>
        </is>
      </c>
      <c r="P1147" t="inlineStr">
        <is>
          <t>flu</t>
        </is>
      </c>
      <c r="Q1147" t="inlineStr">
        <is>
          <t>International review of cytology ; 103-&lt;106, 108-136, 138-139, 142-145 &gt;</t>
        </is>
      </c>
      <c r="R1147" t="inlineStr">
        <is>
          <t xml:space="preserve">QH </t>
        </is>
      </c>
      <c r="S1147" t="n">
        <v>0</v>
      </c>
      <c r="T1147" t="n">
        <v>5</v>
      </c>
      <c r="V1147" t="inlineStr">
        <is>
          <t>1994-06-20</t>
        </is>
      </c>
      <c r="W1147" t="inlineStr">
        <is>
          <t>1993-06-23</t>
        </is>
      </c>
      <c r="X1147" t="inlineStr">
        <is>
          <t>1995-09-21</t>
        </is>
      </c>
      <c r="Y1147" t="n">
        <v>5</v>
      </c>
      <c r="Z1147" t="n">
        <v>5</v>
      </c>
      <c r="AA1147" t="n">
        <v>5</v>
      </c>
      <c r="AB1147" t="n">
        <v>1</v>
      </c>
      <c r="AC1147" t="n">
        <v>1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I1147" t="n">
        <v>0</v>
      </c>
      <c r="AJ1147" t="n">
        <v>0</v>
      </c>
      <c r="AK1147" t="n">
        <v>0</v>
      </c>
      <c r="AL1147" t="n">
        <v>0</v>
      </c>
      <c r="AM1147" t="n">
        <v>0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7">
        <f>HYPERLINK("http://www.worldcat.org/oclc/20984114","WorldCat Record")</f>
        <v/>
      </c>
      <c r="AU1147" t="inlineStr">
        <is>
          <t>8907502297:eng</t>
        </is>
      </c>
      <c r="AV1147" t="inlineStr">
        <is>
          <t>20984114</t>
        </is>
      </c>
      <c r="AW1147" t="inlineStr">
        <is>
          <t>991001636879702656</t>
        </is>
      </c>
      <c r="AX1147" t="inlineStr">
        <is>
          <t>991001636879702656</t>
        </is>
      </c>
      <c r="AY1147" t="inlineStr">
        <is>
          <t>2271385450002656</t>
        </is>
      </c>
      <c r="AZ1147" t="inlineStr">
        <is>
          <t>BOOK</t>
        </is>
      </c>
      <c r="BC1147" t="inlineStr">
        <is>
          <t>32285001736395</t>
        </is>
      </c>
      <c r="BD1147" t="inlineStr">
        <is>
          <t>893522701</t>
        </is>
      </c>
    </row>
    <row r="1148">
      <c r="A1148" t="inlineStr">
        <is>
          <t>No</t>
        </is>
      </c>
      <c r="B1148" t="inlineStr">
        <is>
          <t>QH540 .I5 v.103, etc.</t>
        </is>
      </c>
      <c r="C1148" t="inlineStr">
        <is>
          <t>0                      QH 0540000I  5                                                       v.103, etc.</t>
        </is>
      </c>
      <c r="D1148" t="inlineStr">
        <is>
          <t>A Survey of cell biology / editor-in-chief, G.H. Bourne ; associate editors, K.W. Jeon, M. Friedlander.</t>
        </is>
      </c>
      <c r="E1148" t="inlineStr">
        <is>
          <t>V. 154</t>
        </is>
      </c>
      <c r="F1148" t="inlineStr">
        <is>
          <t>Yes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Orlando, Fla. : Academic Press, 1986-&lt;c1989 &gt;</t>
        </is>
      </c>
      <c r="M1148" t="inlineStr">
        <is>
          <t>1986</t>
        </is>
      </c>
      <c r="O1148" t="inlineStr">
        <is>
          <t>eng</t>
        </is>
      </c>
      <c r="P1148" t="inlineStr">
        <is>
          <t>flu</t>
        </is>
      </c>
      <c r="Q1148" t="inlineStr">
        <is>
          <t>International review of cytology ; 103-&lt;106, 108-136, 138-139, 142-145 &gt;</t>
        </is>
      </c>
      <c r="R1148" t="inlineStr">
        <is>
          <t xml:space="preserve">QH </t>
        </is>
      </c>
      <c r="S1148" t="n">
        <v>0</v>
      </c>
      <c r="T1148" t="n">
        <v>5</v>
      </c>
      <c r="V1148" t="inlineStr">
        <is>
          <t>1994-06-20</t>
        </is>
      </c>
      <c r="W1148" t="inlineStr">
        <is>
          <t>1994-09-15</t>
        </is>
      </c>
      <c r="X1148" t="inlineStr">
        <is>
          <t>1995-09-21</t>
        </is>
      </c>
      <c r="Y1148" t="n">
        <v>5</v>
      </c>
      <c r="Z1148" t="n">
        <v>5</v>
      </c>
      <c r="AA1148" t="n">
        <v>5</v>
      </c>
      <c r="AB1148" t="n">
        <v>1</v>
      </c>
      <c r="AC1148" t="n">
        <v>1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I1148" t="n">
        <v>0</v>
      </c>
      <c r="AJ1148" t="n">
        <v>0</v>
      </c>
      <c r="AK1148" t="n">
        <v>0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8">
        <f>HYPERLINK("http://www.worldcat.org/oclc/20984114","WorldCat Record")</f>
        <v/>
      </c>
      <c r="AU1148" t="inlineStr">
        <is>
          <t>8907502297:eng</t>
        </is>
      </c>
      <c r="AV1148" t="inlineStr">
        <is>
          <t>20984114</t>
        </is>
      </c>
      <c r="AW1148" t="inlineStr">
        <is>
          <t>991001636879702656</t>
        </is>
      </c>
      <c r="AX1148" t="inlineStr">
        <is>
          <t>991001636879702656</t>
        </is>
      </c>
      <c r="AY1148" t="inlineStr">
        <is>
          <t>2271385450002656</t>
        </is>
      </c>
      <c r="AZ1148" t="inlineStr">
        <is>
          <t>BOOK</t>
        </is>
      </c>
      <c r="BC1148" t="inlineStr">
        <is>
          <t>32285001868107</t>
        </is>
      </c>
      <c r="BD1148" t="inlineStr">
        <is>
          <t>893509759</t>
        </is>
      </c>
    </row>
    <row r="1149">
      <c r="A1149" t="inlineStr">
        <is>
          <t>No</t>
        </is>
      </c>
      <c r="B1149" t="inlineStr">
        <is>
          <t>QH540 .I5 v.103, etc.</t>
        </is>
      </c>
      <c r="C1149" t="inlineStr">
        <is>
          <t>0                      QH 0540000I  5                                                       v.103, etc.</t>
        </is>
      </c>
      <c r="D1149" t="inlineStr">
        <is>
          <t>A Survey of cell biology / editor-in-chief, G.H. Bourne ; associate editors, K.W. Jeon, M. Friedlander.</t>
        </is>
      </c>
      <c r="E1149" t="inlineStr">
        <is>
          <t>V. 103</t>
        </is>
      </c>
      <c r="F1149" t="inlineStr">
        <is>
          <t>Yes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L1149" t="inlineStr">
        <is>
          <t>Orlando, Fla. : Academic Press, 1986-&lt;c1989 &gt;</t>
        </is>
      </c>
      <c r="M1149" t="inlineStr">
        <is>
          <t>1986</t>
        </is>
      </c>
      <c r="O1149" t="inlineStr">
        <is>
          <t>eng</t>
        </is>
      </c>
      <c r="P1149" t="inlineStr">
        <is>
          <t>flu</t>
        </is>
      </c>
      <c r="Q1149" t="inlineStr">
        <is>
          <t>International review of cytology ; 103-&lt;106, 108-136, 138-139, 142-145 &gt;</t>
        </is>
      </c>
      <c r="R1149" t="inlineStr">
        <is>
          <t xml:space="preserve">QH </t>
        </is>
      </c>
      <c r="S1149" t="n">
        <v>0</v>
      </c>
      <c r="T1149" t="n">
        <v>5</v>
      </c>
      <c r="V1149" t="inlineStr">
        <is>
          <t>1994-06-20</t>
        </is>
      </c>
      <c r="W1149" t="inlineStr">
        <is>
          <t>1993-06-18</t>
        </is>
      </c>
      <c r="X1149" t="inlineStr">
        <is>
          <t>1995-09-21</t>
        </is>
      </c>
      <c r="Y1149" t="n">
        <v>5</v>
      </c>
      <c r="Z1149" t="n">
        <v>5</v>
      </c>
      <c r="AA1149" t="n">
        <v>5</v>
      </c>
      <c r="AB1149" t="n">
        <v>1</v>
      </c>
      <c r="AC1149" t="n">
        <v>1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I1149" t="n">
        <v>0</v>
      </c>
      <c r="AJ1149" t="n">
        <v>0</v>
      </c>
      <c r="AK1149" t="n">
        <v>0</v>
      </c>
      <c r="AL1149" t="n">
        <v>0</v>
      </c>
      <c r="AM1149" t="n">
        <v>0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9">
        <f>HYPERLINK("http://www.worldcat.org/oclc/20984114","WorldCat Record")</f>
        <v/>
      </c>
      <c r="AU1149" t="inlineStr">
        <is>
          <t>8907502297:eng</t>
        </is>
      </c>
      <c r="AV1149" t="inlineStr">
        <is>
          <t>20984114</t>
        </is>
      </c>
      <c r="AW1149" t="inlineStr">
        <is>
          <t>991001636879702656</t>
        </is>
      </c>
      <c r="AX1149" t="inlineStr">
        <is>
          <t>991001636879702656</t>
        </is>
      </c>
      <c r="AY1149" t="inlineStr">
        <is>
          <t>2271385450002656</t>
        </is>
      </c>
      <c r="AZ1149" t="inlineStr">
        <is>
          <t>BOOK</t>
        </is>
      </c>
      <c r="BC1149" t="inlineStr">
        <is>
          <t>32285001736254</t>
        </is>
      </c>
      <c r="BD1149" t="inlineStr">
        <is>
          <t>893509765</t>
        </is>
      </c>
    </row>
    <row r="1150">
      <c r="A1150" t="inlineStr">
        <is>
          <t>No</t>
        </is>
      </c>
      <c r="B1150" t="inlineStr">
        <is>
          <t>QH540 .I5 v.140</t>
        </is>
      </c>
      <c r="C1150" t="inlineStr">
        <is>
          <t>0                      QH 0540000I  5                                                       v.140</t>
        </is>
      </c>
      <c r="D1150" t="inlineStr">
        <is>
          <t>Sexual reproduction in flowering plants / guest edited by Scott D. Russell, Christian Dumas.</t>
        </is>
      </c>
      <c r="E1150" t="inlineStr">
        <is>
          <t>V. 140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San Diego : Academic Press,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cau</t>
        </is>
      </c>
      <c r="Q1150" t="inlineStr">
        <is>
          <t>International review of cytology ; v. 140</t>
        </is>
      </c>
      <c r="R1150" t="inlineStr">
        <is>
          <t xml:space="preserve">QH </t>
        </is>
      </c>
      <c r="S1150" t="n">
        <v>1</v>
      </c>
      <c r="T1150" t="n">
        <v>1</v>
      </c>
      <c r="U1150" t="inlineStr">
        <is>
          <t>1995-02-19</t>
        </is>
      </c>
      <c r="V1150" t="inlineStr">
        <is>
          <t>1995-02-19</t>
        </is>
      </c>
      <c r="W1150" t="inlineStr">
        <is>
          <t>1992-12-28</t>
        </is>
      </c>
      <c r="X1150" t="inlineStr">
        <is>
          <t>1992-12-28</t>
        </is>
      </c>
      <c r="Y1150" t="n">
        <v>90</v>
      </c>
      <c r="Z1150" t="n">
        <v>48</v>
      </c>
      <c r="AA1150" t="n">
        <v>70</v>
      </c>
      <c r="AB1150" t="n">
        <v>2</v>
      </c>
      <c r="AC1150" t="n">
        <v>2</v>
      </c>
      <c r="AD1150" t="n">
        <v>2</v>
      </c>
      <c r="AE1150" t="n">
        <v>2</v>
      </c>
      <c r="AF1150" t="n">
        <v>0</v>
      </c>
      <c r="AG1150" t="n">
        <v>0</v>
      </c>
      <c r="AH1150" t="n">
        <v>1</v>
      </c>
      <c r="AI1150" t="n">
        <v>1</v>
      </c>
      <c r="AJ1150" t="n">
        <v>1</v>
      </c>
      <c r="AK1150" t="n">
        <v>1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HYPERLINK("https://creighton-primo.hosted.exlibrisgroup.com/primo-explore/search?tab=default_tab&amp;search_scope=EVERYTHING&amp;vid=01CRU&amp;lang=en_US&amp;offset=0&amp;query=any,contains,991002100629702656","Catalog Record")</f>
        <v/>
      </c>
      <c r="AT1150">
        <f>HYPERLINK("http://www.worldcat.org/oclc/26961088","WorldCat Record")</f>
        <v/>
      </c>
      <c r="AU1150" t="inlineStr">
        <is>
          <t>693207991:eng</t>
        </is>
      </c>
      <c r="AV1150" t="inlineStr">
        <is>
          <t>26961088</t>
        </is>
      </c>
      <c r="AW1150" t="inlineStr">
        <is>
          <t>991002100629702656</t>
        </is>
      </c>
      <c r="AX1150" t="inlineStr">
        <is>
          <t>991002100629702656</t>
        </is>
      </c>
      <c r="AY1150" t="inlineStr">
        <is>
          <t>2255058460002656</t>
        </is>
      </c>
      <c r="AZ1150" t="inlineStr">
        <is>
          <t>BOOK</t>
        </is>
      </c>
      <c r="BB1150" t="inlineStr">
        <is>
          <t>9780123645432</t>
        </is>
      </c>
      <c r="BC1150" t="inlineStr">
        <is>
          <t>32285001469450</t>
        </is>
      </c>
      <c r="BD1150" t="inlineStr">
        <is>
          <t>893414823</t>
        </is>
      </c>
    </row>
    <row r="1151">
      <c r="A1151" t="inlineStr">
        <is>
          <t>No</t>
        </is>
      </c>
      <c r="B1151" t="inlineStr">
        <is>
          <t>QH540 .I5 v.141</t>
        </is>
      </c>
      <c r="C1151" t="inlineStr">
        <is>
          <t>0                      QH 0540000I  5                                                       v.141</t>
        </is>
      </c>
      <c r="D1151" t="inlineStr">
        <is>
          <t>Mitochondrial genomes / guest edited by David R. Wolstenholme [and] Kwang W. Jeon.</t>
        </is>
      </c>
      <c r="E1151" t="inlineStr">
        <is>
          <t>V. 141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L1151" t="inlineStr">
        <is>
          <t>San Diego : Academic Press, c1992.</t>
        </is>
      </c>
      <c r="M1151" t="inlineStr">
        <is>
          <t>1992</t>
        </is>
      </c>
      <c r="O1151" t="inlineStr">
        <is>
          <t>eng</t>
        </is>
      </c>
      <c r="P1151" t="inlineStr">
        <is>
          <t>cau</t>
        </is>
      </c>
      <c r="Q1151" t="inlineStr">
        <is>
          <t>International review of cytology ; v. 141</t>
        </is>
      </c>
      <c r="R1151" t="inlineStr">
        <is>
          <t xml:space="preserve">QH </t>
        </is>
      </c>
      <c r="S1151" t="n">
        <v>4</v>
      </c>
      <c r="T1151" t="n">
        <v>4</v>
      </c>
      <c r="U1151" t="inlineStr">
        <is>
          <t>1994-09-26</t>
        </is>
      </c>
      <c r="V1151" t="inlineStr">
        <is>
          <t>1994-09-26</t>
        </is>
      </c>
      <c r="W1151" t="inlineStr">
        <is>
          <t>1993-01-05</t>
        </is>
      </c>
      <c r="X1151" t="inlineStr">
        <is>
          <t>1993-01-05</t>
        </is>
      </c>
      <c r="Y1151" t="n">
        <v>90</v>
      </c>
      <c r="Z1151" t="n">
        <v>53</v>
      </c>
      <c r="AA1151" t="n">
        <v>69</v>
      </c>
      <c r="AB1151" t="n">
        <v>4</v>
      </c>
      <c r="AC1151" t="n">
        <v>4</v>
      </c>
      <c r="AD1151" t="n">
        <v>5</v>
      </c>
      <c r="AE1151" t="n">
        <v>5</v>
      </c>
      <c r="AF1151" t="n">
        <v>0</v>
      </c>
      <c r="AG1151" t="n">
        <v>0</v>
      </c>
      <c r="AH1151" t="n">
        <v>1</v>
      </c>
      <c r="AI1151" t="n">
        <v>1</v>
      </c>
      <c r="AJ1151" t="n">
        <v>2</v>
      </c>
      <c r="AK1151" t="n">
        <v>2</v>
      </c>
      <c r="AL1151" t="n">
        <v>2</v>
      </c>
      <c r="AM1151" t="n">
        <v>2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HYPERLINK("https://creighton-primo.hosted.exlibrisgroup.com/primo-explore/search?tab=default_tab&amp;search_scope=EVERYTHING&amp;vid=01CRU&amp;lang=en_US&amp;offset=0&amp;query=any,contains,991002114069702656","Catalog Record")</f>
        <v/>
      </c>
      <c r="AT1151">
        <f>HYPERLINK("http://www.worldcat.org/oclc/27073963","WorldCat Record")</f>
        <v/>
      </c>
      <c r="AU1151" t="inlineStr">
        <is>
          <t>365382348:eng</t>
        </is>
      </c>
      <c r="AV1151" t="inlineStr">
        <is>
          <t>27073963</t>
        </is>
      </c>
      <c r="AW1151" t="inlineStr">
        <is>
          <t>991002114069702656</t>
        </is>
      </c>
      <c r="AX1151" t="inlineStr">
        <is>
          <t>991002114069702656</t>
        </is>
      </c>
      <c r="AY1151" t="inlineStr">
        <is>
          <t>2270974500002656</t>
        </is>
      </c>
      <c r="AZ1151" t="inlineStr">
        <is>
          <t>BOOK</t>
        </is>
      </c>
      <c r="BB1151" t="inlineStr">
        <is>
          <t>9780123645449</t>
        </is>
      </c>
      <c r="BC1151" t="inlineStr">
        <is>
          <t>32285001485183</t>
        </is>
      </c>
      <c r="BD1151" t="inlineStr">
        <is>
          <t>893504040</t>
        </is>
      </c>
    </row>
    <row r="1152">
      <c r="A1152" t="inlineStr">
        <is>
          <t>No</t>
        </is>
      </c>
      <c r="B1152" t="inlineStr">
        <is>
          <t>QH540 .I5 v.203</t>
        </is>
      </c>
      <c r="C1152" t="inlineStr">
        <is>
          <t>0                      QH 0540000I  5                                                       v.203</t>
        </is>
      </c>
      <c r="D1152" t="inlineStr">
        <is>
          <t>Cell lineage specification and patterning of the embryo / guest edited by Laurence D. Etkin, Kwang W. Jeon.</t>
        </is>
      </c>
      <c r="E1152" t="inlineStr">
        <is>
          <t>V. 203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L1152" t="inlineStr">
        <is>
          <t>San Diego, Calif. : Academic Press, c2001.</t>
        </is>
      </c>
      <c r="M1152" t="inlineStr">
        <is>
          <t>2001</t>
        </is>
      </c>
      <c r="O1152" t="inlineStr">
        <is>
          <t>eng</t>
        </is>
      </c>
      <c r="P1152" t="inlineStr">
        <is>
          <t>cau</t>
        </is>
      </c>
      <c r="Q1152" t="inlineStr">
        <is>
          <t>International review of cytology ; v. 203</t>
        </is>
      </c>
      <c r="R1152" t="inlineStr">
        <is>
          <t xml:space="preserve">QH </t>
        </is>
      </c>
      <c r="S1152" t="n">
        <v>3</v>
      </c>
      <c r="T1152" t="n">
        <v>3</v>
      </c>
      <c r="U1152" t="inlineStr">
        <is>
          <t>2006-09-29</t>
        </is>
      </c>
      <c r="V1152" t="inlineStr">
        <is>
          <t>2006-09-29</t>
        </is>
      </c>
      <c r="W1152" t="inlineStr">
        <is>
          <t>2001-03-19</t>
        </is>
      </c>
      <c r="X1152" t="inlineStr">
        <is>
          <t>2001-03-19</t>
        </is>
      </c>
      <c r="Y1152" t="n">
        <v>68</v>
      </c>
      <c r="Z1152" t="n">
        <v>43</v>
      </c>
      <c r="AA1152" t="n">
        <v>131</v>
      </c>
      <c r="AB1152" t="n">
        <v>3</v>
      </c>
      <c r="AC1152" t="n">
        <v>4</v>
      </c>
      <c r="AD1152" t="n">
        <v>2</v>
      </c>
      <c r="AE1152" t="n">
        <v>6</v>
      </c>
      <c r="AF1152" t="n">
        <v>0</v>
      </c>
      <c r="AG1152" t="n">
        <v>3</v>
      </c>
      <c r="AH1152" t="n">
        <v>0</v>
      </c>
      <c r="AI1152" t="n">
        <v>1</v>
      </c>
      <c r="AJ1152" t="n">
        <v>1</v>
      </c>
      <c r="AK1152" t="n">
        <v>1</v>
      </c>
      <c r="AL1152" t="n">
        <v>1</v>
      </c>
      <c r="AM1152" t="n">
        <v>2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HYPERLINK("https://creighton-primo.hosted.exlibrisgroup.com/primo-explore/search?tab=default_tab&amp;search_scope=EVERYTHING&amp;vid=01CRU&amp;lang=en_US&amp;offset=0&amp;query=any,contains,991003464669702656","Catalog Record")</f>
        <v/>
      </c>
      <c r="AT1152">
        <f>HYPERLINK("http://www.worldcat.org/oclc/45759621","WorldCat Record")</f>
        <v/>
      </c>
      <c r="AU1152" t="inlineStr">
        <is>
          <t>766949016:eng</t>
        </is>
      </c>
      <c r="AV1152" t="inlineStr">
        <is>
          <t>45759621</t>
        </is>
      </c>
      <c r="AW1152" t="inlineStr">
        <is>
          <t>991003464669702656</t>
        </is>
      </c>
      <c r="AX1152" t="inlineStr">
        <is>
          <t>991003464669702656</t>
        </is>
      </c>
      <c r="AY1152" t="inlineStr">
        <is>
          <t>2265812110002656</t>
        </is>
      </c>
      <c r="AZ1152" t="inlineStr">
        <is>
          <t>BOOK</t>
        </is>
      </c>
      <c r="BB1152" t="inlineStr">
        <is>
          <t>9780123646071</t>
        </is>
      </c>
      <c r="BC1152" t="inlineStr">
        <is>
          <t>32285004306014</t>
        </is>
      </c>
      <c r="BD1152" t="inlineStr">
        <is>
          <t>893787341</t>
        </is>
      </c>
    </row>
    <row r="1153">
      <c r="A1153" t="inlineStr">
        <is>
          <t>No</t>
        </is>
      </c>
      <c r="B1153" t="inlineStr">
        <is>
          <t>QH540 .L56 1995</t>
        </is>
      </c>
      <c r="C1153" t="inlineStr">
        <is>
          <t>0                      QH 0540000L  56          1995</t>
        </is>
      </c>
      <c r="D1153" t="inlineStr">
        <is>
          <t>Linking species &amp; ecosystems / edited by Clive G. Jones, John H. Lawton.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L1153" t="inlineStr">
        <is>
          <t>New York : Chapman &amp; Hall, 1995.</t>
        </is>
      </c>
      <c r="M1153" t="inlineStr">
        <is>
          <t>1995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QH </t>
        </is>
      </c>
      <c r="S1153" t="n">
        <v>13</v>
      </c>
      <c r="T1153" t="n">
        <v>13</v>
      </c>
      <c r="U1153" t="inlineStr">
        <is>
          <t>2005-03-18</t>
        </is>
      </c>
      <c r="V1153" t="inlineStr">
        <is>
          <t>2005-03-18</t>
        </is>
      </c>
      <c r="W1153" t="inlineStr">
        <is>
          <t>1996-06-04</t>
        </is>
      </c>
      <c r="X1153" t="inlineStr">
        <is>
          <t>1996-06-04</t>
        </is>
      </c>
      <c r="Y1153" t="n">
        <v>364</v>
      </c>
      <c r="Z1153" t="n">
        <v>225</v>
      </c>
      <c r="AA1153" t="n">
        <v>241</v>
      </c>
      <c r="AB1153" t="n">
        <v>2</v>
      </c>
      <c r="AC1153" t="n">
        <v>2</v>
      </c>
      <c r="AD1153" t="n">
        <v>4</v>
      </c>
      <c r="AE1153" t="n">
        <v>5</v>
      </c>
      <c r="AF1153" t="n">
        <v>0</v>
      </c>
      <c r="AG1153" t="n">
        <v>1</v>
      </c>
      <c r="AH1153" t="n">
        <v>2</v>
      </c>
      <c r="AI1153" t="n">
        <v>2</v>
      </c>
      <c r="AJ1153" t="n">
        <v>2</v>
      </c>
      <c r="AK1153" t="n">
        <v>3</v>
      </c>
      <c r="AL1153" t="n">
        <v>1</v>
      </c>
      <c r="AM1153" t="n">
        <v>1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HYPERLINK("https://creighton-primo.hosted.exlibrisgroup.com/primo-explore/search?tab=default_tab&amp;search_scope=EVERYTHING&amp;vid=01CRU&amp;lang=en_US&amp;offset=0&amp;query=any,contains,991002306799702656","Catalog Record")</f>
        <v/>
      </c>
      <c r="AT1153">
        <f>HYPERLINK("http://www.worldcat.org/oclc/29911482","WorldCat Record")</f>
        <v/>
      </c>
      <c r="AU1153" t="inlineStr">
        <is>
          <t>357303561:eng</t>
        </is>
      </c>
      <c r="AV1153" t="inlineStr">
        <is>
          <t>29911482</t>
        </is>
      </c>
      <c r="AW1153" t="inlineStr">
        <is>
          <t>991002306799702656</t>
        </is>
      </c>
      <c r="AX1153" t="inlineStr">
        <is>
          <t>991002306799702656</t>
        </is>
      </c>
      <c r="AY1153" t="inlineStr">
        <is>
          <t>2269801820002656</t>
        </is>
      </c>
      <c r="AZ1153" t="inlineStr">
        <is>
          <t>BOOK</t>
        </is>
      </c>
      <c r="BB1153" t="inlineStr">
        <is>
          <t>9780412048012</t>
        </is>
      </c>
      <c r="BC1153" t="inlineStr">
        <is>
          <t>32285002186764</t>
        </is>
      </c>
      <c r="BD1153" t="inlineStr">
        <is>
          <t>893710129</t>
        </is>
      </c>
    </row>
    <row r="1154">
      <c r="A1154" t="inlineStr">
        <is>
          <t>No</t>
        </is>
      </c>
      <c r="B1154" t="inlineStr">
        <is>
          <t>QH540 .L66 1989</t>
        </is>
      </c>
      <c r="C1154" t="inlineStr">
        <is>
          <t>0                      QH 0540000L  66          1989</t>
        </is>
      </c>
      <c r="D1154" t="inlineStr">
        <is>
          <t>Long-term studies in ecology : approaches and alternatives / Gene E. Likens,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New York : Springer-Verlag, c1989.</t>
        </is>
      </c>
      <c r="M1154" t="inlineStr">
        <is>
          <t>1989</t>
        </is>
      </c>
      <c r="O1154" t="inlineStr">
        <is>
          <t>eng</t>
        </is>
      </c>
      <c r="P1154" t="inlineStr">
        <is>
          <t>nyu</t>
        </is>
      </c>
      <c r="R1154" t="inlineStr">
        <is>
          <t xml:space="preserve">QH </t>
        </is>
      </c>
      <c r="S1154" t="n">
        <v>6</v>
      </c>
      <c r="T1154" t="n">
        <v>6</v>
      </c>
      <c r="U1154" t="inlineStr">
        <is>
          <t>1995-08-28</t>
        </is>
      </c>
      <c r="V1154" t="inlineStr">
        <is>
          <t>1995-08-28</t>
        </is>
      </c>
      <c r="W1154" t="inlineStr">
        <is>
          <t>1990-07-20</t>
        </is>
      </c>
      <c r="X1154" t="inlineStr">
        <is>
          <t>1990-07-20</t>
        </is>
      </c>
      <c r="Y1154" t="n">
        <v>359</v>
      </c>
      <c r="Z1154" t="n">
        <v>246</v>
      </c>
      <c r="AA1154" t="n">
        <v>273</v>
      </c>
      <c r="AB1154" t="n">
        <v>3</v>
      </c>
      <c r="AC1154" t="n">
        <v>3</v>
      </c>
      <c r="AD1154" t="n">
        <v>6</v>
      </c>
      <c r="AE1154" t="n">
        <v>7</v>
      </c>
      <c r="AF1154" t="n">
        <v>1</v>
      </c>
      <c r="AG1154" t="n">
        <v>2</v>
      </c>
      <c r="AH1154" t="n">
        <v>1</v>
      </c>
      <c r="AI1154" t="n">
        <v>1</v>
      </c>
      <c r="AJ1154" t="n">
        <v>2</v>
      </c>
      <c r="AK1154" t="n">
        <v>3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HYPERLINK("http://catalog.hathitrust.org/Record/001085280","HathiTrust Record")</f>
        <v/>
      </c>
      <c r="AS1154">
        <f>HYPERLINK("https://creighton-primo.hosted.exlibrisgroup.com/primo-explore/search?tab=default_tab&amp;search_scope=EVERYTHING&amp;vid=01CRU&amp;lang=en_US&amp;offset=0&amp;query=any,contains,991001262179702656","Catalog Record")</f>
        <v/>
      </c>
      <c r="AT1154">
        <f>HYPERLINK("http://www.worldcat.org/oclc/17774250","WorldCat Record")</f>
        <v/>
      </c>
      <c r="AU1154" t="inlineStr">
        <is>
          <t>16658911:eng</t>
        </is>
      </c>
      <c r="AV1154" t="inlineStr">
        <is>
          <t>17774250</t>
        </is>
      </c>
      <c r="AW1154" t="inlineStr">
        <is>
          <t>991001262179702656</t>
        </is>
      </c>
      <c r="AX1154" t="inlineStr">
        <is>
          <t>991001262179702656</t>
        </is>
      </c>
      <c r="AY1154" t="inlineStr">
        <is>
          <t>2272688630002656</t>
        </is>
      </c>
      <c r="AZ1154" t="inlineStr">
        <is>
          <t>BOOK</t>
        </is>
      </c>
      <c r="BB1154" t="inlineStr">
        <is>
          <t>9780387967431</t>
        </is>
      </c>
      <c r="BC1154" t="inlineStr">
        <is>
          <t>32285000209972</t>
        </is>
      </c>
      <c r="BD1154" t="inlineStr">
        <is>
          <t>893690482</t>
        </is>
      </c>
    </row>
    <row r="1155">
      <c r="A1155" t="inlineStr">
        <is>
          <t>No</t>
        </is>
      </c>
      <c r="B1155" t="inlineStr">
        <is>
          <t>QH540 .N395 1984</t>
        </is>
      </c>
      <c r="C1155" t="inlineStr">
        <is>
          <t>0                      QH 0540000N  395         1984</t>
        </is>
      </c>
      <c r="D1155" t="inlineStr">
        <is>
          <t>A New ecology : novel approaches to interactive systems / edited by Peter W. Price, C.N. Slobodchikoff, and William S. Gaud.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New York : Wiley, c1984.</t>
        </is>
      </c>
      <c r="M1155" t="inlineStr">
        <is>
          <t>1984</t>
        </is>
      </c>
      <c r="O1155" t="inlineStr">
        <is>
          <t>eng</t>
        </is>
      </c>
      <c r="P1155" t="inlineStr">
        <is>
          <t>nyu</t>
        </is>
      </c>
      <c r="R1155" t="inlineStr">
        <is>
          <t xml:space="preserve">QH </t>
        </is>
      </c>
      <c r="S1155" t="n">
        <v>5</v>
      </c>
      <c r="T1155" t="n">
        <v>5</v>
      </c>
      <c r="U1155" t="inlineStr">
        <is>
          <t>1996-02-24</t>
        </is>
      </c>
      <c r="V1155" t="inlineStr">
        <is>
          <t>1996-02-24</t>
        </is>
      </c>
      <c r="W1155" t="inlineStr">
        <is>
          <t>1993-04-27</t>
        </is>
      </c>
      <c r="X1155" t="inlineStr">
        <is>
          <t>1993-04-27</t>
        </is>
      </c>
      <c r="Y1155" t="n">
        <v>508</v>
      </c>
      <c r="Z1155" t="n">
        <v>381</v>
      </c>
      <c r="AA1155" t="n">
        <v>387</v>
      </c>
      <c r="AB1155" t="n">
        <v>5</v>
      </c>
      <c r="AC1155" t="n">
        <v>5</v>
      </c>
      <c r="AD1155" t="n">
        <v>15</v>
      </c>
      <c r="AE1155" t="n">
        <v>15</v>
      </c>
      <c r="AF1155" t="n">
        <v>3</v>
      </c>
      <c r="AG1155" t="n">
        <v>3</v>
      </c>
      <c r="AH1155" t="n">
        <v>4</v>
      </c>
      <c r="AI1155" t="n">
        <v>4</v>
      </c>
      <c r="AJ1155" t="n">
        <v>8</v>
      </c>
      <c r="AK1155" t="n">
        <v>8</v>
      </c>
      <c r="AL1155" t="n">
        <v>4</v>
      </c>
      <c r="AM1155" t="n">
        <v>4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HYPERLINK("http://catalog.hathitrust.org/Record/000206052","HathiTrust Record")</f>
        <v/>
      </c>
      <c r="AS1155">
        <f>HYPERLINK("https://creighton-primo.hosted.exlibrisgroup.com/primo-explore/search?tab=default_tab&amp;search_scope=EVERYTHING&amp;vid=01CRU&amp;lang=en_US&amp;offset=0&amp;query=any,contains,991000254899702656","Catalog Record")</f>
        <v/>
      </c>
      <c r="AT1155">
        <f>HYPERLINK("http://www.worldcat.org/oclc/9762489","WorldCat Record")</f>
        <v/>
      </c>
      <c r="AU1155" t="inlineStr">
        <is>
          <t>796041320:eng</t>
        </is>
      </c>
      <c r="AV1155" t="inlineStr">
        <is>
          <t>9762489</t>
        </is>
      </c>
      <c r="AW1155" t="inlineStr">
        <is>
          <t>991000254899702656</t>
        </is>
      </c>
      <c r="AX1155" t="inlineStr">
        <is>
          <t>991000254899702656</t>
        </is>
      </c>
      <c r="AY1155" t="inlineStr">
        <is>
          <t>2260685360002656</t>
        </is>
      </c>
      <c r="AZ1155" t="inlineStr">
        <is>
          <t>BOOK</t>
        </is>
      </c>
      <c r="BB1155" t="inlineStr">
        <is>
          <t>9780471896708</t>
        </is>
      </c>
      <c r="BC1155" t="inlineStr">
        <is>
          <t>32285001641983</t>
        </is>
      </c>
      <c r="BD1155" t="inlineStr">
        <is>
          <t>893249210</t>
        </is>
      </c>
    </row>
    <row r="1156">
      <c r="A1156" t="inlineStr">
        <is>
          <t>No</t>
        </is>
      </c>
      <c r="B1156" t="inlineStr">
        <is>
          <t>QH540 .R43</t>
        </is>
      </c>
      <c r="C1156" t="inlineStr">
        <is>
          <t>0                      QH 0540000R  43</t>
        </is>
      </c>
      <c r="D1156" t="inlineStr">
        <is>
          <t>The Recovery process in damaged ecosystems / edited by John Cairns, Jr.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L1156" t="inlineStr">
        <is>
          <t>Ann Arbor, Mich. : Ann Arbor Science Publishers, c1980.</t>
        </is>
      </c>
      <c r="M1156" t="inlineStr">
        <is>
          <t>1980</t>
        </is>
      </c>
      <c r="O1156" t="inlineStr">
        <is>
          <t>eng</t>
        </is>
      </c>
      <c r="P1156" t="inlineStr">
        <is>
          <t>miu</t>
        </is>
      </c>
      <c r="R1156" t="inlineStr">
        <is>
          <t xml:space="preserve">QH </t>
        </is>
      </c>
      <c r="S1156" t="n">
        <v>6</v>
      </c>
      <c r="T1156" t="n">
        <v>6</v>
      </c>
      <c r="U1156" t="inlineStr">
        <is>
          <t>2000-11-29</t>
        </is>
      </c>
      <c r="V1156" t="inlineStr">
        <is>
          <t>2000-11-29</t>
        </is>
      </c>
      <c r="W1156" t="inlineStr">
        <is>
          <t>1992-03-01</t>
        </is>
      </c>
      <c r="X1156" t="inlineStr">
        <is>
          <t>1992-03-01</t>
        </is>
      </c>
      <c r="Y1156" t="n">
        <v>495</v>
      </c>
      <c r="Z1156" t="n">
        <v>385</v>
      </c>
      <c r="AA1156" t="n">
        <v>387</v>
      </c>
      <c r="AB1156" t="n">
        <v>4</v>
      </c>
      <c r="AC1156" t="n">
        <v>4</v>
      </c>
      <c r="AD1156" t="n">
        <v>13</v>
      </c>
      <c r="AE1156" t="n">
        <v>13</v>
      </c>
      <c r="AF1156" t="n">
        <v>5</v>
      </c>
      <c r="AG1156" t="n">
        <v>5</v>
      </c>
      <c r="AH1156" t="n">
        <v>3</v>
      </c>
      <c r="AI1156" t="n">
        <v>3</v>
      </c>
      <c r="AJ1156" t="n">
        <v>5</v>
      </c>
      <c r="AK1156" t="n">
        <v>5</v>
      </c>
      <c r="AL1156" t="n">
        <v>3</v>
      </c>
      <c r="AM1156" t="n">
        <v>3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HYPERLINK("http://catalog.hathitrust.org/Record/000034017","HathiTrust Record")</f>
        <v/>
      </c>
      <c r="AS1156">
        <f>HYPERLINK("https://creighton-primo.hosted.exlibrisgroup.com/primo-explore/search?tab=default_tab&amp;search_scope=EVERYTHING&amp;vid=01CRU&amp;lang=en_US&amp;offset=0&amp;query=any,contains,991004923649702656","Catalog Record")</f>
        <v/>
      </c>
      <c r="AT1156">
        <f>HYPERLINK("http://www.worldcat.org/oclc/6067408","WorldCat Record")</f>
        <v/>
      </c>
      <c r="AU1156" t="inlineStr">
        <is>
          <t>20745091:eng</t>
        </is>
      </c>
      <c r="AV1156" t="inlineStr">
        <is>
          <t>6067408</t>
        </is>
      </c>
      <c r="AW1156" t="inlineStr">
        <is>
          <t>991004923649702656</t>
        </is>
      </c>
      <c r="AX1156" t="inlineStr">
        <is>
          <t>991004923649702656</t>
        </is>
      </c>
      <c r="AY1156" t="inlineStr">
        <is>
          <t>2256142610002656</t>
        </is>
      </c>
      <c r="AZ1156" t="inlineStr">
        <is>
          <t>BOOK</t>
        </is>
      </c>
      <c r="BB1156" t="inlineStr">
        <is>
          <t>9780250403370</t>
        </is>
      </c>
      <c r="BC1156" t="inlineStr">
        <is>
          <t>32285000979640</t>
        </is>
      </c>
      <c r="BD1156" t="inlineStr">
        <is>
          <t>893241975</t>
        </is>
      </c>
    </row>
    <row r="1157">
      <c r="A1157" t="inlineStr">
        <is>
          <t>No</t>
        </is>
      </c>
      <c r="B1157" t="inlineStr">
        <is>
          <t>QH540 .S75 1981</t>
        </is>
      </c>
      <c r="C1157" t="inlineStr">
        <is>
          <t>0                      QH 0540000S  75          1981</t>
        </is>
      </c>
      <c r="D1157" t="inlineStr">
        <is>
          <t>Stress effects on natural ecosystems / edited by Gary W. Barrett and Rutger Rosenberg.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L1157" t="inlineStr">
        <is>
          <t>Chichester ; New York : Wiley, c1981.</t>
        </is>
      </c>
      <c r="M1157" t="inlineStr">
        <is>
          <t>1981</t>
        </is>
      </c>
      <c r="O1157" t="inlineStr">
        <is>
          <t>eng</t>
        </is>
      </c>
      <c r="P1157" t="inlineStr">
        <is>
          <t>enk</t>
        </is>
      </c>
      <c r="Q1157" t="inlineStr">
        <is>
          <t>Environmental monographs &amp; symposia</t>
        </is>
      </c>
      <c r="R1157" t="inlineStr">
        <is>
          <t xml:space="preserve">QH </t>
        </is>
      </c>
      <c r="S1157" t="n">
        <v>4</v>
      </c>
      <c r="T1157" t="n">
        <v>4</v>
      </c>
      <c r="U1157" t="inlineStr">
        <is>
          <t>1994-01-04</t>
        </is>
      </c>
      <c r="V1157" t="inlineStr">
        <is>
          <t>1994-01-04</t>
        </is>
      </c>
      <c r="W1157" t="inlineStr">
        <is>
          <t>1992-03-01</t>
        </is>
      </c>
      <c r="X1157" t="inlineStr">
        <is>
          <t>1992-03-01</t>
        </is>
      </c>
      <c r="Y1157" t="n">
        <v>415</v>
      </c>
      <c r="Z1157" t="n">
        <v>307</v>
      </c>
      <c r="AA1157" t="n">
        <v>310</v>
      </c>
      <c r="AB1157" t="n">
        <v>3</v>
      </c>
      <c r="AC1157" t="n">
        <v>3</v>
      </c>
      <c r="AD1157" t="n">
        <v>8</v>
      </c>
      <c r="AE1157" t="n">
        <v>8</v>
      </c>
      <c r="AF1157" t="n">
        <v>1</v>
      </c>
      <c r="AG1157" t="n">
        <v>1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HYPERLINK("http://catalog.hathitrust.org/Record/000106832","HathiTrust Record")</f>
        <v/>
      </c>
      <c r="AS1157">
        <f>HYPERLINK("https://creighton-primo.hosted.exlibrisgroup.com/primo-explore/search?tab=default_tab&amp;search_scope=EVERYTHING&amp;vid=01CRU&amp;lang=en_US&amp;offset=0&amp;query=any,contains,991005043429702656","Catalog Record")</f>
        <v/>
      </c>
      <c r="AT1157">
        <f>HYPERLINK("http://www.worldcat.org/oclc/6813610","WorldCat Record")</f>
        <v/>
      </c>
      <c r="AU1157" t="inlineStr">
        <is>
          <t>353576183:eng</t>
        </is>
      </c>
      <c r="AV1157" t="inlineStr">
        <is>
          <t>6813610</t>
        </is>
      </c>
      <c r="AW1157" t="inlineStr">
        <is>
          <t>991005043429702656</t>
        </is>
      </c>
      <c r="AX1157" t="inlineStr">
        <is>
          <t>991005043429702656</t>
        </is>
      </c>
      <c r="AY1157" t="inlineStr">
        <is>
          <t>2268430800002656</t>
        </is>
      </c>
      <c r="AZ1157" t="inlineStr">
        <is>
          <t>BOOK</t>
        </is>
      </c>
      <c r="BB1157" t="inlineStr">
        <is>
          <t>9780471278344</t>
        </is>
      </c>
      <c r="BC1157" t="inlineStr">
        <is>
          <t>32285000979632</t>
        </is>
      </c>
      <c r="BD1157" t="inlineStr">
        <is>
          <t>893707166</t>
        </is>
      </c>
    </row>
    <row r="1158">
      <c r="A1158" t="inlineStr">
        <is>
          <t>No</t>
        </is>
      </c>
      <c r="B1158" t="inlineStr">
        <is>
          <t>QH540.5 .M48 1992</t>
        </is>
      </c>
      <c r="C1158" t="inlineStr">
        <is>
          <t>0                      QH 0540500M  48          1992</t>
        </is>
      </c>
      <c r="D1158" t="inlineStr">
        <is>
          <t>Radical ecology : the search for a livable world / Carolyn Merchant.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Merchant, Carolyn.</t>
        </is>
      </c>
      <c r="L1158" t="inlineStr">
        <is>
          <t>New York : Routledge, 1992.</t>
        </is>
      </c>
      <c r="M1158" t="inlineStr">
        <is>
          <t>1992</t>
        </is>
      </c>
      <c r="O1158" t="inlineStr">
        <is>
          <t>eng</t>
        </is>
      </c>
      <c r="P1158" t="inlineStr">
        <is>
          <t>nyu</t>
        </is>
      </c>
      <c r="Q1158" t="inlineStr">
        <is>
          <t>Revolutionary thought/radical movements</t>
        </is>
      </c>
      <c r="R1158" t="inlineStr">
        <is>
          <t xml:space="preserve">QH </t>
        </is>
      </c>
      <c r="S1158" t="n">
        <v>23</v>
      </c>
      <c r="T1158" t="n">
        <v>23</v>
      </c>
      <c r="U1158" t="inlineStr">
        <is>
          <t>2008-10-17</t>
        </is>
      </c>
      <c r="V1158" t="inlineStr">
        <is>
          <t>2008-10-17</t>
        </is>
      </c>
      <c r="W1158" t="inlineStr">
        <is>
          <t>1993-11-15</t>
        </is>
      </c>
      <c r="X1158" t="inlineStr">
        <is>
          <t>1993-11-15</t>
        </is>
      </c>
      <c r="Y1158" t="n">
        <v>781</v>
      </c>
      <c r="Z1158" t="n">
        <v>554</v>
      </c>
      <c r="AA1158" t="n">
        <v>741</v>
      </c>
      <c r="AB1158" t="n">
        <v>3</v>
      </c>
      <c r="AC1158" t="n">
        <v>4</v>
      </c>
      <c r="AD1158" t="n">
        <v>27</v>
      </c>
      <c r="AE1158" t="n">
        <v>35</v>
      </c>
      <c r="AF1158" t="n">
        <v>15</v>
      </c>
      <c r="AG1158" t="n">
        <v>18</v>
      </c>
      <c r="AH1158" t="n">
        <v>6</v>
      </c>
      <c r="AI1158" t="n">
        <v>8</v>
      </c>
      <c r="AJ1158" t="n">
        <v>12</v>
      </c>
      <c r="AK1158" t="n">
        <v>15</v>
      </c>
      <c r="AL1158" t="n">
        <v>2</v>
      </c>
      <c r="AM1158" t="n">
        <v>3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HYPERLINK("http://catalog.hathitrust.org/Record/002577957","HathiTrust Record")</f>
        <v/>
      </c>
      <c r="AS1158">
        <f>HYPERLINK("https://creighton-primo.hosted.exlibrisgroup.com/primo-explore/search?tab=default_tab&amp;search_scope=EVERYTHING&amp;vid=01CRU&amp;lang=en_US&amp;offset=0&amp;query=any,contains,991002013969702656","Catalog Record")</f>
        <v/>
      </c>
      <c r="AT1158">
        <f>HYPERLINK("http://www.worldcat.org/oclc/25629907","WorldCat Record")</f>
        <v/>
      </c>
      <c r="AU1158" t="inlineStr">
        <is>
          <t>591296:eng</t>
        </is>
      </c>
      <c r="AV1158" t="inlineStr">
        <is>
          <t>25629907</t>
        </is>
      </c>
      <c r="AW1158" t="inlineStr">
        <is>
          <t>991002013969702656</t>
        </is>
      </c>
      <c r="AX1158" t="inlineStr">
        <is>
          <t>991002013969702656</t>
        </is>
      </c>
      <c r="AY1158" t="inlineStr">
        <is>
          <t>2259812980002656</t>
        </is>
      </c>
      <c r="AZ1158" t="inlineStr">
        <is>
          <t>BOOK</t>
        </is>
      </c>
      <c r="BB1158" t="inlineStr">
        <is>
          <t>9780415906494</t>
        </is>
      </c>
      <c r="BC1158" t="inlineStr">
        <is>
          <t>32285001811404</t>
        </is>
      </c>
      <c r="BD1158" t="inlineStr">
        <is>
          <t>893523088</t>
        </is>
      </c>
    </row>
    <row r="1159">
      <c r="A1159" t="inlineStr">
        <is>
          <t>No</t>
        </is>
      </c>
      <c r="B1159" t="inlineStr">
        <is>
          <t>QH540.5 .R45 2010</t>
        </is>
      </c>
      <c r="C1159" t="inlineStr">
        <is>
          <t>0                      QH 0540500R  45          2010</t>
        </is>
      </c>
      <c r="D1159" t="inlineStr">
        <is>
          <t>Philosophical foundations for the practices of ecology / William A. Reiners, Jeffrey A. Lockwood.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Reiners, William A.</t>
        </is>
      </c>
      <c r="L1159" t="inlineStr">
        <is>
          <t>Cambridge, UK ; New York : Cambridge University Press, 2010.</t>
        </is>
      </c>
      <c r="M1159" t="inlineStr">
        <is>
          <t>2010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QH </t>
        </is>
      </c>
      <c r="S1159" t="n">
        <v>1</v>
      </c>
      <c r="T1159" t="n">
        <v>1</v>
      </c>
      <c r="U1159" t="inlineStr">
        <is>
          <t>2010-02-11</t>
        </is>
      </c>
      <c r="V1159" t="inlineStr">
        <is>
          <t>2010-02-11</t>
        </is>
      </c>
      <c r="W1159" t="inlineStr">
        <is>
          <t>2010-02-11</t>
        </is>
      </c>
      <c r="X1159" t="inlineStr">
        <is>
          <t>2010-02-11</t>
        </is>
      </c>
      <c r="Y1159" t="n">
        <v>198</v>
      </c>
      <c r="Z1159" t="n">
        <v>125</v>
      </c>
      <c r="AA1159" t="n">
        <v>125</v>
      </c>
      <c r="AB1159" t="n">
        <v>3</v>
      </c>
      <c r="AC1159" t="n">
        <v>3</v>
      </c>
      <c r="AD1159" t="n">
        <v>8</v>
      </c>
      <c r="AE1159" t="n">
        <v>8</v>
      </c>
      <c r="AF1159" t="n">
        <v>1</v>
      </c>
      <c r="AG1159" t="n">
        <v>1</v>
      </c>
      <c r="AH1159" t="n">
        <v>3</v>
      </c>
      <c r="AI1159" t="n">
        <v>3</v>
      </c>
      <c r="AJ1159" t="n">
        <v>5</v>
      </c>
      <c r="AK1159" t="n">
        <v>5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HYPERLINK("https://creighton-primo.hosted.exlibrisgroup.com/primo-explore/search?tab=default_tab&amp;search_scope=EVERYTHING&amp;vid=01CRU&amp;lang=en_US&amp;offset=0&amp;query=any,contains,991005358909702656","Catalog Record")</f>
        <v/>
      </c>
      <c r="AT1159">
        <f>HYPERLINK("http://www.worldcat.org/oclc/401146931","WorldCat Record")</f>
        <v/>
      </c>
      <c r="AU1159" t="inlineStr">
        <is>
          <t>287164108:eng</t>
        </is>
      </c>
      <c r="AV1159" t="inlineStr">
        <is>
          <t>401146931</t>
        </is>
      </c>
      <c r="AW1159" t="inlineStr">
        <is>
          <t>991005358909702656</t>
        </is>
      </c>
      <c r="AX1159" t="inlineStr">
        <is>
          <t>991005358909702656</t>
        </is>
      </c>
      <c r="AY1159" t="inlineStr">
        <is>
          <t>2262729250002656</t>
        </is>
      </c>
      <c r="AZ1159" t="inlineStr">
        <is>
          <t>BOOK</t>
        </is>
      </c>
      <c r="BB1159" t="inlineStr">
        <is>
          <t>9780521115698</t>
        </is>
      </c>
      <c r="BC1159" t="inlineStr">
        <is>
          <t>32285005573349</t>
        </is>
      </c>
      <c r="BD1159" t="inlineStr">
        <is>
          <t>893902540</t>
        </is>
      </c>
    </row>
    <row r="1160">
      <c r="A1160" t="inlineStr">
        <is>
          <t>No</t>
        </is>
      </c>
      <c r="B1160" t="inlineStr">
        <is>
          <t>QH540.5 .R65 1986</t>
        </is>
      </c>
      <c r="C1160" t="inlineStr">
        <is>
          <t>0                      QH 0540500R  65          1986</t>
        </is>
      </c>
      <c r="D1160" t="inlineStr">
        <is>
          <t>Philosophy gone wild : essays in environmental ethics / Holmes Rolston, III.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Rolston, Holmes, 1932-</t>
        </is>
      </c>
      <c r="L1160" t="inlineStr">
        <is>
          <t>Buffalo, N.Y. : Prometheus Books, 1986.</t>
        </is>
      </c>
      <c r="M1160" t="inlineStr">
        <is>
          <t>1986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QH </t>
        </is>
      </c>
      <c r="S1160" t="n">
        <v>2</v>
      </c>
      <c r="T1160" t="n">
        <v>2</v>
      </c>
      <c r="U1160" t="inlineStr">
        <is>
          <t>2002-01-14</t>
        </is>
      </c>
      <c r="V1160" t="inlineStr">
        <is>
          <t>2002-01-14</t>
        </is>
      </c>
      <c r="W1160" t="inlineStr">
        <is>
          <t>1992-04-14</t>
        </is>
      </c>
      <c r="X1160" t="inlineStr">
        <is>
          <t>1992-04-14</t>
        </is>
      </c>
      <c r="Y1160" t="n">
        <v>654</v>
      </c>
      <c r="Z1160" t="n">
        <v>589</v>
      </c>
      <c r="AA1160" t="n">
        <v>750</v>
      </c>
      <c r="AB1160" t="n">
        <v>6</v>
      </c>
      <c r="AC1160" t="n">
        <v>6</v>
      </c>
      <c r="AD1160" t="n">
        <v>26</v>
      </c>
      <c r="AE1160" t="n">
        <v>32</v>
      </c>
      <c r="AF1160" t="n">
        <v>10</v>
      </c>
      <c r="AG1160" t="n">
        <v>15</v>
      </c>
      <c r="AH1160" t="n">
        <v>3</v>
      </c>
      <c r="AI1160" t="n">
        <v>3</v>
      </c>
      <c r="AJ1160" t="n">
        <v>14</v>
      </c>
      <c r="AK1160" t="n">
        <v>17</v>
      </c>
      <c r="AL1160" t="n">
        <v>5</v>
      </c>
      <c r="AM1160" t="n">
        <v>5</v>
      </c>
      <c r="AN1160" t="n">
        <v>1</v>
      </c>
      <c r="AO1160" t="n">
        <v>1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HYPERLINK("http://catalog.hathitrust.org/Record/000589738","HathiTrust Record")</f>
        <v/>
      </c>
      <c r="AS1160">
        <f>HYPERLINK("https://creighton-primo.hosted.exlibrisgroup.com/primo-explore/search?tab=default_tab&amp;search_scope=EVERYTHING&amp;vid=01CRU&amp;lang=en_US&amp;offset=0&amp;query=any,contains,991000818509702656","Catalog Record")</f>
        <v/>
      </c>
      <c r="AT1160">
        <f>HYPERLINK("http://www.worldcat.org/oclc/13361223","WorldCat Record")</f>
        <v/>
      </c>
      <c r="AU1160" t="inlineStr">
        <is>
          <t>235315577:eng</t>
        </is>
      </c>
      <c r="AV1160" t="inlineStr">
        <is>
          <t>13361223</t>
        </is>
      </c>
      <c r="AW1160" t="inlineStr">
        <is>
          <t>991000818509702656</t>
        </is>
      </c>
      <c r="AX1160" t="inlineStr">
        <is>
          <t>991000818509702656</t>
        </is>
      </c>
      <c r="AY1160" t="inlineStr">
        <is>
          <t>2271849660002656</t>
        </is>
      </c>
      <c r="AZ1160" t="inlineStr">
        <is>
          <t>BOOK</t>
        </is>
      </c>
      <c r="BB1160" t="inlineStr">
        <is>
          <t>9780879753290</t>
        </is>
      </c>
      <c r="BC1160" t="inlineStr">
        <is>
          <t>32285001059673</t>
        </is>
      </c>
      <c r="BD1160" t="inlineStr">
        <is>
          <t>893589767</t>
        </is>
      </c>
    </row>
    <row r="1161">
      <c r="A1161" t="inlineStr">
        <is>
          <t>No</t>
        </is>
      </c>
      <c r="B1161" t="inlineStr">
        <is>
          <t>QH540.7 .B345 1998</t>
        </is>
      </c>
      <c r="C1161" t="inlineStr">
        <is>
          <t>0                      QH 0540700B  345         1998</t>
        </is>
      </c>
      <c r="D1161" t="inlineStr">
        <is>
          <t>Ecoregions : the ecosystem geography of the oceans and continents / Robert G. Bailey ; illustrations by Lev Ropes.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Bailey, Robert G., 1939-</t>
        </is>
      </c>
      <c r="L1161" t="inlineStr">
        <is>
          <t>New York : Springer, c1998.</t>
        </is>
      </c>
      <c r="M1161" t="inlineStr">
        <is>
          <t>1998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QH </t>
        </is>
      </c>
      <c r="S1161" t="n">
        <v>1</v>
      </c>
      <c r="T1161" t="n">
        <v>1</v>
      </c>
      <c r="U1161" t="inlineStr">
        <is>
          <t>2003-12-02</t>
        </is>
      </c>
      <c r="V1161" t="inlineStr">
        <is>
          <t>2003-12-02</t>
        </is>
      </c>
      <c r="W1161" t="inlineStr">
        <is>
          <t>1999-04-27</t>
        </is>
      </c>
      <c r="X1161" t="inlineStr">
        <is>
          <t>1999-04-27</t>
        </is>
      </c>
      <c r="Y1161" t="n">
        <v>543</v>
      </c>
      <c r="Z1161" t="n">
        <v>462</v>
      </c>
      <c r="AA1161" t="n">
        <v>485</v>
      </c>
      <c r="AB1161" t="n">
        <v>7</v>
      </c>
      <c r="AC1161" t="n">
        <v>7</v>
      </c>
      <c r="AD1161" t="n">
        <v>16</v>
      </c>
      <c r="AE1161" t="n">
        <v>18</v>
      </c>
      <c r="AF1161" t="n">
        <v>4</v>
      </c>
      <c r="AG1161" t="n">
        <v>5</v>
      </c>
      <c r="AH1161" t="n">
        <v>2</v>
      </c>
      <c r="AI1161" t="n">
        <v>2</v>
      </c>
      <c r="AJ1161" t="n">
        <v>7</v>
      </c>
      <c r="AK1161" t="n">
        <v>9</v>
      </c>
      <c r="AL1161" t="n">
        <v>6</v>
      </c>
      <c r="AM1161" t="n">
        <v>6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HYPERLINK("http://catalog.hathitrust.org/Record/003977857","HathiTrust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HYPERLINK("https://creighton-primo.hosted.exlibrisgroup.com/primo-explore/search?tab=default_tab&amp;search_scope=EVERYTHING&amp;vid=01CRU&amp;lang=en_US&amp;offset=0&amp;query=any,contains,991002827389702656","Catalog Record")</f>
        <v/>
      </c>
      <c r="AT1161">
        <f>HYPERLINK("http://www.worldcat.org/oclc/37226887","WorldCat Record")</f>
        <v/>
      </c>
      <c r="AU1161" t="inlineStr">
        <is>
          <t>3858014764:eng</t>
        </is>
      </c>
      <c r="AV1161" t="inlineStr">
        <is>
          <t>37226887</t>
        </is>
      </c>
      <c r="AW1161" t="inlineStr">
        <is>
          <t>991002827389702656</t>
        </is>
      </c>
      <c r="AX1161" t="inlineStr">
        <is>
          <t>991002827389702656</t>
        </is>
      </c>
      <c r="AY1161" t="inlineStr">
        <is>
          <t>2255011710002656</t>
        </is>
      </c>
      <c r="AZ1161" t="inlineStr">
        <is>
          <t>BOOK</t>
        </is>
      </c>
      <c r="BB1161" t="inlineStr">
        <is>
          <t>9780387983059</t>
        </is>
      </c>
      <c r="BC1161" t="inlineStr">
        <is>
          <t>32285003556262</t>
        </is>
      </c>
      <c r="BD1161" t="inlineStr">
        <is>
          <t>893805084</t>
        </is>
      </c>
    </row>
    <row r="1162">
      <c r="A1162" t="inlineStr">
        <is>
          <t>No</t>
        </is>
      </c>
      <c r="B1162" t="inlineStr">
        <is>
          <t>QH540.7 .B35 1996</t>
        </is>
      </c>
      <c r="C1162" t="inlineStr">
        <is>
          <t>0                      QH 0540700B  35          1996</t>
        </is>
      </c>
      <c r="D1162" t="inlineStr">
        <is>
          <t>Ecosystem geography / Robert G. Bailey ; with a foreword by Jack Ward Thomas ; illustrations by Lev Ropes.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Bailey, Robert G., 1939-</t>
        </is>
      </c>
      <c r="L1162" t="inlineStr">
        <is>
          <t>New York : Springer, c1996.</t>
        </is>
      </c>
      <c r="M1162" t="inlineStr">
        <is>
          <t>1996</t>
        </is>
      </c>
      <c r="O1162" t="inlineStr">
        <is>
          <t>eng</t>
        </is>
      </c>
      <c r="P1162" t="inlineStr">
        <is>
          <t>nyu</t>
        </is>
      </c>
      <c r="R1162" t="inlineStr">
        <is>
          <t xml:space="preserve">QH </t>
        </is>
      </c>
      <c r="S1162" t="n">
        <v>5</v>
      </c>
      <c r="T1162" t="n">
        <v>5</v>
      </c>
      <c r="U1162" t="inlineStr">
        <is>
          <t>2003-12-02</t>
        </is>
      </c>
      <c r="V1162" t="inlineStr">
        <is>
          <t>2003-12-02</t>
        </is>
      </c>
      <c r="W1162" t="inlineStr">
        <is>
          <t>1996-05-31</t>
        </is>
      </c>
      <c r="X1162" t="inlineStr">
        <is>
          <t>1996-05-31</t>
        </is>
      </c>
      <c r="Y1162" t="n">
        <v>678</v>
      </c>
      <c r="Z1162" t="n">
        <v>498</v>
      </c>
      <c r="AA1162" t="n">
        <v>524</v>
      </c>
      <c r="AB1162" t="n">
        <v>5</v>
      </c>
      <c r="AC1162" t="n">
        <v>5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9</v>
      </c>
      <c r="AK1162" t="n">
        <v>9</v>
      </c>
      <c r="AL1162" t="n">
        <v>4</v>
      </c>
      <c r="AM1162" t="n">
        <v>4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HYPERLINK("http://catalog.hathitrust.org/Record/003032992","HathiTrust Record")</f>
        <v/>
      </c>
      <c r="AS1162">
        <f>HYPERLINK("https://creighton-primo.hosted.exlibrisgroup.com/primo-explore/search?tab=default_tab&amp;search_scope=EVERYTHING&amp;vid=01CRU&amp;lang=en_US&amp;offset=0&amp;query=any,contains,991002527639702656","Catalog Record")</f>
        <v/>
      </c>
      <c r="AT1162">
        <f>HYPERLINK("http://www.worldcat.org/oclc/32855804","WorldCat Record")</f>
        <v/>
      </c>
      <c r="AU1162" t="inlineStr">
        <is>
          <t>793138927:eng</t>
        </is>
      </c>
      <c r="AV1162" t="inlineStr">
        <is>
          <t>32855804</t>
        </is>
      </c>
      <c r="AW1162" t="inlineStr">
        <is>
          <t>991002527639702656</t>
        </is>
      </c>
      <c r="AX1162" t="inlineStr">
        <is>
          <t>991002527639702656</t>
        </is>
      </c>
      <c r="AY1162" t="inlineStr">
        <is>
          <t>2269904520002656</t>
        </is>
      </c>
      <c r="AZ1162" t="inlineStr">
        <is>
          <t>BOOK</t>
        </is>
      </c>
      <c r="BB1162" t="inlineStr">
        <is>
          <t>9780387943541</t>
        </is>
      </c>
      <c r="BC1162" t="inlineStr">
        <is>
          <t>32285002186046</t>
        </is>
      </c>
      <c r="BD1162" t="inlineStr">
        <is>
          <t>893721504</t>
        </is>
      </c>
    </row>
    <row r="1163">
      <c r="A1163" t="inlineStr">
        <is>
          <t>No</t>
        </is>
      </c>
      <c r="B1163" t="inlineStr">
        <is>
          <t>QH540.8 .G64 1993</t>
        </is>
      </c>
      <c r="C1163" t="inlineStr">
        <is>
          <t>0                      QH 0540800G  64          1993</t>
        </is>
      </c>
      <c r="D1163" t="inlineStr">
        <is>
          <t>A history of the ecosystem concept in ecology : more than the sum of the parts / Frank Benjamin Golley.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Golley, Frank B.</t>
        </is>
      </c>
      <c r="L1163" t="inlineStr">
        <is>
          <t>New Haven : Yale University Press, c1993.</t>
        </is>
      </c>
      <c r="M1163" t="inlineStr">
        <is>
          <t>1993</t>
        </is>
      </c>
      <c r="O1163" t="inlineStr">
        <is>
          <t>eng</t>
        </is>
      </c>
      <c r="P1163" t="inlineStr">
        <is>
          <t>ctu</t>
        </is>
      </c>
      <c r="R1163" t="inlineStr">
        <is>
          <t xml:space="preserve">QH </t>
        </is>
      </c>
      <c r="S1163" t="n">
        <v>5</v>
      </c>
      <c r="T1163" t="n">
        <v>5</v>
      </c>
      <c r="U1163" t="inlineStr">
        <is>
          <t>1996-10-02</t>
        </is>
      </c>
      <c r="V1163" t="inlineStr">
        <is>
          <t>1996-10-02</t>
        </is>
      </c>
      <c r="W1163" t="inlineStr">
        <is>
          <t>1994-02-03</t>
        </is>
      </c>
      <c r="X1163" t="inlineStr">
        <is>
          <t>1994-02-03</t>
        </is>
      </c>
      <c r="Y1163" t="n">
        <v>742</v>
      </c>
      <c r="Z1163" t="n">
        <v>586</v>
      </c>
      <c r="AA1163" t="n">
        <v>589</v>
      </c>
      <c r="AB1163" t="n">
        <v>8</v>
      </c>
      <c r="AC1163" t="n">
        <v>8</v>
      </c>
      <c r="AD1163" t="n">
        <v>30</v>
      </c>
      <c r="AE1163" t="n">
        <v>30</v>
      </c>
      <c r="AF1163" t="n">
        <v>9</v>
      </c>
      <c r="AG1163" t="n">
        <v>9</v>
      </c>
      <c r="AH1163" t="n">
        <v>8</v>
      </c>
      <c r="AI1163" t="n">
        <v>8</v>
      </c>
      <c r="AJ1163" t="n">
        <v>13</v>
      </c>
      <c r="AK1163" t="n">
        <v>13</v>
      </c>
      <c r="AL1163" t="n">
        <v>7</v>
      </c>
      <c r="AM1163" t="n">
        <v>7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HYPERLINK("https://creighton-primo.hosted.exlibrisgroup.com/primo-explore/search?tab=default_tab&amp;search_scope=EVERYTHING&amp;vid=01CRU&amp;lang=en_US&amp;offset=0&amp;query=any,contains,991002177649702656","Catalog Record")</f>
        <v/>
      </c>
      <c r="AT1163">
        <f>HYPERLINK("http://www.worldcat.org/oclc/28026725","WorldCat Record")</f>
        <v/>
      </c>
      <c r="AU1163" t="inlineStr">
        <is>
          <t>836743396:eng</t>
        </is>
      </c>
      <c r="AV1163" t="inlineStr">
        <is>
          <t>28026725</t>
        </is>
      </c>
      <c r="AW1163" t="inlineStr">
        <is>
          <t>991002177649702656</t>
        </is>
      </c>
      <c r="AX1163" t="inlineStr">
        <is>
          <t>991002177649702656</t>
        </is>
      </c>
      <c r="AY1163" t="inlineStr">
        <is>
          <t>2262852260002656</t>
        </is>
      </c>
      <c r="AZ1163" t="inlineStr">
        <is>
          <t>BOOK</t>
        </is>
      </c>
      <c r="BB1163" t="inlineStr">
        <is>
          <t>9780300055467</t>
        </is>
      </c>
      <c r="BC1163" t="inlineStr">
        <is>
          <t>32285001834778</t>
        </is>
      </c>
      <c r="BD1163" t="inlineStr">
        <is>
          <t>893226551</t>
        </is>
      </c>
    </row>
    <row r="1164">
      <c r="A1164" t="inlineStr">
        <is>
          <t>No</t>
        </is>
      </c>
      <c r="B1164" t="inlineStr">
        <is>
          <t>QH540.83.U6 K56 2005</t>
        </is>
      </c>
      <c r="C1164" t="inlineStr">
        <is>
          <t>0                      QH 0540830U  6                  K  56          2005</t>
        </is>
      </c>
      <c r="D1164" t="inlineStr">
        <is>
          <t>The evolution of American ecology, 1890-2000 / Sharon E. Kingsland.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Kingsland, Sharon E.</t>
        </is>
      </c>
      <c r="L1164" t="inlineStr">
        <is>
          <t>Baltimore : Johns Hopkins University Press, c2005.</t>
        </is>
      </c>
      <c r="M1164" t="inlineStr">
        <is>
          <t>2005</t>
        </is>
      </c>
      <c r="O1164" t="inlineStr">
        <is>
          <t>eng</t>
        </is>
      </c>
      <c r="P1164" t="inlineStr">
        <is>
          <t>mdu</t>
        </is>
      </c>
      <c r="R1164" t="inlineStr">
        <is>
          <t xml:space="preserve">QH </t>
        </is>
      </c>
      <c r="S1164" t="n">
        <v>1</v>
      </c>
      <c r="T1164" t="n">
        <v>1</v>
      </c>
      <c r="U1164" t="inlineStr">
        <is>
          <t>2005-10-25</t>
        </is>
      </c>
      <c r="V1164" t="inlineStr">
        <is>
          <t>2005-10-25</t>
        </is>
      </c>
      <c r="W1164" t="inlineStr">
        <is>
          <t>2005-10-25</t>
        </is>
      </c>
      <c r="X1164" t="inlineStr">
        <is>
          <t>2005-10-25</t>
        </is>
      </c>
      <c r="Y1164" t="n">
        <v>623</v>
      </c>
      <c r="Z1164" t="n">
        <v>535</v>
      </c>
      <c r="AA1164" t="n">
        <v>537</v>
      </c>
      <c r="AB1164" t="n">
        <v>4</v>
      </c>
      <c r="AC1164" t="n">
        <v>4</v>
      </c>
      <c r="AD1164" t="n">
        <v>24</v>
      </c>
      <c r="AE1164" t="n">
        <v>24</v>
      </c>
      <c r="AF1164" t="n">
        <v>9</v>
      </c>
      <c r="AG1164" t="n">
        <v>9</v>
      </c>
      <c r="AH1164" t="n">
        <v>6</v>
      </c>
      <c r="AI1164" t="n">
        <v>6</v>
      </c>
      <c r="AJ1164" t="n">
        <v>11</v>
      </c>
      <c r="AK1164" t="n">
        <v>11</v>
      </c>
      <c r="AL1164" t="n">
        <v>3</v>
      </c>
      <c r="AM1164" t="n">
        <v>3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HYPERLINK("https://creighton-primo.hosted.exlibrisgroup.com/primo-explore/search?tab=default_tab&amp;search_scope=EVERYTHING&amp;vid=01CRU&amp;lang=en_US&amp;offset=0&amp;query=any,contains,991004646449702656","Catalog Record")</f>
        <v/>
      </c>
      <c r="AT1164">
        <f>HYPERLINK("http://www.worldcat.org/oclc/56982282","WorldCat Record")</f>
        <v/>
      </c>
      <c r="AU1164" t="inlineStr">
        <is>
          <t>903785:eng</t>
        </is>
      </c>
      <c r="AV1164" t="inlineStr">
        <is>
          <t>56982282</t>
        </is>
      </c>
      <c r="AW1164" t="inlineStr">
        <is>
          <t>991004646449702656</t>
        </is>
      </c>
      <c r="AX1164" t="inlineStr">
        <is>
          <t>991004646449702656</t>
        </is>
      </c>
      <c r="AY1164" t="inlineStr">
        <is>
          <t>2265364900002656</t>
        </is>
      </c>
      <c r="AZ1164" t="inlineStr">
        <is>
          <t>BOOK</t>
        </is>
      </c>
      <c r="BB1164" t="inlineStr">
        <is>
          <t>9780801881718</t>
        </is>
      </c>
      <c r="BC1164" t="inlineStr">
        <is>
          <t>32285005141881</t>
        </is>
      </c>
      <c r="BD1164" t="inlineStr">
        <is>
          <t>893694165</t>
        </is>
      </c>
    </row>
    <row r="1165">
      <c r="A1165" t="inlineStr">
        <is>
          <t>No</t>
        </is>
      </c>
      <c r="B1165" t="inlineStr">
        <is>
          <t>QH541 .A24 1991</t>
        </is>
      </c>
      <c r="C1165" t="inlineStr">
        <is>
          <t>0                      QH 0541000A  24          1991</t>
        </is>
      </c>
      <c r="D1165" t="inlineStr">
        <is>
          <t>Terrestrial ecosystems / John D. Aber, Jerry M. Melillo.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Aber, John D.</t>
        </is>
      </c>
      <c r="L1165" t="inlineStr">
        <is>
          <t>Philadelphia : Saunders College Pub., c1991.</t>
        </is>
      </c>
      <c r="M1165" t="inlineStr">
        <is>
          <t>1991</t>
        </is>
      </c>
      <c r="O1165" t="inlineStr">
        <is>
          <t>eng</t>
        </is>
      </c>
      <c r="P1165" t="inlineStr">
        <is>
          <t>pau</t>
        </is>
      </c>
      <c r="R1165" t="inlineStr">
        <is>
          <t xml:space="preserve">QH </t>
        </is>
      </c>
      <c r="S1165" t="n">
        <v>7</v>
      </c>
      <c r="T1165" t="n">
        <v>7</v>
      </c>
      <c r="U1165" t="inlineStr">
        <is>
          <t>2010-06-22</t>
        </is>
      </c>
      <c r="V1165" t="inlineStr">
        <is>
          <t>2010-06-22</t>
        </is>
      </c>
      <c r="W1165" t="inlineStr">
        <is>
          <t>1996-05-22</t>
        </is>
      </c>
      <c r="X1165" t="inlineStr">
        <is>
          <t>1996-05-22</t>
        </is>
      </c>
      <c r="Y1165" t="n">
        <v>241</v>
      </c>
      <c r="Z1165" t="n">
        <v>148</v>
      </c>
      <c r="AA1165" t="n">
        <v>272</v>
      </c>
      <c r="AB1165" t="n">
        <v>1</v>
      </c>
      <c r="AC1165" t="n">
        <v>2</v>
      </c>
      <c r="AD1165" t="n">
        <v>5</v>
      </c>
      <c r="AE1165" t="n">
        <v>10</v>
      </c>
      <c r="AF1165" t="n">
        <v>1</v>
      </c>
      <c r="AG1165" t="n">
        <v>3</v>
      </c>
      <c r="AH1165" t="n">
        <v>2</v>
      </c>
      <c r="AI1165" t="n">
        <v>2</v>
      </c>
      <c r="AJ1165" t="n">
        <v>5</v>
      </c>
      <c r="AK1165" t="n">
        <v>7</v>
      </c>
      <c r="AL1165" t="n">
        <v>0</v>
      </c>
      <c r="AM1165" t="n">
        <v>1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HYPERLINK("http://catalog.hathitrust.org/Record/002499130","HathiTrust Record")</f>
        <v/>
      </c>
      <c r="AS1165">
        <f>HYPERLINK("https://creighton-primo.hosted.exlibrisgroup.com/primo-explore/search?tab=default_tab&amp;search_scope=EVERYTHING&amp;vid=01CRU&amp;lang=en_US&amp;offset=0&amp;query=any,contains,991001857569702656","Catalog Record")</f>
        <v/>
      </c>
      <c r="AT1165">
        <f>HYPERLINK("http://www.worldcat.org/oclc/23346815","WorldCat Record")</f>
        <v/>
      </c>
      <c r="AU1165" t="inlineStr">
        <is>
          <t>25908037:eng</t>
        </is>
      </c>
      <c r="AV1165" t="inlineStr">
        <is>
          <t>23346815</t>
        </is>
      </c>
      <c r="AW1165" t="inlineStr">
        <is>
          <t>991001857569702656</t>
        </is>
      </c>
      <c r="AX1165" t="inlineStr">
        <is>
          <t>991001857569702656</t>
        </is>
      </c>
      <c r="AY1165" t="inlineStr">
        <is>
          <t>2258493940002656</t>
        </is>
      </c>
      <c r="AZ1165" t="inlineStr">
        <is>
          <t>BOOK</t>
        </is>
      </c>
      <c r="BB1165" t="inlineStr">
        <is>
          <t>9780030474439</t>
        </is>
      </c>
      <c r="BC1165" t="inlineStr">
        <is>
          <t>32285002177193</t>
        </is>
      </c>
      <c r="BD1165" t="inlineStr">
        <is>
          <t>893426930</t>
        </is>
      </c>
    </row>
    <row r="1166">
      <c r="A1166" t="inlineStr">
        <is>
          <t>No</t>
        </is>
      </c>
      <c r="B1166" t="inlineStr">
        <is>
          <t>QH541 .A45</t>
        </is>
      </c>
      <c r="C1166" t="inlineStr">
        <is>
          <t>0                      QH 0541000A  45</t>
        </is>
      </c>
      <c r="D1166" t="inlineStr">
        <is>
          <t>Hierarchy : perspectives for ecological complexity / T.F.H. Allen and Thomas B. Starr.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Allen, T. F. H.</t>
        </is>
      </c>
      <c r="L1166" t="inlineStr">
        <is>
          <t>Chicago : University of Chicago Press, c1982.</t>
        </is>
      </c>
      <c r="M1166" t="inlineStr">
        <is>
          <t>1982</t>
        </is>
      </c>
      <c r="O1166" t="inlineStr">
        <is>
          <t>eng</t>
        </is>
      </c>
      <c r="P1166" t="inlineStr">
        <is>
          <t>ilu</t>
        </is>
      </c>
      <c r="R1166" t="inlineStr">
        <is>
          <t xml:space="preserve">QH </t>
        </is>
      </c>
      <c r="S1166" t="n">
        <v>3</v>
      </c>
      <c r="T1166" t="n">
        <v>3</v>
      </c>
      <c r="U1166" t="inlineStr">
        <is>
          <t>1995-08-28</t>
        </is>
      </c>
      <c r="V1166" t="inlineStr">
        <is>
          <t>1995-08-28</t>
        </is>
      </c>
      <c r="W1166" t="inlineStr">
        <is>
          <t>1993-04-28</t>
        </is>
      </c>
      <c r="X1166" t="inlineStr">
        <is>
          <t>1993-04-28</t>
        </is>
      </c>
      <c r="Y1166" t="n">
        <v>449</v>
      </c>
      <c r="Z1166" t="n">
        <v>324</v>
      </c>
      <c r="AA1166" t="n">
        <v>425</v>
      </c>
      <c r="AB1166" t="n">
        <v>3</v>
      </c>
      <c r="AC1166" t="n">
        <v>3</v>
      </c>
      <c r="AD1166" t="n">
        <v>13</v>
      </c>
      <c r="AE1166" t="n">
        <v>20</v>
      </c>
      <c r="AF1166" t="n">
        <v>3</v>
      </c>
      <c r="AG1166" t="n">
        <v>8</v>
      </c>
      <c r="AH1166" t="n">
        <v>5</v>
      </c>
      <c r="AI1166" t="n">
        <v>6</v>
      </c>
      <c r="AJ1166" t="n">
        <v>7</v>
      </c>
      <c r="AK1166" t="n">
        <v>12</v>
      </c>
      <c r="AL1166" t="n">
        <v>2</v>
      </c>
      <c r="AM1166" t="n">
        <v>2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HYPERLINK("https://creighton-primo.hosted.exlibrisgroup.com/primo-explore/search?tab=default_tab&amp;search_scope=EVERYTHING&amp;vid=01CRU&amp;lang=en_US&amp;offset=0&amp;query=any,contains,991005198259702656","Catalog Record")</f>
        <v/>
      </c>
      <c r="AT1166">
        <f>HYPERLINK("http://www.worldcat.org/oclc/8052563","WorldCat Record")</f>
        <v/>
      </c>
      <c r="AU1166" t="inlineStr">
        <is>
          <t>417832:eng</t>
        </is>
      </c>
      <c r="AV1166" t="inlineStr">
        <is>
          <t>8052563</t>
        </is>
      </c>
      <c r="AW1166" t="inlineStr">
        <is>
          <t>991005198259702656</t>
        </is>
      </c>
      <c r="AX1166" t="inlineStr">
        <is>
          <t>991005198259702656</t>
        </is>
      </c>
      <c r="AY1166" t="inlineStr">
        <is>
          <t>2256322660002656</t>
        </is>
      </c>
      <c r="AZ1166" t="inlineStr">
        <is>
          <t>BOOK</t>
        </is>
      </c>
      <c r="BB1166" t="inlineStr">
        <is>
          <t>9780226014319</t>
        </is>
      </c>
      <c r="BC1166" t="inlineStr">
        <is>
          <t>32285001641991</t>
        </is>
      </c>
      <c r="BD1166" t="inlineStr">
        <is>
          <t>893254628</t>
        </is>
      </c>
    </row>
    <row r="1167">
      <c r="A1167" t="inlineStr">
        <is>
          <t>No</t>
        </is>
      </c>
      <c r="B1167" t="inlineStr">
        <is>
          <t>QH541 .A495 1981</t>
        </is>
      </c>
      <c r="C1167" t="inlineStr">
        <is>
          <t>0                      QH 0541000A  495         1981</t>
        </is>
      </c>
      <c r="D1167" t="inlineStr">
        <is>
          <t>Ecology for environmental sciences : biosphere, ecosystems, and man / J.M. Anderson.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Anderson, J. M.</t>
        </is>
      </c>
      <c r="L1167" t="inlineStr">
        <is>
          <t>New York : Wiley, 1981.</t>
        </is>
      </c>
      <c r="M1167" t="inlineStr">
        <is>
          <t>1981</t>
        </is>
      </c>
      <c r="O1167" t="inlineStr">
        <is>
          <t>eng</t>
        </is>
      </c>
      <c r="P1167" t="inlineStr">
        <is>
          <t>nyu</t>
        </is>
      </c>
      <c r="Q1167" t="inlineStr">
        <is>
          <t>Resource and environmental sciences series</t>
        </is>
      </c>
      <c r="R1167" t="inlineStr">
        <is>
          <t xml:space="preserve">QH </t>
        </is>
      </c>
      <c r="S1167" t="n">
        <v>11</v>
      </c>
      <c r="T1167" t="n">
        <v>11</v>
      </c>
      <c r="U1167" t="inlineStr">
        <is>
          <t>2010-08-04</t>
        </is>
      </c>
      <c r="V1167" t="inlineStr">
        <is>
          <t>2010-08-04</t>
        </is>
      </c>
      <c r="W1167" t="inlineStr">
        <is>
          <t>1993-04-28</t>
        </is>
      </c>
      <c r="X1167" t="inlineStr">
        <is>
          <t>1993-04-28</t>
        </is>
      </c>
      <c r="Y1167" t="n">
        <v>277</v>
      </c>
      <c r="Z1167" t="n">
        <v>241</v>
      </c>
      <c r="AA1167" t="n">
        <v>257</v>
      </c>
      <c r="AB1167" t="n">
        <v>3</v>
      </c>
      <c r="AC1167" t="n">
        <v>3</v>
      </c>
      <c r="AD1167" t="n">
        <v>5</v>
      </c>
      <c r="AE1167" t="n">
        <v>5</v>
      </c>
      <c r="AF1167" t="n">
        <v>1</v>
      </c>
      <c r="AG1167" t="n">
        <v>1</v>
      </c>
      <c r="AH1167" t="n">
        <v>0</v>
      </c>
      <c r="AI1167" t="n">
        <v>0</v>
      </c>
      <c r="AJ1167" t="n">
        <v>2</v>
      </c>
      <c r="AK1167" t="n">
        <v>2</v>
      </c>
      <c r="AL1167" t="n">
        <v>2</v>
      </c>
      <c r="AM1167" t="n">
        <v>2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HYPERLINK("http://catalog.hathitrust.org/Record/007400890","HathiTrust Record")</f>
        <v/>
      </c>
      <c r="AS1167">
        <f>HYPERLINK("https://creighton-primo.hosted.exlibrisgroup.com/primo-explore/search?tab=default_tab&amp;search_scope=EVERYTHING&amp;vid=01CRU&amp;lang=en_US&amp;offset=0&amp;query=any,contains,991005124909702656","Catalog Record")</f>
        <v/>
      </c>
      <c r="AT1167">
        <f>HYPERLINK("http://www.worldcat.org/oclc/7552742","WorldCat Record")</f>
        <v/>
      </c>
      <c r="AU1167" t="inlineStr">
        <is>
          <t>149744660:eng</t>
        </is>
      </c>
      <c r="AV1167" t="inlineStr">
        <is>
          <t>7552742</t>
        </is>
      </c>
      <c r="AW1167" t="inlineStr">
        <is>
          <t>991005124909702656</t>
        </is>
      </c>
      <c r="AX1167" t="inlineStr">
        <is>
          <t>991005124909702656</t>
        </is>
      </c>
      <c r="AY1167" t="inlineStr">
        <is>
          <t>2262954460002656</t>
        </is>
      </c>
      <c r="AZ1167" t="inlineStr">
        <is>
          <t>BOOK</t>
        </is>
      </c>
      <c r="BB1167" t="inlineStr">
        <is>
          <t>9780470272169</t>
        </is>
      </c>
      <c r="BC1167" t="inlineStr">
        <is>
          <t>32285001642007</t>
        </is>
      </c>
      <c r="BD1167" t="inlineStr">
        <is>
          <t>893707301</t>
        </is>
      </c>
    </row>
    <row r="1168">
      <c r="A1168" t="inlineStr">
        <is>
          <t>No</t>
        </is>
      </c>
      <c r="B1168" t="inlineStr">
        <is>
          <t>QH541 .A524 1984</t>
        </is>
      </c>
      <c r="C1168" t="inlineStr">
        <is>
          <t>0                      QH 0541000A  524         1984</t>
        </is>
      </c>
      <c r="D1168" t="inlineStr">
        <is>
          <t>The ecological web : more on the distribution and abundance of animals / H.G. Andrewartha and L.C. Birch.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Andrewartha, H. G. (Herbert George), 1907-1992.</t>
        </is>
      </c>
      <c r="L1168" t="inlineStr">
        <is>
          <t>Chicago : University of Chicago Press, c1984.</t>
        </is>
      </c>
      <c r="M1168" t="inlineStr">
        <is>
          <t>1984</t>
        </is>
      </c>
      <c r="O1168" t="inlineStr">
        <is>
          <t>eng</t>
        </is>
      </c>
      <c r="P1168" t="inlineStr">
        <is>
          <t>ilu</t>
        </is>
      </c>
      <c r="R1168" t="inlineStr">
        <is>
          <t xml:space="preserve">QH </t>
        </is>
      </c>
      <c r="S1168" t="n">
        <v>9</v>
      </c>
      <c r="T1168" t="n">
        <v>9</v>
      </c>
      <c r="U1168" t="inlineStr">
        <is>
          <t>1997-02-18</t>
        </is>
      </c>
      <c r="V1168" t="inlineStr">
        <is>
          <t>1997-02-18</t>
        </is>
      </c>
      <c r="W1168" t="inlineStr">
        <is>
          <t>1993-04-28</t>
        </is>
      </c>
      <c r="X1168" t="inlineStr">
        <is>
          <t>1993-04-28</t>
        </is>
      </c>
      <c r="Y1168" t="n">
        <v>821</v>
      </c>
      <c r="Z1168" t="n">
        <v>656</v>
      </c>
      <c r="AA1168" t="n">
        <v>685</v>
      </c>
      <c r="AB1168" t="n">
        <v>8</v>
      </c>
      <c r="AC1168" t="n">
        <v>8</v>
      </c>
      <c r="AD1168" t="n">
        <v>28</v>
      </c>
      <c r="AE1168" t="n">
        <v>30</v>
      </c>
      <c r="AF1168" t="n">
        <v>12</v>
      </c>
      <c r="AG1168" t="n">
        <v>14</v>
      </c>
      <c r="AH1168" t="n">
        <v>5</v>
      </c>
      <c r="AI1168" t="n">
        <v>5</v>
      </c>
      <c r="AJ1168" t="n">
        <v>11</v>
      </c>
      <c r="AK1168" t="n">
        <v>11</v>
      </c>
      <c r="AL1168" t="n">
        <v>6</v>
      </c>
      <c r="AM1168" t="n">
        <v>6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HYPERLINK("https://creighton-primo.hosted.exlibrisgroup.com/primo-explore/search?tab=default_tab&amp;search_scope=EVERYTHING&amp;vid=01CRU&amp;lang=en_US&amp;offset=0&amp;query=any,contains,991000367299702656","Catalog Record")</f>
        <v/>
      </c>
      <c r="AT1168">
        <f>HYPERLINK("http://www.worldcat.org/oclc/10404231","WorldCat Record")</f>
        <v/>
      </c>
      <c r="AU1168" t="inlineStr">
        <is>
          <t>3818049911:eng</t>
        </is>
      </c>
      <c r="AV1168" t="inlineStr">
        <is>
          <t>10404231</t>
        </is>
      </c>
      <c r="AW1168" t="inlineStr">
        <is>
          <t>991000367299702656</t>
        </is>
      </c>
      <c r="AX1168" t="inlineStr">
        <is>
          <t>991000367299702656</t>
        </is>
      </c>
      <c r="AY1168" t="inlineStr">
        <is>
          <t>2270252780002656</t>
        </is>
      </c>
      <c r="AZ1168" t="inlineStr">
        <is>
          <t>BOOK</t>
        </is>
      </c>
      <c r="BB1168" t="inlineStr">
        <is>
          <t>9780226020334</t>
        </is>
      </c>
      <c r="BC1168" t="inlineStr">
        <is>
          <t>32285001642015</t>
        </is>
      </c>
      <c r="BD1168" t="inlineStr">
        <is>
          <t>893865281</t>
        </is>
      </c>
    </row>
    <row r="1169">
      <c r="A1169" t="inlineStr">
        <is>
          <t>No</t>
        </is>
      </c>
      <c r="B1169" t="inlineStr">
        <is>
          <t>QH541 .B4145 1997</t>
        </is>
      </c>
      <c r="C1169" t="inlineStr">
        <is>
          <t>0                      QH 0541000B  4145        1997</t>
        </is>
      </c>
      <c r="D1169" t="inlineStr">
        <is>
          <t>First ecology / Alan Beeby and Anne-Maria Brennan.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Beeby, Alan.</t>
        </is>
      </c>
      <c r="L1169" t="inlineStr">
        <is>
          <t>London ; New York : Chapman &amp; Hall, 1997.</t>
        </is>
      </c>
      <c r="M1169" t="inlineStr">
        <is>
          <t>1997</t>
        </is>
      </c>
      <c r="N1169" t="inlineStr">
        <is>
          <t>1st ed.</t>
        </is>
      </c>
      <c r="O1169" t="inlineStr">
        <is>
          <t>eng</t>
        </is>
      </c>
      <c r="P1169" t="inlineStr">
        <is>
          <t>enk</t>
        </is>
      </c>
      <c r="R1169" t="inlineStr">
        <is>
          <t xml:space="preserve">QH </t>
        </is>
      </c>
      <c r="S1169" t="n">
        <v>5</v>
      </c>
      <c r="T1169" t="n">
        <v>5</v>
      </c>
      <c r="U1169" t="inlineStr">
        <is>
          <t>1999-03-21</t>
        </is>
      </c>
      <c r="V1169" t="inlineStr">
        <is>
          <t>1999-03-21</t>
        </is>
      </c>
      <c r="W1169" t="inlineStr">
        <is>
          <t>1997-09-12</t>
        </is>
      </c>
      <c r="X1169" t="inlineStr">
        <is>
          <t>1997-09-12</t>
        </is>
      </c>
      <c r="Y1169" t="n">
        <v>149</v>
      </c>
      <c r="Z1169" t="n">
        <v>53</v>
      </c>
      <c r="AA1169" t="n">
        <v>172</v>
      </c>
      <c r="AB1169" t="n">
        <v>1</v>
      </c>
      <c r="AC1169" t="n">
        <v>3</v>
      </c>
      <c r="AD1169" t="n">
        <v>1</v>
      </c>
      <c r="AE1169" t="n">
        <v>6</v>
      </c>
      <c r="AF1169" t="n">
        <v>0</v>
      </c>
      <c r="AG1169" t="n">
        <v>1</v>
      </c>
      <c r="AH1169" t="n">
        <v>0</v>
      </c>
      <c r="AI1169" t="n">
        <v>2</v>
      </c>
      <c r="AJ1169" t="n">
        <v>1</v>
      </c>
      <c r="AK1169" t="n">
        <v>2</v>
      </c>
      <c r="AL1169" t="n">
        <v>0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HYPERLINK("https://creighton-primo.hosted.exlibrisgroup.com/primo-explore/search?tab=default_tab&amp;search_scope=EVERYTHING&amp;vid=01CRU&amp;lang=en_US&amp;offset=0&amp;query=any,contains,991002850029702656","Catalog Record")</f>
        <v/>
      </c>
      <c r="AT1169">
        <f>HYPERLINK("http://www.worldcat.org/oclc/37554695","WorldCat Record")</f>
        <v/>
      </c>
      <c r="AU1169" t="inlineStr">
        <is>
          <t>540139:eng</t>
        </is>
      </c>
      <c r="AV1169" t="inlineStr">
        <is>
          <t>37554695</t>
        </is>
      </c>
      <c r="AW1169" t="inlineStr">
        <is>
          <t>991002850029702656</t>
        </is>
      </c>
      <c r="AX1169" t="inlineStr">
        <is>
          <t>991002850029702656</t>
        </is>
      </c>
      <c r="AY1169" t="inlineStr">
        <is>
          <t>2259459840002656</t>
        </is>
      </c>
      <c r="AZ1169" t="inlineStr">
        <is>
          <t>BOOK</t>
        </is>
      </c>
      <c r="BB1169" t="inlineStr">
        <is>
          <t>9780412630606</t>
        </is>
      </c>
      <c r="BC1169" t="inlineStr">
        <is>
          <t>32285003175576</t>
        </is>
      </c>
      <c r="BD1169" t="inlineStr">
        <is>
          <t>893524121</t>
        </is>
      </c>
    </row>
    <row r="1170">
      <c r="A1170" t="inlineStr">
        <is>
          <t>No</t>
        </is>
      </c>
      <c r="B1170" t="inlineStr">
        <is>
          <t>QH541 .B415 1996</t>
        </is>
      </c>
      <c r="C1170" t="inlineStr">
        <is>
          <t>0                      QH 0541000B  415         1996</t>
        </is>
      </c>
      <c r="D1170" t="inlineStr">
        <is>
          <t>Ecology : individuals, populations, and communities / Michael Begon, John L. Harper, Colin R. Townsend.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Begon, Michael.</t>
        </is>
      </c>
      <c r="L1170" t="inlineStr">
        <is>
          <t>Oxford, UK ; Cambridge, Mass. : Blackwell Science, 1996.</t>
        </is>
      </c>
      <c r="M1170" t="inlineStr">
        <is>
          <t>1996</t>
        </is>
      </c>
      <c r="N1170" t="inlineStr">
        <is>
          <t>3rd ed.</t>
        </is>
      </c>
      <c r="O1170" t="inlineStr">
        <is>
          <t>eng</t>
        </is>
      </c>
      <c r="P1170" t="inlineStr">
        <is>
          <t>enk</t>
        </is>
      </c>
      <c r="R1170" t="inlineStr">
        <is>
          <t xml:space="preserve">QH </t>
        </is>
      </c>
      <c r="S1170" t="n">
        <v>13</v>
      </c>
      <c r="T1170" t="n">
        <v>13</v>
      </c>
      <c r="U1170" t="inlineStr">
        <is>
          <t>2007-03-25</t>
        </is>
      </c>
      <c r="V1170" t="inlineStr">
        <is>
          <t>2007-03-25</t>
        </is>
      </c>
      <c r="W1170" t="inlineStr">
        <is>
          <t>1996-06-04</t>
        </is>
      </c>
      <c r="X1170" t="inlineStr">
        <is>
          <t>1996-06-04</t>
        </is>
      </c>
      <c r="Y1170" t="n">
        <v>444</v>
      </c>
      <c r="Z1170" t="n">
        <v>182</v>
      </c>
      <c r="AA1170" t="n">
        <v>487</v>
      </c>
      <c r="AB1170" t="n">
        <v>1</v>
      </c>
      <c r="AC1170" t="n">
        <v>2</v>
      </c>
      <c r="AD1170" t="n">
        <v>5</v>
      </c>
      <c r="AE1170" t="n">
        <v>17</v>
      </c>
      <c r="AF1170" t="n">
        <v>0</v>
      </c>
      <c r="AG1170" t="n">
        <v>7</v>
      </c>
      <c r="AH1170" t="n">
        <v>2</v>
      </c>
      <c r="AI1170" t="n">
        <v>4</v>
      </c>
      <c r="AJ1170" t="n">
        <v>5</v>
      </c>
      <c r="AK1170" t="n">
        <v>10</v>
      </c>
      <c r="AL1170" t="n">
        <v>0</v>
      </c>
      <c r="AM1170" t="n">
        <v>1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HYPERLINK("https://creighton-primo.hosted.exlibrisgroup.com/primo-explore/search?tab=default_tab&amp;search_scope=EVERYTHING&amp;vid=01CRU&amp;lang=en_US&amp;offset=0&amp;query=any,contains,991002531619702656","Catalog Record")</f>
        <v/>
      </c>
      <c r="AT1170">
        <f>HYPERLINK("http://www.worldcat.org/oclc/154273950","WorldCat Record")</f>
        <v/>
      </c>
      <c r="AU1170" t="inlineStr">
        <is>
          <t>991864:eng</t>
        </is>
      </c>
      <c r="AV1170" t="inlineStr">
        <is>
          <t>154273950</t>
        </is>
      </c>
      <c r="AW1170" t="inlineStr">
        <is>
          <t>991002531619702656</t>
        </is>
      </c>
      <c r="AX1170" t="inlineStr">
        <is>
          <t>991002531619702656</t>
        </is>
      </c>
      <c r="AY1170" t="inlineStr">
        <is>
          <t>2258080270002656</t>
        </is>
      </c>
      <c r="AZ1170" t="inlineStr">
        <is>
          <t>BOOK</t>
        </is>
      </c>
      <c r="BB1170" t="inlineStr">
        <is>
          <t>9780632038015</t>
        </is>
      </c>
      <c r="BC1170" t="inlineStr">
        <is>
          <t>32285002187036</t>
        </is>
      </c>
      <c r="BD1170" t="inlineStr">
        <is>
          <t>893622397</t>
        </is>
      </c>
    </row>
    <row r="1171">
      <c r="A1171" t="inlineStr">
        <is>
          <t>No</t>
        </is>
      </c>
      <c r="B1171" t="inlineStr">
        <is>
          <t>QH541 .B7 1989</t>
        </is>
      </c>
      <c r="C1171" t="inlineStr">
        <is>
          <t>0                      QH 0541000B  7           1989</t>
        </is>
      </c>
      <c r="D1171" t="inlineStr">
        <is>
          <t>Ecology in the 20th century : a history / Anna Bramwell.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Bramwell, Anna.</t>
        </is>
      </c>
      <c r="L1171" t="inlineStr">
        <is>
          <t>New Haven : Yale University Press, c1989, 1990 printing.</t>
        </is>
      </c>
      <c r="M1171" t="inlineStr">
        <is>
          <t>1989</t>
        </is>
      </c>
      <c r="O1171" t="inlineStr">
        <is>
          <t>eng</t>
        </is>
      </c>
      <c r="P1171" t="inlineStr">
        <is>
          <t>ctu</t>
        </is>
      </c>
      <c r="R1171" t="inlineStr">
        <is>
          <t xml:space="preserve">QH </t>
        </is>
      </c>
      <c r="S1171" t="n">
        <v>7</v>
      </c>
      <c r="T1171" t="n">
        <v>7</v>
      </c>
      <c r="U1171" t="inlineStr">
        <is>
          <t>2002-09-30</t>
        </is>
      </c>
      <c r="V1171" t="inlineStr">
        <is>
          <t>2002-09-30</t>
        </is>
      </c>
      <c r="W1171" t="inlineStr">
        <is>
          <t>1990-06-27</t>
        </is>
      </c>
      <c r="X1171" t="inlineStr">
        <is>
          <t>1990-06-27</t>
        </is>
      </c>
      <c r="Y1171" t="n">
        <v>779</v>
      </c>
      <c r="Z1171" t="n">
        <v>580</v>
      </c>
      <c r="AA1171" t="n">
        <v>586</v>
      </c>
      <c r="AB1171" t="n">
        <v>6</v>
      </c>
      <c r="AC1171" t="n">
        <v>6</v>
      </c>
      <c r="AD1171" t="n">
        <v>27</v>
      </c>
      <c r="AE1171" t="n">
        <v>27</v>
      </c>
      <c r="AF1171" t="n">
        <v>7</v>
      </c>
      <c r="AG1171" t="n">
        <v>7</v>
      </c>
      <c r="AH1171" t="n">
        <v>4</v>
      </c>
      <c r="AI1171" t="n">
        <v>4</v>
      </c>
      <c r="AJ1171" t="n">
        <v>15</v>
      </c>
      <c r="AK1171" t="n">
        <v>15</v>
      </c>
      <c r="AL1171" t="n">
        <v>5</v>
      </c>
      <c r="AM1171" t="n">
        <v>5</v>
      </c>
      <c r="AN1171" t="n">
        <v>2</v>
      </c>
      <c r="AO1171" t="n">
        <v>2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HYPERLINK("https://creighton-primo.hosted.exlibrisgroup.com/primo-explore/search?tab=default_tab&amp;search_scope=EVERYTHING&amp;vid=01CRU&amp;lang=en_US&amp;offset=0&amp;query=any,contains,991001373379702656","Catalog Record")</f>
        <v/>
      </c>
      <c r="AT1171">
        <f>HYPERLINK("http://www.worldcat.org/oclc/18589426","WorldCat Record")</f>
        <v/>
      </c>
      <c r="AU1171" t="inlineStr">
        <is>
          <t>3768520927:eng</t>
        </is>
      </c>
      <c r="AV1171" t="inlineStr">
        <is>
          <t>18589426</t>
        </is>
      </c>
      <c r="AW1171" t="inlineStr">
        <is>
          <t>991001373379702656</t>
        </is>
      </c>
      <c r="AX1171" t="inlineStr">
        <is>
          <t>991001373379702656</t>
        </is>
      </c>
      <c r="AY1171" t="inlineStr">
        <is>
          <t>2264316060002656</t>
        </is>
      </c>
      <c r="AZ1171" t="inlineStr">
        <is>
          <t>BOOK</t>
        </is>
      </c>
      <c r="BB1171" t="inlineStr">
        <is>
          <t>9780300045215</t>
        </is>
      </c>
      <c r="BC1171" t="inlineStr">
        <is>
          <t>32285000205319</t>
        </is>
      </c>
      <c r="BD1171" t="inlineStr">
        <is>
          <t>893497031</t>
        </is>
      </c>
    </row>
    <row r="1172">
      <c r="A1172" t="inlineStr">
        <is>
          <t>No</t>
        </is>
      </c>
      <c r="B1172" t="inlineStr">
        <is>
          <t>QH541 .B75 1995</t>
        </is>
      </c>
      <c r="C1172" t="inlineStr">
        <is>
          <t>0                      QH 0541000B  75          1995</t>
        </is>
      </c>
      <c r="D1172" t="inlineStr">
        <is>
          <t>Macroecology / James H. Brown.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Brown, James H.</t>
        </is>
      </c>
      <c r="L1172" t="inlineStr">
        <is>
          <t>Chicago : University of Chicago Press, 1995.</t>
        </is>
      </c>
      <c r="M1172" t="inlineStr">
        <is>
          <t>1995</t>
        </is>
      </c>
      <c r="O1172" t="inlineStr">
        <is>
          <t>eng</t>
        </is>
      </c>
      <c r="P1172" t="inlineStr">
        <is>
          <t>ilu</t>
        </is>
      </c>
      <c r="R1172" t="inlineStr">
        <is>
          <t xml:space="preserve">QH </t>
        </is>
      </c>
      <c r="S1172" t="n">
        <v>5</v>
      </c>
      <c r="T1172" t="n">
        <v>5</v>
      </c>
      <c r="U1172" t="inlineStr">
        <is>
          <t>2002-12-20</t>
        </is>
      </c>
      <c r="V1172" t="inlineStr">
        <is>
          <t>2002-12-20</t>
        </is>
      </c>
      <c r="W1172" t="inlineStr">
        <is>
          <t>1996-06-13</t>
        </is>
      </c>
      <c r="X1172" t="inlineStr">
        <is>
          <t>1996-06-13</t>
        </is>
      </c>
      <c r="Y1172" t="n">
        <v>635</v>
      </c>
      <c r="Z1172" t="n">
        <v>496</v>
      </c>
      <c r="AA1172" t="n">
        <v>497</v>
      </c>
      <c r="AB1172" t="n">
        <v>3</v>
      </c>
      <c r="AC1172" t="n">
        <v>3</v>
      </c>
      <c r="AD1172" t="n">
        <v>23</v>
      </c>
      <c r="AE1172" t="n">
        <v>23</v>
      </c>
      <c r="AF1172" t="n">
        <v>9</v>
      </c>
      <c r="AG1172" t="n">
        <v>9</v>
      </c>
      <c r="AH1172" t="n">
        <v>3</v>
      </c>
      <c r="AI1172" t="n">
        <v>3</v>
      </c>
      <c r="AJ1172" t="n">
        <v>14</v>
      </c>
      <c r="AK1172" t="n">
        <v>14</v>
      </c>
      <c r="AL1172" t="n">
        <v>2</v>
      </c>
      <c r="AM1172" t="n">
        <v>2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HYPERLINK("https://creighton-primo.hosted.exlibrisgroup.com/primo-explore/search?tab=default_tab&amp;search_scope=EVERYTHING&amp;vid=01CRU&amp;lang=en_US&amp;offset=0&amp;query=any,contains,991002394369702656","Catalog Record")</f>
        <v/>
      </c>
      <c r="AT1172">
        <f>HYPERLINK("http://www.worldcat.org/oclc/31078972","WorldCat Record")</f>
        <v/>
      </c>
      <c r="AU1172" t="inlineStr">
        <is>
          <t>325119083:eng</t>
        </is>
      </c>
      <c r="AV1172" t="inlineStr">
        <is>
          <t>31078972</t>
        </is>
      </c>
      <c r="AW1172" t="inlineStr">
        <is>
          <t>991002394369702656</t>
        </is>
      </c>
      <c r="AX1172" t="inlineStr">
        <is>
          <t>991002394369702656</t>
        </is>
      </c>
      <c r="AY1172" t="inlineStr">
        <is>
          <t>2271021100002656</t>
        </is>
      </c>
      <c r="AZ1172" t="inlineStr">
        <is>
          <t>BOOK</t>
        </is>
      </c>
      <c r="BB1172" t="inlineStr">
        <is>
          <t>9780226076140</t>
        </is>
      </c>
      <c r="BC1172" t="inlineStr">
        <is>
          <t>32285002192366</t>
        </is>
      </c>
      <c r="BD1172" t="inlineStr">
        <is>
          <t>893232903</t>
        </is>
      </c>
    </row>
    <row r="1173">
      <c r="A1173" t="inlineStr">
        <is>
          <t>No</t>
        </is>
      </c>
      <c r="B1173" t="inlineStr">
        <is>
          <t>QH541 .C343</t>
        </is>
      </c>
      <c r="C1173" t="inlineStr">
        <is>
          <t>0                      QH 0541000C  343</t>
        </is>
      </c>
      <c r="D1173" t="inlineStr">
        <is>
          <t>Environmental biology for engineers : a guide to environmental assessment / George Camougis.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Camougis, George, 1930-</t>
        </is>
      </c>
      <c r="L1173" t="inlineStr">
        <is>
          <t>New York : McGraw-Hill, c1981.</t>
        </is>
      </c>
      <c r="M1173" t="inlineStr">
        <is>
          <t>1981</t>
        </is>
      </c>
      <c r="O1173" t="inlineStr">
        <is>
          <t>eng</t>
        </is>
      </c>
      <c r="P1173" t="inlineStr">
        <is>
          <t>nyu</t>
        </is>
      </c>
      <c r="R1173" t="inlineStr">
        <is>
          <t xml:space="preserve">QH </t>
        </is>
      </c>
      <c r="S1173" t="n">
        <v>3</v>
      </c>
      <c r="T1173" t="n">
        <v>3</v>
      </c>
      <c r="U1173" t="inlineStr">
        <is>
          <t>1997-04-10</t>
        </is>
      </c>
      <c r="V1173" t="inlineStr">
        <is>
          <t>1997-04-10</t>
        </is>
      </c>
      <c r="W1173" t="inlineStr">
        <is>
          <t>1993-04-28</t>
        </is>
      </c>
      <c r="X1173" t="inlineStr">
        <is>
          <t>1993-04-28</t>
        </is>
      </c>
      <c r="Y1173" t="n">
        <v>231</v>
      </c>
      <c r="Z1173" t="n">
        <v>184</v>
      </c>
      <c r="AA1173" t="n">
        <v>186</v>
      </c>
      <c r="AB1173" t="n">
        <v>2</v>
      </c>
      <c r="AC1173" t="n">
        <v>2</v>
      </c>
      <c r="AD1173" t="n">
        <v>2</v>
      </c>
      <c r="AE1173" t="n">
        <v>2</v>
      </c>
      <c r="AF1173" t="n">
        <v>0</v>
      </c>
      <c r="AG1173" t="n">
        <v>0</v>
      </c>
      <c r="AH1173" t="n">
        <v>1</v>
      </c>
      <c r="AI1173" t="n">
        <v>1</v>
      </c>
      <c r="AJ1173" t="n">
        <v>0</v>
      </c>
      <c r="AK1173" t="n">
        <v>0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HYPERLINK("http://catalog.hathitrust.org/Record/000717937","HathiTrust Record")</f>
        <v/>
      </c>
      <c r="AS1173">
        <f>HYPERLINK("https://creighton-primo.hosted.exlibrisgroup.com/primo-explore/search?tab=default_tab&amp;search_scope=EVERYTHING&amp;vid=01CRU&amp;lang=en_US&amp;offset=0&amp;query=any,contains,991004980829702656","Catalog Record")</f>
        <v/>
      </c>
      <c r="AT1173">
        <f>HYPERLINK("http://www.worldcat.org/oclc/6421915","WorldCat Record")</f>
        <v/>
      </c>
      <c r="AU1173" t="inlineStr">
        <is>
          <t>796083133:eng</t>
        </is>
      </c>
      <c r="AV1173" t="inlineStr">
        <is>
          <t>6421915</t>
        </is>
      </c>
      <c r="AW1173" t="inlineStr">
        <is>
          <t>991004980829702656</t>
        </is>
      </c>
      <c r="AX1173" t="inlineStr">
        <is>
          <t>991004980829702656</t>
        </is>
      </c>
      <c r="AY1173" t="inlineStr">
        <is>
          <t>2270213200002656</t>
        </is>
      </c>
      <c r="AZ1173" t="inlineStr">
        <is>
          <t>BOOK</t>
        </is>
      </c>
      <c r="BB1173" t="inlineStr">
        <is>
          <t>9780070096776</t>
        </is>
      </c>
      <c r="BC1173" t="inlineStr">
        <is>
          <t>32285001642049</t>
        </is>
      </c>
      <c r="BD1173" t="inlineStr">
        <is>
          <t>893722682</t>
        </is>
      </c>
    </row>
    <row r="1174">
      <c r="A1174" t="inlineStr">
        <is>
          <t>No</t>
        </is>
      </c>
      <c r="B1174" t="inlineStr">
        <is>
          <t>QH541 .C47</t>
        </is>
      </c>
      <c r="C1174" t="inlineStr">
        <is>
          <t>0                      QH 0541000C  47</t>
        </is>
      </c>
      <c r="D1174" t="inlineStr">
        <is>
          <t>Elements of ecology.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Clarke, George L. (George Leonard), 1905-</t>
        </is>
      </c>
      <c r="L1174" t="inlineStr">
        <is>
          <t>New York : Wiley, [1954]</t>
        </is>
      </c>
      <c r="M1174" t="inlineStr">
        <is>
          <t>1954</t>
        </is>
      </c>
      <c r="O1174" t="inlineStr">
        <is>
          <t>eng</t>
        </is>
      </c>
      <c r="P1174" t="inlineStr">
        <is>
          <t>nyu</t>
        </is>
      </c>
      <c r="Q1174" t="inlineStr">
        <is>
          <t>Contribution no. 704 from the Woods Hole Oceanographic Institution</t>
        </is>
      </c>
      <c r="R1174" t="inlineStr">
        <is>
          <t xml:space="preserve">QH </t>
        </is>
      </c>
      <c r="S1174" t="n">
        <v>2</v>
      </c>
      <c r="T1174" t="n">
        <v>2</v>
      </c>
      <c r="U1174" t="inlineStr">
        <is>
          <t>1999-03-21</t>
        </is>
      </c>
      <c r="V1174" t="inlineStr">
        <is>
          <t>1999-03-21</t>
        </is>
      </c>
      <c r="W1174" t="inlineStr">
        <is>
          <t>1994-03-04</t>
        </is>
      </c>
      <c r="X1174" t="inlineStr">
        <is>
          <t>1994-03-04</t>
        </is>
      </c>
      <c r="Y1174" t="n">
        <v>567</v>
      </c>
      <c r="Z1174" t="n">
        <v>461</v>
      </c>
      <c r="AA1174" t="n">
        <v>685</v>
      </c>
      <c r="AB1174" t="n">
        <v>3</v>
      </c>
      <c r="AC1174" t="n">
        <v>4</v>
      </c>
      <c r="AD1174" t="n">
        <v>11</v>
      </c>
      <c r="AE1174" t="n">
        <v>18</v>
      </c>
      <c r="AF1174" t="n">
        <v>5</v>
      </c>
      <c r="AG1174" t="n">
        <v>5</v>
      </c>
      <c r="AH1174" t="n">
        <v>2</v>
      </c>
      <c r="AI1174" t="n">
        <v>4</v>
      </c>
      <c r="AJ1174" t="n">
        <v>5</v>
      </c>
      <c r="AK1174" t="n">
        <v>10</v>
      </c>
      <c r="AL1174" t="n">
        <v>2</v>
      </c>
      <c r="AM1174" t="n">
        <v>3</v>
      </c>
      <c r="AN1174" t="n">
        <v>0</v>
      </c>
      <c r="AO1174" t="n">
        <v>0</v>
      </c>
      <c r="AP1174" t="inlineStr">
        <is>
          <t>Yes</t>
        </is>
      </c>
      <c r="AQ1174" t="inlineStr">
        <is>
          <t>No</t>
        </is>
      </c>
      <c r="AR1174">
        <f>HYPERLINK("http://catalog.hathitrust.org/Record/001492684","HathiTrust Record")</f>
        <v/>
      </c>
      <c r="AS1174">
        <f>HYPERLINK("https://creighton-primo.hosted.exlibrisgroup.com/primo-explore/search?tab=default_tab&amp;search_scope=EVERYTHING&amp;vid=01CRU&amp;lang=en_US&amp;offset=0&amp;query=any,contains,991002347979702656","Catalog Record")</f>
        <v/>
      </c>
      <c r="AT1174">
        <f>HYPERLINK("http://www.worldcat.org/oclc/324879","WorldCat Record")</f>
        <v/>
      </c>
      <c r="AU1174" t="inlineStr">
        <is>
          <t>1412252:eng</t>
        </is>
      </c>
      <c r="AV1174" t="inlineStr">
        <is>
          <t>324879</t>
        </is>
      </c>
      <c r="AW1174" t="inlineStr">
        <is>
          <t>991002347979702656</t>
        </is>
      </c>
      <c r="AX1174" t="inlineStr">
        <is>
          <t>991002347979702656</t>
        </is>
      </c>
      <c r="AY1174" t="inlineStr">
        <is>
          <t>2254768370002656</t>
        </is>
      </c>
      <c r="AZ1174" t="inlineStr">
        <is>
          <t>BOOK</t>
        </is>
      </c>
      <c r="BC1174" t="inlineStr">
        <is>
          <t>32285001851756</t>
        </is>
      </c>
      <c r="BD1174" t="inlineStr">
        <is>
          <t>893322823</t>
        </is>
      </c>
    </row>
    <row r="1175">
      <c r="A1175" t="inlineStr">
        <is>
          <t>No</t>
        </is>
      </c>
      <c r="B1175" t="inlineStr">
        <is>
          <t>QH541 .C62</t>
        </is>
      </c>
      <c r="C1175" t="inlineStr">
        <is>
          <t>0                      QH 0541000C  62</t>
        </is>
      </c>
      <c r="D1175" t="inlineStr">
        <is>
          <t>Food webs and niche space / Joel E. Cohen.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Cohen, Joel E.</t>
        </is>
      </c>
      <c r="L1175" t="inlineStr">
        <is>
          <t>Princeton, N.J. : Princeton University Press, c1978.</t>
        </is>
      </c>
      <c r="M1175" t="inlineStr">
        <is>
          <t>1978</t>
        </is>
      </c>
      <c r="O1175" t="inlineStr">
        <is>
          <t>eng</t>
        </is>
      </c>
      <c r="P1175" t="inlineStr">
        <is>
          <t>nju</t>
        </is>
      </c>
      <c r="Q1175" t="inlineStr">
        <is>
          <t>Monographs in population biology ; 11</t>
        </is>
      </c>
      <c r="R1175" t="inlineStr">
        <is>
          <t xml:space="preserve">QH </t>
        </is>
      </c>
      <c r="S1175" t="n">
        <v>7</v>
      </c>
      <c r="T1175" t="n">
        <v>7</v>
      </c>
      <c r="U1175" t="inlineStr">
        <is>
          <t>1996-02-22</t>
        </is>
      </c>
      <c r="V1175" t="inlineStr">
        <is>
          <t>1996-02-22</t>
        </is>
      </c>
      <c r="W1175" t="inlineStr">
        <is>
          <t>1993-04-28</t>
        </is>
      </c>
      <c r="X1175" t="inlineStr">
        <is>
          <t>1993-04-28</t>
        </is>
      </c>
      <c r="Y1175" t="n">
        <v>576</v>
      </c>
      <c r="Z1175" t="n">
        <v>424</v>
      </c>
      <c r="AA1175" t="n">
        <v>591</v>
      </c>
      <c r="AB1175" t="n">
        <v>4</v>
      </c>
      <c r="AC1175" t="n">
        <v>4</v>
      </c>
      <c r="AD1175" t="n">
        <v>12</v>
      </c>
      <c r="AE1175" t="n">
        <v>22</v>
      </c>
      <c r="AF1175" t="n">
        <v>3</v>
      </c>
      <c r="AG1175" t="n">
        <v>9</v>
      </c>
      <c r="AH1175" t="n">
        <v>4</v>
      </c>
      <c r="AI1175" t="n">
        <v>5</v>
      </c>
      <c r="AJ1175" t="n">
        <v>6</v>
      </c>
      <c r="AK1175" t="n">
        <v>12</v>
      </c>
      <c r="AL1175" t="n">
        <v>3</v>
      </c>
      <c r="AM1175" t="n">
        <v>3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No</t>
        </is>
      </c>
      <c r="AS1175">
        <f>HYPERLINK("https://creighton-primo.hosted.exlibrisgroup.com/primo-explore/search?tab=default_tab&amp;search_scope=EVERYTHING&amp;vid=01CRU&amp;lang=en_US&amp;offset=0&amp;query=any,contains,991004508609702656","Catalog Record")</f>
        <v/>
      </c>
      <c r="AT1175">
        <f>HYPERLINK("http://www.worldcat.org/oclc/3750765","WorldCat Record")</f>
        <v/>
      </c>
      <c r="AU1175" t="inlineStr">
        <is>
          <t>442400:eng</t>
        </is>
      </c>
      <c r="AV1175" t="inlineStr">
        <is>
          <t>3750765</t>
        </is>
      </c>
      <c r="AW1175" t="inlineStr">
        <is>
          <t>991004508609702656</t>
        </is>
      </c>
      <c r="AX1175" t="inlineStr">
        <is>
          <t>991004508609702656</t>
        </is>
      </c>
      <c r="AY1175" t="inlineStr">
        <is>
          <t>2256747520002656</t>
        </is>
      </c>
      <c r="AZ1175" t="inlineStr">
        <is>
          <t>BOOK</t>
        </is>
      </c>
      <c r="BB1175" t="inlineStr">
        <is>
          <t>9780691082011</t>
        </is>
      </c>
      <c r="BC1175" t="inlineStr">
        <is>
          <t>32285001642056</t>
        </is>
      </c>
      <c r="BD1175" t="inlineStr">
        <is>
          <t>893624804</t>
        </is>
      </c>
    </row>
    <row r="1176">
      <c r="A1176" t="inlineStr">
        <is>
          <t>No</t>
        </is>
      </c>
      <c r="B1176" t="inlineStr">
        <is>
          <t>QH541 .C627 1986</t>
        </is>
      </c>
      <c r="C1176" t="inlineStr">
        <is>
          <t>0                      QH 0541000C  627         1986</t>
        </is>
      </c>
      <c r="D1176" t="inlineStr">
        <is>
          <t>Ecology / Paul Colinvaux.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Colinvaux, Paul, 1930-</t>
        </is>
      </c>
      <c r="L1176" t="inlineStr">
        <is>
          <t>New York : Wiley, c1986.</t>
        </is>
      </c>
      <c r="M1176" t="inlineStr">
        <is>
          <t>1986</t>
        </is>
      </c>
      <c r="O1176" t="inlineStr">
        <is>
          <t>eng</t>
        </is>
      </c>
      <c r="P1176" t="inlineStr">
        <is>
          <t>nyu</t>
        </is>
      </c>
      <c r="R1176" t="inlineStr">
        <is>
          <t xml:space="preserve">QH </t>
        </is>
      </c>
      <c r="S1176" t="n">
        <v>40</v>
      </c>
      <c r="T1176" t="n">
        <v>40</v>
      </c>
      <c r="U1176" t="inlineStr">
        <is>
          <t>1998-12-13</t>
        </is>
      </c>
      <c r="V1176" t="inlineStr">
        <is>
          <t>1998-12-13</t>
        </is>
      </c>
      <c r="W1176" t="inlineStr">
        <is>
          <t>1998-10-12</t>
        </is>
      </c>
      <c r="X1176" t="inlineStr">
        <is>
          <t>1998-10-12</t>
        </is>
      </c>
      <c r="Y1176" t="n">
        <v>308</v>
      </c>
      <c r="Z1176" t="n">
        <v>160</v>
      </c>
      <c r="AA1176" t="n">
        <v>164</v>
      </c>
      <c r="AB1176" t="n">
        <v>2</v>
      </c>
      <c r="AC1176" t="n">
        <v>2</v>
      </c>
      <c r="AD1176" t="n">
        <v>3</v>
      </c>
      <c r="AE1176" t="n">
        <v>3</v>
      </c>
      <c r="AF1176" t="n">
        <v>2</v>
      </c>
      <c r="AG1176" t="n">
        <v>2</v>
      </c>
      <c r="AH1176" t="n">
        <v>1</v>
      </c>
      <c r="AI1176" t="n">
        <v>1</v>
      </c>
      <c r="AJ1176" t="n">
        <v>1</v>
      </c>
      <c r="AK1176" t="n">
        <v>1</v>
      </c>
      <c r="AL1176" t="n">
        <v>0</v>
      </c>
      <c r="AM1176" t="n">
        <v>0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HYPERLINK("https://creighton-primo.hosted.exlibrisgroup.com/primo-explore/search?tab=default_tab&amp;search_scope=EVERYTHING&amp;vid=01CRU&amp;lang=en_US&amp;offset=0&amp;query=any,contains,991000622509702656","Catalog Record")</f>
        <v/>
      </c>
      <c r="AT1176">
        <f>HYPERLINK("http://www.worldcat.org/oclc/11972627","WorldCat Record")</f>
        <v/>
      </c>
      <c r="AU1176" t="inlineStr">
        <is>
          <t>339837841:eng</t>
        </is>
      </c>
      <c r="AV1176" t="inlineStr">
        <is>
          <t>11972627</t>
        </is>
      </c>
      <c r="AW1176" t="inlineStr">
        <is>
          <t>991000622509702656</t>
        </is>
      </c>
      <c r="AX1176" t="inlineStr">
        <is>
          <t>991000622509702656</t>
        </is>
      </c>
      <c r="AY1176" t="inlineStr">
        <is>
          <t>2255789920002656</t>
        </is>
      </c>
      <c r="AZ1176" t="inlineStr">
        <is>
          <t>BOOK</t>
        </is>
      </c>
      <c r="BB1176" t="inlineStr">
        <is>
          <t>9780471165026</t>
        </is>
      </c>
      <c r="BC1176" t="inlineStr">
        <is>
          <t>32285003480414</t>
        </is>
      </c>
      <c r="BD1176" t="inlineStr">
        <is>
          <t>893496425</t>
        </is>
      </c>
    </row>
    <row r="1177">
      <c r="A1177" t="inlineStr">
        <is>
          <t>No</t>
        </is>
      </c>
      <c r="B1177" t="inlineStr">
        <is>
          <t>QH541 .C64</t>
        </is>
      </c>
      <c r="C1177" t="inlineStr">
        <is>
          <t>0                      QH 0541000C  64</t>
        </is>
      </c>
      <c r="D1177" t="inlineStr">
        <is>
          <t>Why big fierce animals are rare : an ecologist's perspective / Paul Colinvaux.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Colinvaux, Paul, 1930-</t>
        </is>
      </c>
      <c r="L1177" t="inlineStr">
        <is>
          <t>Princeton, N.J. : Princeton University Press, c1978.</t>
        </is>
      </c>
      <c r="M1177" t="inlineStr">
        <is>
          <t>1978</t>
        </is>
      </c>
      <c r="O1177" t="inlineStr">
        <is>
          <t>eng</t>
        </is>
      </c>
      <c r="P1177" t="inlineStr">
        <is>
          <t>nju</t>
        </is>
      </c>
      <c r="R1177" t="inlineStr">
        <is>
          <t xml:space="preserve">QH </t>
        </is>
      </c>
      <c r="S1177" t="n">
        <v>5</v>
      </c>
      <c r="T1177" t="n">
        <v>5</v>
      </c>
      <c r="U1177" t="inlineStr">
        <is>
          <t>1998-07-20</t>
        </is>
      </c>
      <c r="V1177" t="inlineStr">
        <is>
          <t>1998-07-20</t>
        </is>
      </c>
      <c r="W1177" t="inlineStr">
        <is>
          <t>1995-02-24</t>
        </is>
      </c>
      <c r="X1177" t="inlineStr">
        <is>
          <t>1995-02-24</t>
        </is>
      </c>
      <c r="Y1177" t="n">
        <v>1030</v>
      </c>
      <c r="Z1177" t="n">
        <v>907</v>
      </c>
      <c r="AA1177" t="n">
        <v>1019</v>
      </c>
      <c r="AB1177" t="n">
        <v>5</v>
      </c>
      <c r="AC1177" t="n">
        <v>6</v>
      </c>
      <c r="AD1177" t="n">
        <v>25</v>
      </c>
      <c r="AE1177" t="n">
        <v>28</v>
      </c>
      <c r="AF1177" t="n">
        <v>10</v>
      </c>
      <c r="AG1177" t="n">
        <v>11</v>
      </c>
      <c r="AH1177" t="n">
        <v>4</v>
      </c>
      <c r="AI1177" t="n">
        <v>4</v>
      </c>
      <c r="AJ1177" t="n">
        <v>13</v>
      </c>
      <c r="AK1177" t="n">
        <v>14</v>
      </c>
      <c r="AL1177" t="n">
        <v>4</v>
      </c>
      <c r="AM1177" t="n">
        <v>5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HYPERLINK("https://creighton-primo.hosted.exlibrisgroup.com/primo-explore/search?tab=default_tab&amp;search_scope=EVERYTHING&amp;vid=01CRU&amp;lang=en_US&amp;offset=0&amp;query=any,contains,991004444569702656","Catalog Record")</f>
        <v/>
      </c>
      <c r="AT1177">
        <f>HYPERLINK("http://www.worldcat.org/oclc/3480958","WorldCat Record")</f>
        <v/>
      </c>
      <c r="AU1177" t="inlineStr">
        <is>
          <t>10792277098:eng</t>
        </is>
      </c>
      <c r="AV1177" t="inlineStr">
        <is>
          <t>3480958</t>
        </is>
      </c>
      <c r="AW1177" t="inlineStr">
        <is>
          <t>991004444569702656</t>
        </is>
      </c>
      <c r="AX1177" t="inlineStr">
        <is>
          <t>991004444569702656</t>
        </is>
      </c>
      <c r="AY1177" t="inlineStr">
        <is>
          <t>2265122360002656</t>
        </is>
      </c>
      <c r="AZ1177" t="inlineStr">
        <is>
          <t>BOOK</t>
        </is>
      </c>
      <c r="BB1177" t="inlineStr">
        <is>
          <t>9780691081946</t>
        </is>
      </c>
      <c r="BC1177" t="inlineStr">
        <is>
          <t>32285002010287</t>
        </is>
      </c>
      <c r="BD1177" t="inlineStr">
        <is>
          <t>893618676</t>
        </is>
      </c>
    </row>
    <row r="1178">
      <c r="A1178" t="inlineStr">
        <is>
          <t>No</t>
        </is>
      </c>
      <c r="B1178" t="inlineStr">
        <is>
          <t>QH541 .C644 1986</t>
        </is>
      </c>
      <c r="C1178" t="inlineStr">
        <is>
          <t>0                      QH 0541000C  644         1986</t>
        </is>
      </c>
      <c r="D1178" t="inlineStr">
        <is>
          <t>Community ecology / edited by Jared Diamond, Ted J. Case.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L1178" t="inlineStr">
        <is>
          <t>New York : Harper &amp; Row, c1986.</t>
        </is>
      </c>
      <c r="M1178" t="inlineStr">
        <is>
          <t>1986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QH </t>
        </is>
      </c>
      <c r="S1178" t="n">
        <v>9</v>
      </c>
      <c r="T1178" t="n">
        <v>9</v>
      </c>
      <c r="U1178" t="inlineStr">
        <is>
          <t>1996-02-15</t>
        </is>
      </c>
      <c r="V1178" t="inlineStr">
        <is>
          <t>1996-02-15</t>
        </is>
      </c>
      <c r="W1178" t="inlineStr">
        <is>
          <t>1993-04-28</t>
        </is>
      </c>
      <c r="X1178" t="inlineStr">
        <is>
          <t>1993-04-28</t>
        </is>
      </c>
      <c r="Y1178" t="n">
        <v>527</v>
      </c>
      <c r="Z1178" t="n">
        <v>401</v>
      </c>
      <c r="AA1178" t="n">
        <v>402</v>
      </c>
      <c r="AB1178" t="n">
        <v>4</v>
      </c>
      <c r="AC1178" t="n">
        <v>4</v>
      </c>
      <c r="AD1178" t="n">
        <v>16</v>
      </c>
      <c r="AE1178" t="n">
        <v>16</v>
      </c>
      <c r="AF1178" t="n">
        <v>7</v>
      </c>
      <c r="AG1178" t="n">
        <v>7</v>
      </c>
      <c r="AH1178" t="n">
        <v>1</v>
      </c>
      <c r="AI1178" t="n">
        <v>1</v>
      </c>
      <c r="AJ1178" t="n">
        <v>10</v>
      </c>
      <c r="AK1178" t="n">
        <v>10</v>
      </c>
      <c r="AL1178" t="n">
        <v>3</v>
      </c>
      <c r="AM1178" t="n">
        <v>3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Yes</t>
        </is>
      </c>
      <c r="AR1178">
        <f>HYPERLINK("http://catalog.hathitrust.org/Record/000586895","HathiTrust Record")</f>
        <v/>
      </c>
      <c r="AS1178">
        <f>HYPERLINK("https://creighton-primo.hosted.exlibrisgroup.com/primo-explore/search?tab=default_tab&amp;search_scope=EVERYTHING&amp;vid=01CRU&amp;lang=en_US&amp;offset=0&amp;query=any,contains,991000636389702656","Catalog Record")</f>
        <v/>
      </c>
      <c r="AT1178">
        <f>HYPERLINK("http://www.worldcat.org/oclc/12081603","WorldCat Record")</f>
        <v/>
      </c>
      <c r="AU1178" t="inlineStr">
        <is>
          <t>355180690:eng</t>
        </is>
      </c>
      <c r="AV1178" t="inlineStr">
        <is>
          <t>12081603</t>
        </is>
      </c>
      <c r="AW1178" t="inlineStr">
        <is>
          <t>991000636389702656</t>
        </is>
      </c>
      <c r="AX1178" t="inlineStr">
        <is>
          <t>991000636389702656</t>
        </is>
      </c>
      <c r="AY1178" t="inlineStr">
        <is>
          <t>2266416640002656</t>
        </is>
      </c>
      <c r="AZ1178" t="inlineStr">
        <is>
          <t>BOOK</t>
        </is>
      </c>
      <c r="BB1178" t="inlineStr">
        <is>
          <t>9780060412029</t>
        </is>
      </c>
      <c r="BC1178" t="inlineStr">
        <is>
          <t>32285001642064</t>
        </is>
      </c>
      <c r="BD1178" t="inlineStr">
        <is>
          <t>893351600</t>
        </is>
      </c>
    </row>
    <row r="1179">
      <c r="A1179" t="inlineStr">
        <is>
          <t>No</t>
        </is>
      </c>
      <c r="B1179" t="inlineStr">
        <is>
          <t>QH541 .C66 1986</t>
        </is>
      </c>
      <c r="C1179" t="inlineStr">
        <is>
          <t>0                      QH 0541000C  66          1986</t>
        </is>
      </c>
      <c r="D1179" t="inlineStr">
        <is>
          <t>Community ecology : pattern and process / edited by Jiro Kikkawa, Derek J. Anderson.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L1179" t="inlineStr">
        <is>
          <t>Melbourne ; Boston : Blackwell Scientific Publications, 1986.</t>
        </is>
      </c>
      <c r="M1179" t="inlineStr">
        <is>
          <t>1986</t>
        </is>
      </c>
      <c r="O1179" t="inlineStr">
        <is>
          <t>eng</t>
        </is>
      </c>
      <c r="P1179" t="inlineStr">
        <is>
          <t xml:space="preserve">at </t>
        </is>
      </c>
      <c r="R1179" t="inlineStr">
        <is>
          <t xml:space="preserve">QH </t>
        </is>
      </c>
      <c r="S1179" t="n">
        <v>16</v>
      </c>
      <c r="T1179" t="n">
        <v>16</v>
      </c>
      <c r="U1179" t="inlineStr">
        <is>
          <t>1996-02-24</t>
        </is>
      </c>
      <c r="V1179" t="inlineStr">
        <is>
          <t>1996-02-24</t>
        </is>
      </c>
      <c r="W1179" t="inlineStr">
        <is>
          <t>1993-04-28</t>
        </is>
      </c>
      <c r="X1179" t="inlineStr">
        <is>
          <t>1993-04-28</t>
        </is>
      </c>
      <c r="Y1179" t="n">
        <v>396</v>
      </c>
      <c r="Z1179" t="n">
        <v>224</v>
      </c>
      <c r="AA1179" t="n">
        <v>225</v>
      </c>
      <c r="AB1179" t="n">
        <v>1</v>
      </c>
      <c r="AC1179" t="n">
        <v>1</v>
      </c>
      <c r="AD1179" t="n">
        <v>9</v>
      </c>
      <c r="AE1179" t="n">
        <v>9</v>
      </c>
      <c r="AF1179" t="n">
        <v>4</v>
      </c>
      <c r="AG1179" t="n">
        <v>4</v>
      </c>
      <c r="AH1179" t="n">
        <v>3</v>
      </c>
      <c r="AI1179" t="n">
        <v>3</v>
      </c>
      <c r="AJ1179" t="n">
        <v>5</v>
      </c>
      <c r="AK1179" t="n">
        <v>5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HYPERLINK("http://catalog.hathitrust.org/Record/000813035","HathiTrust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HYPERLINK("https://creighton-primo.hosted.exlibrisgroup.com/primo-explore/search?tab=default_tab&amp;search_scope=EVERYTHING&amp;vid=01CRU&amp;lang=en_US&amp;offset=0&amp;query=any,contains,991000904349702656","Catalog Record")</f>
        <v/>
      </c>
      <c r="AT1179">
        <f>HYPERLINK("http://www.worldcat.org/oclc/14080507","WorldCat Record")</f>
        <v/>
      </c>
      <c r="AU1179" t="inlineStr">
        <is>
          <t>889292435:eng</t>
        </is>
      </c>
      <c r="AV1179" t="inlineStr">
        <is>
          <t>14080507</t>
        </is>
      </c>
      <c r="AW1179" t="inlineStr">
        <is>
          <t>991000904349702656</t>
        </is>
      </c>
      <c r="AX1179" t="inlineStr">
        <is>
          <t>991000904349702656</t>
        </is>
      </c>
      <c r="AY1179" t="inlineStr">
        <is>
          <t>2268497170002656</t>
        </is>
      </c>
      <c r="AZ1179" t="inlineStr">
        <is>
          <t>BOOK</t>
        </is>
      </c>
      <c r="BB1179" t="inlineStr">
        <is>
          <t>9780867932720</t>
        </is>
      </c>
      <c r="BC1179" t="inlineStr">
        <is>
          <t>32285001642072</t>
        </is>
      </c>
      <c r="BD1179" t="inlineStr">
        <is>
          <t>893339990</t>
        </is>
      </c>
    </row>
    <row r="1180">
      <c r="A1180" t="inlineStr">
        <is>
          <t>No</t>
        </is>
      </c>
      <c r="B1180" t="inlineStr">
        <is>
          <t>QH541 .D35 1972</t>
        </is>
      </c>
      <c r="C1180" t="inlineStr">
        <is>
          <t>0                      QH 0541000D  35          1972</t>
        </is>
      </c>
      <c r="D1180" t="inlineStr">
        <is>
          <t>Planet in peril : man and the biosphere today / [by] Raymond F. Dasmann.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Dasmann, Raymond Fredric, 1919-2002.</t>
        </is>
      </c>
      <c r="L1180" t="inlineStr">
        <is>
          <t>New York : World Pub., [1972]</t>
        </is>
      </c>
      <c r="M1180" t="inlineStr">
        <is>
          <t>1972</t>
        </is>
      </c>
      <c r="O1180" t="inlineStr">
        <is>
          <t>eng</t>
        </is>
      </c>
      <c r="P1180" t="inlineStr">
        <is>
          <t>nyu</t>
        </is>
      </c>
      <c r="R1180" t="inlineStr">
        <is>
          <t xml:space="preserve">QH </t>
        </is>
      </c>
      <c r="S1180" t="n">
        <v>6</v>
      </c>
      <c r="T1180" t="n">
        <v>6</v>
      </c>
      <c r="U1180" t="inlineStr">
        <is>
          <t>2002-09-30</t>
        </is>
      </c>
      <c r="V1180" t="inlineStr">
        <is>
          <t>2002-09-30</t>
        </is>
      </c>
      <c r="W1180" t="inlineStr">
        <is>
          <t>1994-12-01</t>
        </is>
      </c>
      <c r="X1180" t="inlineStr">
        <is>
          <t>1994-12-01</t>
        </is>
      </c>
      <c r="Y1180" t="n">
        <v>400</v>
      </c>
      <c r="Z1180" t="n">
        <v>370</v>
      </c>
      <c r="AA1180" t="n">
        <v>402</v>
      </c>
      <c r="AB1180" t="n">
        <v>3</v>
      </c>
      <c r="AC1180" t="n">
        <v>4</v>
      </c>
      <c r="AD1180" t="n">
        <v>12</v>
      </c>
      <c r="AE1180" t="n">
        <v>14</v>
      </c>
      <c r="AF1180" t="n">
        <v>4</v>
      </c>
      <c r="AG1180" t="n">
        <v>4</v>
      </c>
      <c r="AH1180" t="n">
        <v>2</v>
      </c>
      <c r="AI1180" t="n">
        <v>3</v>
      </c>
      <c r="AJ1180" t="n">
        <v>4</v>
      </c>
      <c r="AK1180" t="n">
        <v>5</v>
      </c>
      <c r="AL1180" t="n">
        <v>2</v>
      </c>
      <c r="AM1180" t="n">
        <v>3</v>
      </c>
      <c r="AN1180" t="n">
        <v>1</v>
      </c>
      <c r="AO1180" t="n">
        <v>1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HYPERLINK("http://catalog.hathitrust.org/Record/000004897","HathiTrust Record")</f>
        <v/>
      </c>
      <c r="AS1180">
        <f>HYPERLINK("https://creighton-primo.hosted.exlibrisgroup.com/primo-explore/search?tab=default_tab&amp;search_scope=EVERYTHING&amp;vid=01CRU&amp;lang=en_US&amp;offset=0&amp;query=any,contains,991002412569702656","Catalog Record")</f>
        <v/>
      </c>
      <c r="AT1180">
        <f>HYPERLINK("http://www.worldcat.org/oclc/340353","WorldCat Record")</f>
        <v/>
      </c>
      <c r="AU1180" t="inlineStr">
        <is>
          <t>268531734:eng</t>
        </is>
      </c>
      <c r="AV1180" t="inlineStr">
        <is>
          <t>340353</t>
        </is>
      </c>
      <c r="AW1180" t="inlineStr">
        <is>
          <t>991002412569702656</t>
        </is>
      </c>
      <c r="AX1180" t="inlineStr">
        <is>
          <t>991002412569702656</t>
        </is>
      </c>
      <c r="AY1180" t="inlineStr">
        <is>
          <t>2262510600002656</t>
        </is>
      </c>
      <c r="AZ1180" t="inlineStr">
        <is>
          <t>BOOK</t>
        </is>
      </c>
      <c r="BB1180" t="inlineStr">
        <is>
          <t>9780529044549</t>
        </is>
      </c>
      <c r="BC1180" t="inlineStr">
        <is>
          <t>32285001969160</t>
        </is>
      </c>
      <c r="BD1180" t="inlineStr">
        <is>
          <t>893616083</t>
        </is>
      </c>
    </row>
    <row r="1181">
      <c r="A1181" t="inlineStr">
        <is>
          <t>No</t>
        </is>
      </c>
      <c r="B1181" t="inlineStr">
        <is>
          <t>QH541 .E317</t>
        </is>
      </c>
      <c r="C1181" t="inlineStr">
        <is>
          <t>0                      QH 0541000E  317</t>
        </is>
      </c>
      <c r="D1181" t="inlineStr">
        <is>
          <t>Ecological succession / edited by Frank B. Golley.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Stroudsburg, Pa. : Dowden, Hutchinson &amp; Ross ; New York: exclusive distributor, Halsted Press, c1977.</t>
        </is>
      </c>
      <c r="M1181" t="inlineStr">
        <is>
          <t>1977</t>
        </is>
      </c>
      <c r="O1181" t="inlineStr">
        <is>
          <t>eng</t>
        </is>
      </c>
      <c r="P1181" t="inlineStr">
        <is>
          <t>pau</t>
        </is>
      </c>
      <c r="Q1181" t="inlineStr">
        <is>
          <t>Benchmark papers in ecology ; 5</t>
        </is>
      </c>
      <c r="R1181" t="inlineStr">
        <is>
          <t xml:space="preserve">QH </t>
        </is>
      </c>
      <c r="S1181" t="n">
        <v>9</v>
      </c>
      <c r="T1181" t="n">
        <v>9</v>
      </c>
      <c r="U1181" t="inlineStr">
        <is>
          <t>2000-04-16</t>
        </is>
      </c>
      <c r="V1181" t="inlineStr">
        <is>
          <t>2000-04-16</t>
        </is>
      </c>
      <c r="W1181" t="inlineStr">
        <is>
          <t>1993-04-28</t>
        </is>
      </c>
      <c r="X1181" t="inlineStr">
        <is>
          <t>1993-04-28</t>
        </is>
      </c>
      <c r="Y1181" t="n">
        <v>616</v>
      </c>
      <c r="Z1181" t="n">
        <v>475</v>
      </c>
      <c r="AA1181" t="n">
        <v>476</v>
      </c>
      <c r="AB1181" t="n">
        <v>4</v>
      </c>
      <c r="AC1181" t="n">
        <v>4</v>
      </c>
      <c r="AD1181" t="n">
        <v>15</v>
      </c>
      <c r="AE1181" t="n">
        <v>15</v>
      </c>
      <c r="AF1181" t="n">
        <v>6</v>
      </c>
      <c r="AG1181" t="n">
        <v>6</v>
      </c>
      <c r="AH1181" t="n">
        <v>3</v>
      </c>
      <c r="AI1181" t="n">
        <v>3</v>
      </c>
      <c r="AJ1181" t="n">
        <v>6</v>
      </c>
      <c r="AK1181" t="n">
        <v>6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HYPERLINK("http://catalog.hathitrust.org/Record/000214271","HathiTrust Record")</f>
        <v/>
      </c>
      <c r="AS1181">
        <f>HYPERLINK("https://creighton-primo.hosted.exlibrisgroup.com/primo-explore/search?tab=default_tab&amp;search_scope=EVERYTHING&amp;vid=01CRU&amp;lang=en_US&amp;offset=0&amp;query=any,contains,991004302269702656","Catalog Record")</f>
        <v/>
      </c>
      <c r="AT1181">
        <f>HYPERLINK("http://www.worldcat.org/oclc/2968826","WorldCat Record")</f>
        <v/>
      </c>
      <c r="AU1181" t="inlineStr">
        <is>
          <t>54163452:eng</t>
        </is>
      </c>
      <c r="AV1181" t="inlineStr">
        <is>
          <t>2968826</t>
        </is>
      </c>
      <c r="AW1181" t="inlineStr">
        <is>
          <t>991004302269702656</t>
        </is>
      </c>
      <c r="AX1181" t="inlineStr">
        <is>
          <t>991004302269702656</t>
        </is>
      </c>
      <c r="AY1181" t="inlineStr">
        <is>
          <t>2268908100002656</t>
        </is>
      </c>
      <c r="AZ1181" t="inlineStr">
        <is>
          <t>BOOK</t>
        </is>
      </c>
      <c r="BB1181" t="inlineStr">
        <is>
          <t>9780879332563</t>
        </is>
      </c>
      <c r="BC1181" t="inlineStr">
        <is>
          <t>32285001642098</t>
        </is>
      </c>
      <c r="BD1181" t="inlineStr">
        <is>
          <t>893423636</t>
        </is>
      </c>
    </row>
    <row r="1182">
      <c r="A1182" t="inlineStr">
        <is>
          <t>No</t>
        </is>
      </c>
      <c r="B1182" t="inlineStr">
        <is>
          <t>QH541 .E4 1958a</t>
        </is>
      </c>
      <c r="C1182" t="inlineStr">
        <is>
          <t>0                      QH 0541000E  4           1958a</t>
        </is>
      </c>
      <c r="D1182" t="inlineStr">
        <is>
          <t>The ecology of invasions by animals and plants.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Elton, Charles S. (Charles Sutherland), 1900-1991.</t>
        </is>
      </c>
      <c r="L1182" t="inlineStr">
        <is>
          <t>London : Methuen ; New York : Wiley, [1958]</t>
        </is>
      </c>
      <c r="M1182" t="inlineStr">
        <is>
          <t>1958</t>
        </is>
      </c>
      <c r="O1182" t="inlineStr">
        <is>
          <t>eng</t>
        </is>
      </c>
      <c r="P1182" t="inlineStr">
        <is>
          <t>enk</t>
        </is>
      </c>
      <c r="R1182" t="inlineStr">
        <is>
          <t xml:space="preserve">QH </t>
        </is>
      </c>
      <c r="S1182" t="n">
        <v>7</v>
      </c>
      <c r="T1182" t="n">
        <v>7</v>
      </c>
      <c r="U1182" t="inlineStr">
        <is>
          <t>2000-02-21</t>
        </is>
      </c>
      <c r="V1182" t="inlineStr">
        <is>
          <t>2000-02-21</t>
        </is>
      </c>
      <c r="W1182" t="inlineStr">
        <is>
          <t>1994-03-04</t>
        </is>
      </c>
      <c r="X1182" t="inlineStr">
        <is>
          <t>1994-03-04</t>
        </is>
      </c>
      <c r="Y1182" t="n">
        <v>438</v>
      </c>
      <c r="Z1182" t="n">
        <v>415</v>
      </c>
      <c r="AA1182" t="n">
        <v>1275</v>
      </c>
      <c r="AB1182" t="n">
        <v>4</v>
      </c>
      <c r="AC1182" t="n">
        <v>10</v>
      </c>
      <c r="AD1182" t="n">
        <v>19</v>
      </c>
      <c r="AE1182" t="n">
        <v>50</v>
      </c>
      <c r="AF1182" t="n">
        <v>9</v>
      </c>
      <c r="AG1182" t="n">
        <v>22</v>
      </c>
      <c r="AH1182" t="n">
        <v>3</v>
      </c>
      <c r="AI1182" t="n">
        <v>10</v>
      </c>
      <c r="AJ1182" t="n">
        <v>8</v>
      </c>
      <c r="AK1182" t="n">
        <v>21</v>
      </c>
      <c r="AL1182" t="n">
        <v>3</v>
      </c>
      <c r="AM1182" t="n">
        <v>9</v>
      </c>
      <c r="AN1182" t="n">
        <v>0</v>
      </c>
      <c r="AO1182" t="n">
        <v>1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HYPERLINK("http://catalog.hathitrust.org/Record/102449710","HathiTrust Record")</f>
        <v/>
      </c>
      <c r="AS1182">
        <f>HYPERLINK("https://creighton-primo.hosted.exlibrisgroup.com/primo-explore/search?tab=default_tab&amp;search_scope=EVERYTHING&amp;vid=01CRU&amp;lang=en_US&amp;offset=0&amp;query=any,contains,991004052249702656","Catalog Record")</f>
        <v/>
      </c>
      <c r="AT1182">
        <f>HYPERLINK("http://www.worldcat.org/oclc/2214219","WorldCat Record")</f>
        <v/>
      </c>
      <c r="AU1182" t="inlineStr">
        <is>
          <t>144025625:eng</t>
        </is>
      </c>
      <c r="AV1182" t="inlineStr">
        <is>
          <t>2214219</t>
        </is>
      </c>
      <c r="AW1182" t="inlineStr">
        <is>
          <t>991004052249702656</t>
        </is>
      </c>
      <c r="AX1182" t="inlineStr">
        <is>
          <t>991004052249702656</t>
        </is>
      </c>
      <c r="AY1182" t="inlineStr">
        <is>
          <t>2254945920002656</t>
        </is>
      </c>
      <c r="AZ1182" t="inlineStr">
        <is>
          <t>BOOK</t>
        </is>
      </c>
      <c r="BC1182" t="inlineStr">
        <is>
          <t>32285001851749</t>
        </is>
      </c>
      <c r="BD1182" t="inlineStr">
        <is>
          <t>893618166</t>
        </is>
      </c>
    </row>
    <row r="1183">
      <c r="A1183" t="inlineStr">
        <is>
          <t>No</t>
        </is>
      </c>
      <c r="B1183" t="inlineStr">
        <is>
          <t>QH541 .E87 1987</t>
        </is>
      </c>
      <c r="C1183" t="inlineStr">
        <is>
          <t>0                      QH 0541000E  87          1987</t>
        </is>
      </c>
      <c r="D1183" t="inlineStr">
        <is>
          <t>Evolutionary physiological ecology / edited by P. Calow.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Cambridge [Cambridgeshire] ; New York : Cambridge University Press, 1987.</t>
        </is>
      </c>
      <c r="M1183" t="inlineStr">
        <is>
          <t>1987</t>
        </is>
      </c>
      <c r="O1183" t="inlineStr">
        <is>
          <t>eng</t>
        </is>
      </c>
      <c r="P1183" t="inlineStr">
        <is>
          <t>enk</t>
        </is>
      </c>
      <c r="R1183" t="inlineStr">
        <is>
          <t xml:space="preserve">QH </t>
        </is>
      </c>
      <c r="S1183" t="n">
        <v>4</v>
      </c>
      <c r="T1183" t="n">
        <v>4</v>
      </c>
      <c r="U1183" t="inlineStr">
        <is>
          <t>2001-02-16</t>
        </is>
      </c>
      <c r="V1183" t="inlineStr">
        <is>
          <t>2001-02-16</t>
        </is>
      </c>
      <c r="W1183" t="inlineStr">
        <is>
          <t>1993-04-28</t>
        </is>
      </c>
      <c r="X1183" t="inlineStr">
        <is>
          <t>1993-04-28</t>
        </is>
      </c>
      <c r="Y1183" t="n">
        <v>307</v>
      </c>
      <c r="Z1183" t="n">
        <v>208</v>
      </c>
      <c r="AA1183" t="n">
        <v>215</v>
      </c>
      <c r="AB1183" t="n">
        <v>3</v>
      </c>
      <c r="AC1183" t="n">
        <v>3</v>
      </c>
      <c r="AD1183" t="n">
        <v>10</v>
      </c>
      <c r="AE1183" t="n">
        <v>10</v>
      </c>
      <c r="AF1183" t="n">
        <v>3</v>
      </c>
      <c r="AG1183" t="n">
        <v>3</v>
      </c>
      <c r="AH1183" t="n">
        <v>2</v>
      </c>
      <c r="AI1183" t="n">
        <v>2</v>
      </c>
      <c r="AJ1183" t="n">
        <v>5</v>
      </c>
      <c r="AK1183" t="n">
        <v>5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HYPERLINK("https://creighton-primo.hosted.exlibrisgroup.com/primo-explore/search?tab=default_tab&amp;search_scope=EVERYTHING&amp;vid=01CRU&amp;lang=en_US&amp;offset=0&amp;query=any,contains,991000987269702656","Catalog Record")</f>
        <v/>
      </c>
      <c r="AT1183">
        <f>HYPERLINK("http://www.worldcat.org/oclc/15083100","WorldCat Record")</f>
        <v/>
      </c>
      <c r="AU1183" t="inlineStr">
        <is>
          <t>365363661:eng</t>
        </is>
      </c>
      <c r="AV1183" t="inlineStr">
        <is>
          <t>15083100</t>
        </is>
      </c>
      <c r="AW1183" t="inlineStr">
        <is>
          <t>991000987269702656</t>
        </is>
      </c>
      <c r="AX1183" t="inlineStr">
        <is>
          <t>991000987269702656</t>
        </is>
      </c>
      <c r="AY1183" t="inlineStr">
        <is>
          <t>2258051140002656</t>
        </is>
      </c>
      <c r="AZ1183" t="inlineStr">
        <is>
          <t>BOOK</t>
        </is>
      </c>
      <c r="BB1183" t="inlineStr">
        <is>
          <t>9780521320580</t>
        </is>
      </c>
      <c r="BC1183" t="inlineStr">
        <is>
          <t>32285001642114</t>
        </is>
      </c>
      <c r="BD1183" t="inlineStr">
        <is>
          <t>893791063</t>
        </is>
      </c>
    </row>
    <row r="1184">
      <c r="A1184" t="inlineStr">
        <is>
          <t>No</t>
        </is>
      </c>
      <c r="B1184" t="inlineStr">
        <is>
          <t>QH541 .F67 1986</t>
        </is>
      </c>
      <c r="C1184" t="inlineStr">
        <is>
          <t>0                      QH 0541000F  67          1986</t>
        </is>
      </c>
      <c r="D1184" t="inlineStr">
        <is>
          <t>Landscape ecology / Richard T.T. Forman, Michel Godron.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Forman, Richard T. T.</t>
        </is>
      </c>
      <c r="L1184" t="inlineStr">
        <is>
          <t>New York : Wiley, c1986.</t>
        </is>
      </c>
      <c r="M1184" t="inlineStr">
        <is>
          <t>1986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QH </t>
        </is>
      </c>
      <c r="S1184" t="n">
        <v>1</v>
      </c>
      <c r="T1184" t="n">
        <v>1</v>
      </c>
      <c r="U1184" t="inlineStr">
        <is>
          <t>2000-10-26</t>
        </is>
      </c>
      <c r="V1184" t="inlineStr">
        <is>
          <t>2000-10-26</t>
        </is>
      </c>
      <c r="W1184" t="inlineStr">
        <is>
          <t>2000-10-26</t>
        </is>
      </c>
      <c r="X1184" t="inlineStr">
        <is>
          <t>2000-10-26</t>
        </is>
      </c>
      <c r="Y1184" t="n">
        <v>603</v>
      </c>
      <c r="Z1184" t="n">
        <v>383</v>
      </c>
      <c r="AA1184" t="n">
        <v>413</v>
      </c>
      <c r="AB1184" t="n">
        <v>4</v>
      </c>
      <c r="AC1184" t="n">
        <v>4</v>
      </c>
      <c r="AD1184" t="n">
        <v>11</v>
      </c>
      <c r="AE1184" t="n">
        <v>12</v>
      </c>
      <c r="AF1184" t="n">
        <v>5</v>
      </c>
      <c r="AG1184" t="n">
        <v>5</v>
      </c>
      <c r="AH1184" t="n">
        <v>3</v>
      </c>
      <c r="AI1184" t="n">
        <v>3</v>
      </c>
      <c r="AJ1184" t="n">
        <v>4</v>
      </c>
      <c r="AK1184" t="n">
        <v>5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Yes</t>
        </is>
      </c>
      <c r="AR1184">
        <f>HYPERLINK("http://catalog.hathitrust.org/Record/000477629","HathiTrust Record")</f>
        <v/>
      </c>
      <c r="AS1184">
        <f>HYPERLINK("https://creighton-primo.hosted.exlibrisgroup.com/primo-explore/search?tab=default_tab&amp;search_scope=EVERYTHING&amp;vid=01CRU&amp;lang=en_US&amp;offset=0&amp;query=any,contains,991003326939702656","Catalog Record")</f>
        <v/>
      </c>
      <c r="AT1184">
        <f>HYPERLINK("http://www.worldcat.org/oclc/12215646","WorldCat Record")</f>
        <v/>
      </c>
      <c r="AU1184" t="inlineStr">
        <is>
          <t>906835:eng</t>
        </is>
      </c>
      <c r="AV1184" t="inlineStr">
        <is>
          <t>12215646</t>
        </is>
      </c>
      <c r="AW1184" t="inlineStr">
        <is>
          <t>991003326939702656</t>
        </is>
      </c>
      <c r="AX1184" t="inlineStr">
        <is>
          <t>991003326939702656</t>
        </is>
      </c>
      <c r="AY1184" t="inlineStr">
        <is>
          <t>2265513910002656</t>
        </is>
      </c>
      <c r="AZ1184" t="inlineStr">
        <is>
          <t>BOOK</t>
        </is>
      </c>
      <c r="BB1184" t="inlineStr">
        <is>
          <t>9780471870371</t>
        </is>
      </c>
      <c r="BC1184" t="inlineStr">
        <is>
          <t>32285004261284</t>
        </is>
      </c>
      <c r="BD1184" t="inlineStr">
        <is>
          <t>893352789</t>
        </is>
      </c>
    </row>
    <row r="1185">
      <c r="A1185" t="inlineStr">
        <is>
          <t>No</t>
        </is>
      </c>
      <c r="B1185" t="inlineStr">
        <is>
          <t>QH541 .G54 1984</t>
        </is>
      </c>
      <c r="C1185" t="inlineStr">
        <is>
          <t>0                      QH 0541000G  54          1984</t>
        </is>
      </c>
      <c r="D1185" t="inlineStr">
        <is>
          <t>Community structure and the niche / Paul S. Giller.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Giller, Paul S.</t>
        </is>
      </c>
      <c r="L1185" t="inlineStr">
        <is>
          <t>London ; New York : Chapman and Hall,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enk</t>
        </is>
      </c>
      <c r="R1185" t="inlineStr">
        <is>
          <t xml:space="preserve">QH </t>
        </is>
      </c>
      <c r="S1185" t="n">
        <v>9</v>
      </c>
      <c r="T1185" t="n">
        <v>9</v>
      </c>
      <c r="U1185" t="inlineStr">
        <is>
          <t>1997-02-25</t>
        </is>
      </c>
      <c r="V1185" t="inlineStr">
        <is>
          <t>1997-02-25</t>
        </is>
      </c>
      <c r="W1185" t="inlineStr">
        <is>
          <t>1993-04-28</t>
        </is>
      </c>
      <c r="X1185" t="inlineStr">
        <is>
          <t>1993-04-28</t>
        </is>
      </c>
      <c r="Y1185" t="n">
        <v>433</v>
      </c>
      <c r="Z1185" t="n">
        <v>254</v>
      </c>
      <c r="AA1185" t="n">
        <v>269</v>
      </c>
      <c r="AB1185" t="n">
        <v>3</v>
      </c>
      <c r="AC1185" t="n">
        <v>3</v>
      </c>
      <c r="AD1185" t="n">
        <v>7</v>
      </c>
      <c r="AE1185" t="n">
        <v>7</v>
      </c>
      <c r="AF1185" t="n">
        <v>2</v>
      </c>
      <c r="AG1185" t="n">
        <v>2</v>
      </c>
      <c r="AH1185" t="n">
        <v>3</v>
      </c>
      <c r="AI1185" t="n">
        <v>3</v>
      </c>
      <c r="AJ1185" t="n">
        <v>3</v>
      </c>
      <c r="AK1185" t="n">
        <v>3</v>
      </c>
      <c r="AL1185" t="n">
        <v>2</v>
      </c>
      <c r="AM1185" t="n">
        <v>2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HYPERLINK("http://catalog.hathitrust.org/Record/000561352","HathiTrust Record")</f>
        <v/>
      </c>
      <c r="AS1185">
        <f>HYPERLINK("https://creighton-primo.hosted.exlibrisgroup.com/primo-explore/search?tab=default_tab&amp;search_scope=EVERYTHING&amp;vid=01CRU&amp;lang=en_US&amp;offset=0&amp;query=any,contains,991000384349702656","Catalog Record")</f>
        <v/>
      </c>
      <c r="AT1185">
        <f>HYPERLINK("http://www.worldcat.org/oclc/10506845","WorldCat Record")</f>
        <v/>
      </c>
      <c r="AU1185" t="inlineStr">
        <is>
          <t>2908020:eng</t>
        </is>
      </c>
      <c r="AV1185" t="inlineStr">
        <is>
          <t>10506845</t>
        </is>
      </c>
      <c r="AW1185" t="inlineStr">
        <is>
          <t>991000384349702656</t>
        </is>
      </c>
      <c r="AX1185" t="inlineStr">
        <is>
          <t>991000384349702656</t>
        </is>
      </c>
      <c r="AY1185" t="inlineStr">
        <is>
          <t>2255683440002656</t>
        </is>
      </c>
      <c r="AZ1185" t="inlineStr">
        <is>
          <t>BOOK</t>
        </is>
      </c>
      <c r="BB1185" t="inlineStr">
        <is>
          <t>9780412251108</t>
        </is>
      </c>
      <c r="BC1185" t="inlineStr">
        <is>
          <t>32285001642122</t>
        </is>
      </c>
      <c r="BD1185" t="inlineStr">
        <is>
          <t>893249287</t>
        </is>
      </c>
    </row>
    <row r="1186">
      <c r="A1186" t="inlineStr">
        <is>
          <t>No</t>
        </is>
      </c>
      <c r="B1186" t="inlineStr">
        <is>
          <t>QH541 .G545 1989</t>
        </is>
      </c>
      <c r="C1186" t="inlineStr">
        <is>
          <t>0                      QH 0541000G  545         1989</t>
        </is>
      </c>
      <c r="D1186" t="inlineStr">
        <is>
          <t>Global ecology : towards a science of the biosphere / edited by Mitchell B. Rambler, Lynn Margulis, René Fester.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 : Academic Press, c1989.</t>
        </is>
      </c>
      <c r="M1186" t="inlineStr">
        <is>
          <t>1989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QH </t>
        </is>
      </c>
      <c r="S1186" t="n">
        <v>3</v>
      </c>
      <c r="T1186" t="n">
        <v>3</v>
      </c>
      <c r="U1186" t="inlineStr">
        <is>
          <t>1995-08-28</t>
        </is>
      </c>
      <c r="V1186" t="inlineStr">
        <is>
          <t>1995-08-28</t>
        </is>
      </c>
      <c r="W1186" t="inlineStr">
        <is>
          <t>1990-02-26</t>
        </is>
      </c>
      <c r="X1186" t="inlineStr">
        <is>
          <t>1990-02-26</t>
        </is>
      </c>
      <c r="Y1186" t="n">
        <v>492</v>
      </c>
      <c r="Z1186" t="n">
        <v>339</v>
      </c>
      <c r="AA1186" t="n">
        <v>364</v>
      </c>
      <c r="AB1186" t="n">
        <v>4</v>
      </c>
      <c r="AC1186" t="n">
        <v>4</v>
      </c>
      <c r="AD1186" t="n">
        <v>13</v>
      </c>
      <c r="AE1186" t="n">
        <v>14</v>
      </c>
      <c r="AF1186" t="n">
        <v>4</v>
      </c>
      <c r="AG1186" t="n">
        <v>5</v>
      </c>
      <c r="AH1186" t="n">
        <v>2</v>
      </c>
      <c r="AI1186" t="n">
        <v>3</v>
      </c>
      <c r="AJ1186" t="n">
        <v>6</v>
      </c>
      <c r="AK1186" t="n">
        <v>6</v>
      </c>
      <c r="AL1186" t="n">
        <v>3</v>
      </c>
      <c r="AM1186" t="n">
        <v>3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HYPERLINK("http://catalog.hathitrust.org/Record/001814918","HathiTrust Record")</f>
        <v/>
      </c>
      <c r="AS1186">
        <f>HYPERLINK("https://creighton-primo.hosted.exlibrisgroup.com/primo-explore/search?tab=default_tab&amp;search_scope=EVERYTHING&amp;vid=01CRU&amp;lang=en_US&amp;offset=0&amp;query=any,contains,991001300329702656","Catalog Record")</f>
        <v/>
      </c>
      <c r="AT1186">
        <f>HYPERLINK("http://www.worldcat.org/oclc/18068982","WorldCat Record")</f>
        <v/>
      </c>
      <c r="AU1186" t="inlineStr">
        <is>
          <t>836703752:eng</t>
        </is>
      </c>
      <c r="AV1186" t="inlineStr">
        <is>
          <t>18068982</t>
        </is>
      </c>
      <c r="AW1186" t="inlineStr">
        <is>
          <t>991001300329702656</t>
        </is>
      </c>
      <c r="AX1186" t="inlineStr">
        <is>
          <t>991001300329702656</t>
        </is>
      </c>
      <c r="AY1186" t="inlineStr">
        <is>
          <t>2262984050002656</t>
        </is>
      </c>
      <c r="AZ1186" t="inlineStr">
        <is>
          <t>BOOK</t>
        </is>
      </c>
      <c r="BB1186" t="inlineStr">
        <is>
          <t>9780125768900</t>
        </is>
      </c>
      <c r="BC1186" t="inlineStr">
        <is>
          <t>32285000059591</t>
        </is>
      </c>
      <c r="BD1186" t="inlineStr">
        <is>
          <t>893340329</t>
        </is>
      </c>
    </row>
    <row r="1187">
      <c r="A1187" t="inlineStr">
        <is>
          <t>No</t>
        </is>
      </c>
      <c r="B1187" t="inlineStr">
        <is>
          <t>QH541 .H255 1988</t>
        </is>
      </c>
      <c r="C1187" t="inlineStr">
        <is>
          <t>0                      QH 0541000H  255         1988</t>
        </is>
      </c>
      <c r="D1187" t="inlineStr">
        <is>
          <t>Introduction to ecological biochemistry / J.B. Harborne.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Harborne, J. B. (Jeffrey B.)</t>
        </is>
      </c>
      <c r="L1187" t="inlineStr">
        <is>
          <t>London ; New York : Academic, 1988.</t>
        </is>
      </c>
      <c r="M1187" t="inlineStr">
        <is>
          <t>1988</t>
        </is>
      </c>
      <c r="N1187" t="inlineStr">
        <is>
          <t>3rd ed.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QH </t>
        </is>
      </c>
      <c r="S1187" t="n">
        <v>2</v>
      </c>
      <c r="T1187" t="n">
        <v>2</v>
      </c>
      <c r="U1187" t="inlineStr">
        <is>
          <t>1994-02-21</t>
        </is>
      </c>
      <c r="V1187" t="inlineStr">
        <is>
          <t>1994-02-21</t>
        </is>
      </c>
      <c r="W1187" t="inlineStr">
        <is>
          <t>1993-04-30</t>
        </is>
      </c>
      <c r="X1187" t="inlineStr">
        <is>
          <t>1993-04-30</t>
        </is>
      </c>
      <c r="Y1187" t="n">
        <v>465</v>
      </c>
      <c r="Z1187" t="n">
        <v>310</v>
      </c>
      <c r="AA1187" t="n">
        <v>744</v>
      </c>
      <c r="AB1187" t="n">
        <v>2</v>
      </c>
      <c r="AC1187" t="n">
        <v>7</v>
      </c>
      <c r="AD1187" t="n">
        <v>11</v>
      </c>
      <c r="AE1187" t="n">
        <v>29</v>
      </c>
      <c r="AF1187" t="n">
        <v>3</v>
      </c>
      <c r="AG1187" t="n">
        <v>12</v>
      </c>
      <c r="AH1187" t="n">
        <v>2</v>
      </c>
      <c r="AI1187" t="n">
        <v>6</v>
      </c>
      <c r="AJ1187" t="n">
        <v>6</v>
      </c>
      <c r="AK1187" t="n">
        <v>13</v>
      </c>
      <c r="AL1187" t="n">
        <v>1</v>
      </c>
      <c r="AM1187" t="n">
        <v>6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HYPERLINK("http://catalog.hathitrust.org/Record/006213691","HathiTrust Record")</f>
        <v/>
      </c>
      <c r="AS1187">
        <f>HYPERLINK("https://creighton-primo.hosted.exlibrisgroup.com/primo-explore/search?tab=default_tab&amp;search_scope=EVERYTHING&amp;vid=01CRU&amp;lang=en_US&amp;offset=0&amp;query=any,contains,991001241969702656","Catalog Record")</f>
        <v/>
      </c>
      <c r="AT1187">
        <f>HYPERLINK("http://www.worldcat.org/oclc/20358842","WorldCat Record")</f>
        <v/>
      </c>
      <c r="AU1187" t="inlineStr">
        <is>
          <t>11264352:eng</t>
        </is>
      </c>
      <c r="AV1187" t="inlineStr">
        <is>
          <t>20358842</t>
        </is>
      </c>
      <c r="AW1187" t="inlineStr">
        <is>
          <t>991001241969702656</t>
        </is>
      </c>
      <c r="AX1187" t="inlineStr">
        <is>
          <t>991001241969702656</t>
        </is>
      </c>
      <c r="AY1187" t="inlineStr">
        <is>
          <t>2261816450002656</t>
        </is>
      </c>
      <c r="AZ1187" t="inlineStr">
        <is>
          <t>BOOK</t>
        </is>
      </c>
      <c r="BB1187" t="inlineStr">
        <is>
          <t>9780123246844</t>
        </is>
      </c>
      <c r="BC1187" t="inlineStr">
        <is>
          <t>32285001642130</t>
        </is>
      </c>
      <c r="BD1187" t="inlineStr">
        <is>
          <t>893503237</t>
        </is>
      </c>
    </row>
    <row r="1188">
      <c r="A1188" t="inlineStr">
        <is>
          <t>No</t>
        </is>
      </c>
      <c r="B1188" t="inlineStr">
        <is>
          <t>QH541 .H47 1996</t>
        </is>
      </c>
      <c r="C1188" t="inlineStr">
        <is>
          <t>0                      QH 0541000H  47          1996</t>
        </is>
      </c>
      <c r="D1188" t="inlineStr">
        <is>
          <t>Medio ambiente y desarrollo / Ana Jes©ðs Hern©Łndez.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Herna¿¿ndez, Ana Jesu¿¿s.</t>
        </is>
      </c>
      <c r="L1188" t="inlineStr">
        <is>
          <t>Santo Domingo : Centro Cultural Poveda, 1996.</t>
        </is>
      </c>
      <c r="M1188" t="inlineStr">
        <is>
          <t>1996</t>
        </is>
      </c>
      <c r="O1188" t="inlineStr">
        <is>
          <t>spa</t>
        </is>
      </c>
      <c r="P1188" t="inlineStr">
        <is>
          <t xml:space="preserve">dr </t>
        </is>
      </c>
      <c r="Q1188" t="inlineStr">
        <is>
          <t>Cuadernos de sociedad y educaci©đn ; no. 5</t>
        </is>
      </c>
      <c r="R1188" t="inlineStr">
        <is>
          <t xml:space="preserve">QH </t>
        </is>
      </c>
      <c r="S1188" t="n">
        <v>1</v>
      </c>
      <c r="T1188" t="n">
        <v>1</v>
      </c>
      <c r="U1188" t="inlineStr">
        <is>
          <t>2006-02-10</t>
        </is>
      </c>
      <c r="V1188" t="inlineStr">
        <is>
          <t>2006-02-10</t>
        </is>
      </c>
      <c r="W1188" t="inlineStr">
        <is>
          <t>2006-01-23</t>
        </is>
      </c>
      <c r="X1188" t="inlineStr">
        <is>
          <t>2006-01-23</t>
        </is>
      </c>
      <c r="Y1188" t="n">
        <v>2</v>
      </c>
      <c r="Z1188" t="n">
        <v>2</v>
      </c>
      <c r="AA1188" t="n">
        <v>2</v>
      </c>
      <c r="AB1188" t="n">
        <v>1</v>
      </c>
      <c r="AC1188" t="n">
        <v>1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n">
        <v>0</v>
      </c>
      <c r="AJ1188" t="n">
        <v>0</v>
      </c>
      <c r="AK1188" t="n">
        <v>0</v>
      </c>
      <c r="AL1188" t="n">
        <v>0</v>
      </c>
      <c r="AM1188" t="n">
        <v>0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HYPERLINK("https://creighton-primo.hosted.exlibrisgroup.com/primo-explore/search?tab=default_tab&amp;search_scope=EVERYTHING&amp;vid=01CRU&amp;lang=en_US&amp;offset=0&amp;query=any,contains,991004720429702656","Catalog Record")</f>
        <v/>
      </c>
      <c r="AT1188">
        <f>HYPERLINK("http://www.worldcat.org/oclc/62750798","WorldCat Record")</f>
        <v/>
      </c>
      <c r="AU1188" t="inlineStr">
        <is>
          <t>47069041:spa</t>
        </is>
      </c>
      <c r="AV1188" t="inlineStr">
        <is>
          <t>62750798</t>
        </is>
      </c>
      <c r="AW1188" t="inlineStr">
        <is>
          <t>991004720429702656</t>
        </is>
      </c>
      <c r="AX1188" t="inlineStr">
        <is>
          <t>991004720429702656</t>
        </is>
      </c>
      <c r="AY1188" t="inlineStr">
        <is>
          <t>2272761160002656</t>
        </is>
      </c>
      <c r="AZ1188" t="inlineStr">
        <is>
          <t>BOOK</t>
        </is>
      </c>
      <c r="BB1188" t="inlineStr">
        <is>
          <t>9788492389315</t>
        </is>
      </c>
      <c r="BC1188" t="inlineStr">
        <is>
          <t>32285005100176</t>
        </is>
      </c>
      <c r="BD1188" t="inlineStr">
        <is>
          <t>893619007</t>
        </is>
      </c>
    </row>
    <row r="1189">
      <c r="A1189" t="inlineStr">
        <is>
          <t>No</t>
        </is>
      </c>
      <c r="B1189" t="inlineStr">
        <is>
          <t>QH541 .H525 1986</t>
        </is>
      </c>
      <c r="C1189" t="inlineStr">
        <is>
          <t>0                      QH 0541000H  525         1986</t>
        </is>
      </c>
      <c r="D1189" t="inlineStr">
        <is>
          <t>A Hierarchical concept of ecosystems / R.V. O'Neill ... [et al.].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L1189" t="inlineStr">
        <is>
          <t>Princeton, N.J. : Princeton University Press, c1986.</t>
        </is>
      </c>
      <c r="M1189" t="inlineStr">
        <is>
          <t>1986</t>
        </is>
      </c>
      <c r="O1189" t="inlineStr">
        <is>
          <t>eng</t>
        </is>
      </c>
      <c r="P1189" t="inlineStr">
        <is>
          <t>nju</t>
        </is>
      </c>
      <c r="Q1189" t="inlineStr">
        <is>
          <t>Monographs in population biology ; 23</t>
        </is>
      </c>
      <c r="R1189" t="inlineStr">
        <is>
          <t xml:space="preserve">QH </t>
        </is>
      </c>
      <c r="S1189" t="n">
        <v>3</v>
      </c>
      <c r="T1189" t="n">
        <v>3</v>
      </c>
      <c r="U1189" t="inlineStr">
        <is>
          <t>1995-11-07</t>
        </is>
      </c>
      <c r="V1189" t="inlineStr">
        <is>
          <t>1995-11-07</t>
        </is>
      </c>
      <c r="W1189" t="inlineStr">
        <is>
          <t>1993-04-30</t>
        </is>
      </c>
      <c r="X1189" t="inlineStr">
        <is>
          <t>1993-04-30</t>
        </is>
      </c>
      <c r="Y1189" t="n">
        <v>530</v>
      </c>
      <c r="Z1189" t="n">
        <v>390</v>
      </c>
      <c r="AA1189" t="n">
        <v>395</v>
      </c>
      <c r="AB1189" t="n">
        <v>3</v>
      </c>
      <c r="AC1189" t="n">
        <v>3</v>
      </c>
      <c r="AD1189" t="n">
        <v>15</v>
      </c>
      <c r="AE1189" t="n">
        <v>15</v>
      </c>
      <c r="AF1189" t="n">
        <v>3</v>
      </c>
      <c r="AG1189" t="n">
        <v>3</v>
      </c>
      <c r="AH1189" t="n">
        <v>4</v>
      </c>
      <c r="AI1189" t="n">
        <v>4</v>
      </c>
      <c r="AJ1189" t="n">
        <v>10</v>
      </c>
      <c r="AK1189" t="n">
        <v>10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HYPERLINK("https://creighton-primo.hosted.exlibrisgroup.com/primo-explore/search?tab=default_tab&amp;search_scope=EVERYTHING&amp;vid=01CRU&amp;lang=en_US&amp;offset=0&amp;query=any,contains,991000842509702656","Catalog Record")</f>
        <v/>
      </c>
      <c r="AT1189">
        <f>HYPERLINK("http://www.worldcat.org/oclc/13526197","WorldCat Record")</f>
        <v/>
      </c>
      <c r="AU1189" t="inlineStr">
        <is>
          <t>54814822:eng</t>
        </is>
      </c>
      <c r="AV1189" t="inlineStr">
        <is>
          <t>13526197</t>
        </is>
      </c>
      <c r="AW1189" t="inlineStr">
        <is>
          <t>991000842509702656</t>
        </is>
      </c>
      <c r="AX1189" t="inlineStr">
        <is>
          <t>991000842509702656</t>
        </is>
      </c>
      <c r="AY1189" t="inlineStr">
        <is>
          <t>2261051440002656</t>
        </is>
      </c>
      <c r="AZ1189" t="inlineStr">
        <is>
          <t>BOOK</t>
        </is>
      </c>
      <c r="BB1189" t="inlineStr">
        <is>
          <t>9780691084374</t>
        </is>
      </c>
      <c r="BC1189" t="inlineStr">
        <is>
          <t>32285001642148</t>
        </is>
      </c>
      <c r="BD1189" t="inlineStr">
        <is>
          <t>893891065</t>
        </is>
      </c>
    </row>
    <row r="1190">
      <c r="A1190" t="inlineStr">
        <is>
          <t>No</t>
        </is>
      </c>
      <c r="B1190" t="inlineStr">
        <is>
          <t>QH541 .O33</t>
        </is>
      </c>
      <c r="C1190" t="inlineStr">
        <is>
          <t>0                      QH 0541000O  33</t>
        </is>
      </c>
      <c r="D1190" t="inlineStr">
        <is>
          <t>Environment, power, and society [by] Howard T. Odum.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Odum, Howard T. (Howard Thomas), 1924-2002.</t>
        </is>
      </c>
      <c r="L1190" t="inlineStr">
        <is>
          <t>New York, Wiley-Interscience [1970, c1971]</t>
        </is>
      </c>
      <c r="M1190" t="inlineStr">
        <is>
          <t>1970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QH </t>
        </is>
      </c>
      <c r="S1190" t="n">
        <v>5</v>
      </c>
      <c r="T1190" t="n">
        <v>5</v>
      </c>
      <c r="U1190" t="inlineStr">
        <is>
          <t>2005-04-08</t>
        </is>
      </c>
      <c r="V1190" t="inlineStr">
        <is>
          <t>2005-04-08</t>
        </is>
      </c>
      <c r="W1190" t="inlineStr">
        <is>
          <t>1997-07-03</t>
        </is>
      </c>
      <c r="X1190" t="inlineStr">
        <is>
          <t>1997-07-03</t>
        </is>
      </c>
      <c r="Y1190" t="n">
        <v>1220</v>
      </c>
      <c r="Z1190" t="n">
        <v>979</v>
      </c>
      <c r="AA1190" t="n">
        <v>998</v>
      </c>
      <c r="AB1190" t="n">
        <v>7</v>
      </c>
      <c r="AC1190" t="n">
        <v>7</v>
      </c>
      <c r="AD1190" t="n">
        <v>33</v>
      </c>
      <c r="AE1190" t="n">
        <v>33</v>
      </c>
      <c r="AF1190" t="n">
        <v>10</v>
      </c>
      <c r="AG1190" t="n">
        <v>10</v>
      </c>
      <c r="AH1190" t="n">
        <v>6</v>
      </c>
      <c r="AI1190" t="n">
        <v>6</v>
      </c>
      <c r="AJ1190" t="n">
        <v>18</v>
      </c>
      <c r="AK1190" t="n">
        <v>18</v>
      </c>
      <c r="AL1190" t="n">
        <v>6</v>
      </c>
      <c r="AM1190" t="n">
        <v>6</v>
      </c>
      <c r="AN1190" t="n">
        <v>1</v>
      </c>
      <c r="AO1190" t="n">
        <v>1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HYPERLINK("http://catalog.hathitrust.org/Record/001492714","HathiTrust Record")</f>
        <v/>
      </c>
      <c r="AS1190">
        <f>HYPERLINK("https://creighton-primo.hosted.exlibrisgroup.com/primo-explore/search?tab=default_tab&amp;search_scope=EVERYTHING&amp;vid=01CRU&amp;lang=en_US&amp;offset=0&amp;query=any,contains,991000651879702656","Catalog Record")</f>
        <v/>
      </c>
      <c r="AT1190">
        <f>HYPERLINK("http://www.worldcat.org/oclc/113919","WorldCat Record")</f>
        <v/>
      </c>
      <c r="AU1190" t="inlineStr">
        <is>
          <t>62776565:eng</t>
        </is>
      </c>
      <c r="AV1190" t="inlineStr">
        <is>
          <t>113919</t>
        </is>
      </c>
      <c r="AW1190" t="inlineStr">
        <is>
          <t>991000651879702656</t>
        </is>
      </c>
      <c r="AX1190" t="inlineStr">
        <is>
          <t>991000651879702656</t>
        </is>
      </c>
      <c r="AY1190" t="inlineStr">
        <is>
          <t>2267759000002656</t>
        </is>
      </c>
      <c r="AZ1190" t="inlineStr">
        <is>
          <t>BOOK</t>
        </is>
      </c>
      <c r="BB1190" t="inlineStr">
        <is>
          <t>9780471652700</t>
        </is>
      </c>
      <c r="BC1190" t="inlineStr">
        <is>
          <t>32285002913175</t>
        </is>
      </c>
      <c r="BD1190" t="inlineStr">
        <is>
          <t>893778110</t>
        </is>
      </c>
    </row>
    <row r="1191">
      <c r="A1191" t="inlineStr">
        <is>
          <t>No</t>
        </is>
      </c>
      <c r="B1191" t="inlineStr">
        <is>
          <t>QH541 .P33 1995</t>
        </is>
      </c>
      <c r="C1191" t="inlineStr">
        <is>
          <t>0                      QH 0541000P  33          1995</t>
        </is>
      </c>
      <c r="D1191" t="inlineStr">
        <is>
          <t>The dynamic nature of ecosystems : chaos and order entwined / Claudia Pahl-Wostl.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Pahl-Wostl, Claudia.</t>
        </is>
      </c>
      <c r="L1191" t="inlineStr">
        <is>
          <t>Chichester ; New York : Wiley, c1995.</t>
        </is>
      </c>
      <c r="M1191" t="inlineStr">
        <is>
          <t>1995</t>
        </is>
      </c>
      <c r="O1191" t="inlineStr">
        <is>
          <t>eng</t>
        </is>
      </c>
      <c r="P1191" t="inlineStr">
        <is>
          <t>enk</t>
        </is>
      </c>
      <c r="R1191" t="inlineStr">
        <is>
          <t xml:space="preserve">QH </t>
        </is>
      </c>
      <c r="S1191" t="n">
        <v>10</v>
      </c>
      <c r="T1191" t="n">
        <v>10</v>
      </c>
      <c r="U1191" t="inlineStr">
        <is>
          <t>2005-09-14</t>
        </is>
      </c>
      <c r="V1191" t="inlineStr">
        <is>
          <t>2005-09-14</t>
        </is>
      </c>
      <c r="W1191" t="inlineStr">
        <is>
          <t>1997-03-13</t>
        </is>
      </c>
      <c r="X1191" t="inlineStr">
        <is>
          <t>1997-03-13</t>
        </is>
      </c>
      <c r="Y1191" t="n">
        <v>316</v>
      </c>
      <c r="Z1191" t="n">
        <v>226</v>
      </c>
      <c r="AA1191" t="n">
        <v>227</v>
      </c>
      <c r="AB1191" t="n">
        <v>1</v>
      </c>
      <c r="AC1191" t="n">
        <v>1</v>
      </c>
      <c r="AD1191" t="n">
        <v>9</v>
      </c>
      <c r="AE1191" t="n">
        <v>9</v>
      </c>
      <c r="AF1191" t="n">
        <v>4</v>
      </c>
      <c r="AG1191" t="n">
        <v>4</v>
      </c>
      <c r="AH1191" t="n">
        <v>3</v>
      </c>
      <c r="AI1191" t="n">
        <v>3</v>
      </c>
      <c r="AJ1191" t="n">
        <v>6</v>
      </c>
      <c r="AK1191" t="n">
        <v>6</v>
      </c>
      <c r="AL1191" t="n">
        <v>0</v>
      </c>
      <c r="AM1191" t="n">
        <v>0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HYPERLINK("http://catalog.hathitrust.org/Record/002983914","HathiTrust Record")</f>
        <v/>
      </c>
      <c r="AS1191">
        <f>HYPERLINK("https://creighton-primo.hosted.exlibrisgroup.com/primo-explore/search?tab=default_tab&amp;search_scope=EVERYTHING&amp;vid=01CRU&amp;lang=en_US&amp;offset=0&amp;query=any,contains,991002419999702656","Catalog Record")</f>
        <v/>
      </c>
      <c r="AT1191">
        <f>HYPERLINK("http://www.worldcat.org/oclc/31515965","WorldCat Record")</f>
        <v/>
      </c>
      <c r="AU1191" t="inlineStr">
        <is>
          <t>836988333:eng</t>
        </is>
      </c>
      <c r="AV1191" t="inlineStr">
        <is>
          <t>31515965</t>
        </is>
      </c>
      <c r="AW1191" t="inlineStr">
        <is>
          <t>991002419999702656</t>
        </is>
      </c>
      <c r="AX1191" t="inlineStr">
        <is>
          <t>991002419999702656</t>
        </is>
      </c>
      <c r="AY1191" t="inlineStr">
        <is>
          <t>2272089400002656</t>
        </is>
      </c>
      <c r="AZ1191" t="inlineStr">
        <is>
          <t>BOOK</t>
        </is>
      </c>
      <c r="BB1191" t="inlineStr">
        <is>
          <t>9780471955702</t>
        </is>
      </c>
      <c r="BC1191" t="inlineStr">
        <is>
          <t>32285002442399</t>
        </is>
      </c>
      <c r="BD1191" t="inlineStr">
        <is>
          <t>893597434</t>
        </is>
      </c>
    </row>
    <row r="1192">
      <c r="A1192" t="inlineStr">
        <is>
          <t>No</t>
        </is>
      </c>
      <c r="B1192" t="inlineStr">
        <is>
          <t>QH541 .P47</t>
        </is>
      </c>
      <c r="C1192" t="inlineStr">
        <is>
          <t>0                      QH 0541000P  47</t>
        </is>
      </c>
      <c r="D1192" t="inlineStr">
        <is>
          <t>Physiological ecology : an evolutionary approach to resource use / edited by Colin R. Townsend and Peter Calow.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Sunderland, Mass. : Sinauer Associates, 1981.</t>
        </is>
      </c>
      <c r="M1192" t="inlineStr">
        <is>
          <t>1981</t>
        </is>
      </c>
      <c r="O1192" t="inlineStr">
        <is>
          <t>eng</t>
        </is>
      </c>
      <c r="P1192" t="inlineStr">
        <is>
          <t>mau</t>
        </is>
      </c>
      <c r="R1192" t="inlineStr">
        <is>
          <t xml:space="preserve">QH </t>
        </is>
      </c>
      <c r="S1192" t="n">
        <v>2</v>
      </c>
      <c r="T1192" t="n">
        <v>2</v>
      </c>
      <c r="U1192" t="inlineStr">
        <is>
          <t>1994-01-16</t>
        </is>
      </c>
      <c r="V1192" t="inlineStr">
        <is>
          <t>1994-01-16</t>
        </is>
      </c>
      <c r="W1192" t="inlineStr">
        <is>
          <t>1993-04-30</t>
        </is>
      </c>
      <c r="X1192" t="inlineStr">
        <is>
          <t>1993-04-30</t>
        </is>
      </c>
      <c r="Y1192" t="n">
        <v>388</v>
      </c>
      <c r="Z1192" t="n">
        <v>350</v>
      </c>
      <c r="AA1192" t="n">
        <v>392</v>
      </c>
      <c r="AB1192" t="n">
        <v>3</v>
      </c>
      <c r="AC1192" t="n">
        <v>4</v>
      </c>
      <c r="AD1192" t="n">
        <v>19</v>
      </c>
      <c r="AE1192" t="n">
        <v>20</v>
      </c>
      <c r="AF1192" t="n">
        <v>9</v>
      </c>
      <c r="AG1192" t="n">
        <v>9</v>
      </c>
      <c r="AH1192" t="n">
        <v>6</v>
      </c>
      <c r="AI1192" t="n">
        <v>6</v>
      </c>
      <c r="AJ1192" t="n">
        <v>7</v>
      </c>
      <c r="AK1192" t="n">
        <v>7</v>
      </c>
      <c r="AL1192" t="n">
        <v>2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HYPERLINK("http://catalog.hathitrust.org/Record/000153195","HathiTrust Record")</f>
        <v/>
      </c>
      <c r="AS1192">
        <f>HYPERLINK("https://creighton-primo.hosted.exlibrisgroup.com/primo-explore/search?tab=default_tab&amp;search_scope=EVERYTHING&amp;vid=01CRU&amp;lang=en_US&amp;offset=0&amp;query=any,contains,991005157449702656","Catalog Record")</f>
        <v/>
      </c>
      <c r="AT1192">
        <f>HYPERLINK("http://www.worldcat.org/oclc/7741589","WorldCat Record")</f>
        <v/>
      </c>
      <c r="AU1192" t="inlineStr">
        <is>
          <t>499793677:eng</t>
        </is>
      </c>
      <c r="AV1192" t="inlineStr">
        <is>
          <t>7741589</t>
        </is>
      </c>
      <c r="AW1192" t="inlineStr">
        <is>
          <t>991005157449702656</t>
        </is>
      </c>
      <c r="AX1192" t="inlineStr">
        <is>
          <t>991005157449702656</t>
        </is>
      </c>
      <c r="AY1192" t="inlineStr">
        <is>
          <t>2262403090002656</t>
        </is>
      </c>
      <c r="AZ1192" t="inlineStr">
        <is>
          <t>BOOK</t>
        </is>
      </c>
      <c r="BB1192" t="inlineStr">
        <is>
          <t>9780878938278</t>
        </is>
      </c>
      <c r="BC1192" t="inlineStr">
        <is>
          <t>32285001642197</t>
        </is>
      </c>
      <c r="BD1192" t="inlineStr">
        <is>
          <t>893350829</t>
        </is>
      </c>
    </row>
    <row r="1193">
      <c r="A1193" t="inlineStr">
        <is>
          <t>No</t>
        </is>
      </c>
      <c r="B1193" t="inlineStr">
        <is>
          <t>QH541 .P53 1990</t>
        </is>
      </c>
      <c r="C1193" t="inlineStr">
        <is>
          <t>0                      QH 0541000P  53          1990</t>
        </is>
      </c>
      <c r="D1193" t="inlineStr">
        <is>
          <t>Planet under stress : the challenge of global change / edited by Constance Mungall &amp; Digby J. McLaren for the Royal Society of Canada.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L1193" t="inlineStr">
        <is>
          <t>Toronto : Oxford University Press, 1990.</t>
        </is>
      </c>
      <c r="M1193" t="inlineStr">
        <is>
          <t>1990</t>
        </is>
      </c>
      <c r="O1193" t="inlineStr">
        <is>
          <t>eng</t>
        </is>
      </c>
      <c r="P1193" t="inlineStr">
        <is>
          <t>onc</t>
        </is>
      </c>
      <c r="R1193" t="inlineStr">
        <is>
          <t xml:space="preserve">QH </t>
        </is>
      </c>
      <c r="S1193" t="n">
        <v>18</v>
      </c>
      <c r="T1193" t="n">
        <v>18</v>
      </c>
      <c r="U1193" t="inlineStr">
        <is>
          <t>2003-04-13</t>
        </is>
      </c>
      <c r="V1193" t="inlineStr">
        <is>
          <t>2003-04-13</t>
        </is>
      </c>
      <c r="W1193" t="inlineStr">
        <is>
          <t>1991-03-28</t>
        </is>
      </c>
      <c r="X1193" t="inlineStr">
        <is>
          <t>1991-03-28</t>
        </is>
      </c>
      <c r="Y1193" t="n">
        <v>398</v>
      </c>
      <c r="Z1193" t="n">
        <v>229</v>
      </c>
      <c r="AA1193" t="n">
        <v>417</v>
      </c>
      <c r="AB1193" t="n">
        <v>1</v>
      </c>
      <c r="AC1193" t="n">
        <v>4</v>
      </c>
      <c r="AD1193" t="n">
        <v>9</v>
      </c>
      <c r="AE1193" t="n">
        <v>14</v>
      </c>
      <c r="AF1193" t="n">
        <v>2</v>
      </c>
      <c r="AG1193" t="n">
        <v>3</v>
      </c>
      <c r="AH1193" t="n">
        <v>2</v>
      </c>
      <c r="AI1193" t="n">
        <v>4</v>
      </c>
      <c r="AJ1193" t="n">
        <v>6</v>
      </c>
      <c r="AK1193" t="n">
        <v>6</v>
      </c>
      <c r="AL1193" t="n">
        <v>0</v>
      </c>
      <c r="AM1193" t="n">
        <v>3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HYPERLINK("https://creighton-primo.hosted.exlibrisgroup.com/primo-explore/search?tab=default_tab&amp;search_scope=EVERYTHING&amp;vid=01CRU&amp;lang=en_US&amp;offset=0&amp;query=any,contains,991001646719702656","Catalog Record")</f>
        <v/>
      </c>
      <c r="AT1193">
        <f>HYPERLINK("http://www.worldcat.org/oclc/24698850","WorldCat Record")</f>
        <v/>
      </c>
      <c r="AU1193" t="inlineStr">
        <is>
          <t>836939436:eng</t>
        </is>
      </c>
      <c r="AV1193" t="inlineStr">
        <is>
          <t>24698850</t>
        </is>
      </c>
      <c r="AW1193" t="inlineStr">
        <is>
          <t>991001646719702656</t>
        </is>
      </c>
      <c r="AX1193" t="inlineStr">
        <is>
          <t>991001646719702656</t>
        </is>
      </c>
      <c r="AY1193" t="inlineStr">
        <is>
          <t>2271272420002656</t>
        </is>
      </c>
      <c r="AZ1193" t="inlineStr">
        <is>
          <t>BOOK</t>
        </is>
      </c>
      <c r="BB1193" t="inlineStr">
        <is>
          <t>9780195407310</t>
        </is>
      </c>
      <c r="BC1193" t="inlineStr">
        <is>
          <t>32285000513696</t>
        </is>
      </c>
      <c r="BD1193" t="inlineStr">
        <is>
          <t>893879031</t>
        </is>
      </c>
    </row>
    <row r="1194">
      <c r="A1194" t="inlineStr">
        <is>
          <t>No</t>
        </is>
      </c>
      <c r="B1194" t="inlineStr">
        <is>
          <t>QH541 .S326 2010</t>
        </is>
      </c>
      <c r="C1194" t="inlineStr">
        <is>
          <t>0                      QH 0541000S  326         2010</t>
        </is>
      </c>
      <c r="D1194" t="inlineStr">
        <is>
          <t>Resolving ecosystem complexity / Oswald J. Schmitz.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Schmitz, Oswald J.</t>
        </is>
      </c>
      <c r="L1194" t="inlineStr">
        <is>
          <t>Princeton, N.J. : Princeton University Press, c2010.</t>
        </is>
      </c>
      <c r="M1194" t="inlineStr">
        <is>
          <t>2010</t>
        </is>
      </c>
      <c r="O1194" t="inlineStr">
        <is>
          <t>eng</t>
        </is>
      </c>
      <c r="P1194" t="inlineStr">
        <is>
          <t>nju</t>
        </is>
      </c>
      <c r="Q1194" t="inlineStr">
        <is>
          <t>Monographs in population biology ; 47</t>
        </is>
      </c>
      <c r="R1194" t="inlineStr">
        <is>
          <t xml:space="preserve">QH </t>
        </is>
      </c>
      <c r="S1194" t="n">
        <v>1</v>
      </c>
      <c r="T1194" t="n">
        <v>1</v>
      </c>
      <c r="U1194" t="inlineStr">
        <is>
          <t>2010-08-16</t>
        </is>
      </c>
      <c r="V1194" t="inlineStr">
        <is>
          <t>2010-08-16</t>
        </is>
      </c>
      <c r="W1194" t="inlineStr">
        <is>
          <t>2010-08-16</t>
        </is>
      </c>
      <c r="X1194" t="inlineStr">
        <is>
          <t>2010-08-16</t>
        </is>
      </c>
      <c r="Y1194" t="n">
        <v>439</v>
      </c>
      <c r="Z1194" t="n">
        <v>362</v>
      </c>
      <c r="AA1194" t="n">
        <v>1216</v>
      </c>
      <c r="AB1194" t="n">
        <v>5</v>
      </c>
      <c r="AC1194" t="n">
        <v>15</v>
      </c>
      <c r="AD1194" t="n">
        <v>16</v>
      </c>
      <c r="AE1194" t="n">
        <v>44</v>
      </c>
      <c r="AF1194" t="n">
        <v>5</v>
      </c>
      <c r="AG1194" t="n">
        <v>14</v>
      </c>
      <c r="AH1194" t="n">
        <v>4</v>
      </c>
      <c r="AI1194" t="n">
        <v>9</v>
      </c>
      <c r="AJ1194" t="n">
        <v>5</v>
      </c>
      <c r="AK1194" t="n">
        <v>14</v>
      </c>
      <c r="AL1194" t="n">
        <v>4</v>
      </c>
      <c r="AM1194" t="n">
        <v>13</v>
      </c>
      <c r="AN1194" t="n">
        <v>0</v>
      </c>
      <c r="AO1194" t="n">
        <v>1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HYPERLINK("https://creighton-primo.hosted.exlibrisgroup.com/primo-explore/search?tab=default_tab&amp;search_scope=EVERYTHING&amp;vid=01CRU&amp;lang=en_US&amp;offset=0&amp;query=any,contains,991000052889702656","Catalog Record")</f>
        <v/>
      </c>
      <c r="AT1194">
        <f>HYPERLINK("http://www.worldcat.org/oclc/495547190","WorldCat Record")</f>
        <v/>
      </c>
      <c r="AU1194" t="inlineStr">
        <is>
          <t>369547117:eng</t>
        </is>
      </c>
      <c r="AV1194" t="inlineStr">
        <is>
          <t>495547190</t>
        </is>
      </c>
      <c r="AW1194" t="inlineStr">
        <is>
          <t>991000052889702656</t>
        </is>
      </c>
      <c r="AX1194" t="inlineStr">
        <is>
          <t>991000052889702656</t>
        </is>
      </c>
      <c r="AY1194" t="inlineStr">
        <is>
          <t>2267077590002656</t>
        </is>
      </c>
      <c r="AZ1194" t="inlineStr">
        <is>
          <t>BOOK</t>
        </is>
      </c>
      <c r="BB1194" t="inlineStr">
        <is>
          <t>9780691128481</t>
        </is>
      </c>
      <c r="BC1194" t="inlineStr">
        <is>
          <t>32285005592968</t>
        </is>
      </c>
      <c r="BD1194" t="inlineStr">
        <is>
          <t>893514957</t>
        </is>
      </c>
    </row>
    <row r="1195">
      <c r="A1195" t="inlineStr">
        <is>
          <t>No</t>
        </is>
      </c>
      <c r="B1195" t="inlineStr">
        <is>
          <t>QH541 .S5345 1995</t>
        </is>
      </c>
      <c r="C1195" t="inlineStr">
        <is>
          <t>0                      QH 0541000S  5345        1995</t>
        </is>
      </c>
      <c r="D1195" t="inlineStr">
        <is>
          <t>Nature in danger : threatened habitats and species / Noel Simon in association with the World Conservation Monitoring Centre, Cambridge, England.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Simon, Noel, 1921-2008.</t>
        </is>
      </c>
      <c r="L1195" t="inlineStr">
        <is>
          <t>New York : Oxford University Press, 1995.</t>
        </is>
      </c>
      <c r="M1195" t="inlineStr">
        <is>
          <t>1995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QH </t>
        </is>
      </c>
      <c r="S1195" t="n">
        <v>7</v>
      </c>
      <c r="T1195" t="n">
        <v>7</v>
      </c>
      <c r="U1195" t="inlineStr">
        <is>
          <t>2007-04-15</t>
        </is>
      </c>
      <c r="V1195" t="inlineStr">
        <is>
          <t>2007-04-15</t>
        </is>
      </c>
      <c r="W1195" t="inlineStr">
        <is>
          <t>1997-04-03</t>
        </is>
      </c>
      <c r="X1195" t="inlineStr">
        <is>
          <t>1997-04-03</t>
        </is>
      </c>
      <c r="Y1195" t="n">
        <v>1045</v>
      </c>
      <c r="Z1195" t="n">
        <v>992</v>
      </c>
      <c r="AA1195" t="n">
        <v>1003</v>
      </c>
      <c r="AB1195" t="n">
        <v>9</v>
      </c>
      <c r="AC1195" t="n">
        <v>9</v>
      </c>
      <c r="AD1195" t="n">
        <v>33</v>
      </c>
      <c r="AE1195" t="n">
        <v>33</v>
      </c>
      <c r="AF1195" t="n">
        <v>14</v>
      </c>
      <c r="AG1195" t="n">
        <v>14</v>
      </c>
      <c r="AH1195" t="n">
        <v>6</v>
      </c>
      <c r="AI1195" t="n">
        <v>6</v>
      </c>
      <c r="AJ1195" t="n">
        <v>13</v>
      </c>
      <c r="AK1195" t="n">
        <v>13</v>
      </c>
      <c r="AL1195" t="n">
        <v>6</v>
      </c>
      <c r="AM1195" t="n">
        <v>6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HYPERLINK("http://catalog.hathitrust.org/Record/002987466","HathiTrust Record")</f>
        <v/>
      </c>
      <c r="AS1195">
        <f>HYPERLINK("https://creighton-primo.hosted.exlibrisgroup.com/primo-explore/search?tab=default_tab&amp;search_scope=EVERYTHING&amp;vid=01CRU&amp;lang=en_US&amp;offset=0&amp;query=any,contains,991002426779702656","Catalog Record")</f>
        <v/>
      </c>
      <c r="AT1195">
        <f>HYPERLINK("http://www.worldcat.org/oclc/31608885","WorldCat Record")</f>
        <v/>
      </c>
      <c r="AU1195" t="inlineStr">
        <is>
          <t>33383340:eng</t>
        </is>
      </c>
      <c r="AV1195" t="inlineStr">
        <is>
          <t>31608885</t>
        </is>
      </c>
      <c r="AW1195" t="inlineStr">
        <is>
          <t>991002426779702656</t>
        </is>
      </c>
      <c r="AX1195" t="inlineStr">
        <is>
          <t>991002426779702656</t>
        </is>
      </c>
      <c r="AY1195" t="inlineStr">
        <is>
          <t>2266302310002656</t>
        </is>
      </c>
      <c r="AZ1195" t="inlineStr">
        <is>
          <t>BOOK</t>
        </is>
      </c>
      <c r="BB1195" t="inlineStr">
        <is>
          <t>9780195211528</t>
        </is>
      </c>
      <c r="BC1195" t="inlineStr">
        <is>
          <t>32285002478542</t>
        </is>
      </c>
      <c r="BD1195" t="inlineStr">
        <is>
          <t>893251202</t>
        </is>
      </c>
    </row>
    <row r="1196">
      <c r="A1196" t="inlineStr">
        <is>
          <t>No</t>
        </is>
      </c>
      <c r="B1196" t="inlineStr">
        <is>
          <t>QH541 .T68 2000</t>
        </is>
      </c>
      <c r="C1196" t="inlineStr">
        <is>
          <t>0                      QH 0541000T  68          2000</t>
        </is>
      </c>
      <c r="D1196" t="inlineStr">
        <is>
          <t>Environmental anthropology : from pigs to policies / Patricia K. Townsend.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Townsend, Patricia K., 1941-</t>
        </is>
      </c>
      <c r="L1196" t="inlineStr">
        <is>
          <t>Prospect Heights, Ill. Waveland Press, c2000.</t>
        </is>
      </c>
      <c r="M1196" t="inlineStr">
        <is>
          <t>2000</t>
        </is>
      </c>
      <c r="O1196" t="inlineStr">
        <is>
          <t>eng</t>
        </is>
      </c>
      <c r="P1196" t="inlineStr">
        <is>
          <t>ilu</t>
        </is>
      </c>
      <c r="R1196" t="inlineStr">
        <is>
          <t xml:space="preserve">QH </t>
        </is>
      </c>
      <c r="S1196" t="n">
        <v>2</v>
      </c>
      <c r="T1196" t="n">
        <v>2</v>
      </c>
      <c r="U1196" t="inlineStr">
        <is>
          <t>2001-10-30</t>
        </is>
      </c>
      <c r="V1196" t="inlineStr">
        <is>
          <t>2001-10-30</t>
        </is>
      </c>
      <c r="W1196" t="inlineStr">
        <is>
          <t>2001-10-29</t>
        </is>
      </c>
      <c r="X1196" t="inlineStr">
        <is>
          <t>2001-10-29</t>
        </is>
      </c>
      <c r="Y1196" t="n">
        <v>374</v>
      </c>
      <c r="Z1196" t="n">
        <v>304</v>
      </c>
      <c r="AA1196" t="n">
        <v>429</v>
      </c>
      <c r="AB1196" t="n">
        <v>2</v>
      </c>
      <c r="AC1196" t="n">
        <v>4</v>
      </c>
      <c r="AD1196" t="n">
        <v>12</v>
      </c>
      <c r="AE1196" t="n">
        <v>18</v>
      </c>
      <c r="AF1196" t="n">
        <v>6</v>
      </c>
      <c r="AG1196" t="n">
        <v>6</v>
      </c>
      <c r="AH1196" t="n">
        <v>3</v>
      </c>
      <c r="AI1196" t="n">
        <v>6</v>
      </c>
      <c r="AJ1196" t="n">
        <v>4</v>
      </c>
      <c r="AK1196" t="n">
        <v>5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HYPERLINK("http://catalog.hathitrust.org/Record/004361839","HathiTrust Record")</f>
        <v/>
      </c>
      <c r="AS1196">
        <f>HYPERLINK("https://creighton-primo.hosted.exlibrisgroup.com/primo-explore/search?tab=default_tab&amp;search_scope=EVERYTHING&amp;vid=01CRU&amp;lang=en_US&amp;offset=0&amp;query=any,contains,991003641379702656","Catalog Record")</f>
        <v/>
      </c>
      <c r="AT1196">
        <f>HYPERLINK("http://www.worldcat.org/oclc/46436583","WorldCat Record")</f>
        <v/>
      </c>
      <c r="AU1196" t="inlineStr">
        <is>
          <t>316706227:eng</t>
        </is>
      </c>
      <c r="AV1196" t="inlineStr">
        <is>
          <t>46436583</t>
        </is>
      </c>
      <c r="AW1196" t="inlineStr">
        <is>
          <t>991003641379702656</t>
        </is>
      </c>
      <c r="AX1196" t="inlineStr">
        <is>
          <t>991003641379702656</t>
        </is>
      </c>
      <c r="AY1196" t="inlineStr">
        <is>
          <t>2260300310002656</t>
        </is>
      </c>
      <c r="AZ1196" t="inlineStr">
        <is>
          <t>BOOK</t>
        </is>
      </c>
      <c r="BB1196" t="inlineStr">
        <is>
          <t>9781577661269</t>
        </is>
      </c>
      <c r="BC1196" t="inlineStr">
        <is>
          <t>32285004416003</t>
        </is>
      </c>
      <c r="BD1196" t="inlineStr">
        <is>
          <t>893793850</t>
        </is>
      </c>
    </row>
    <row r="1197">
      <c r="A1197" t="inlineStr">
        <is>
          <t>No</t>
        </is>
      </c>
      <c r="B1197" t="inlineStr">
        <is>
          <t>QH541 .T819 1991</t>
        </is>
      </c>
      <c r="C1197" t="inlineStr">
        <is>
          <t>0                      QH 0541000T  819         1991</t>
        </is>
      </c>
      <c r="D1197" t="inlineStr">
        <is>
          <t>Global ecology / Colin Tudge.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Tudge, Colin.</t>
        </is>
      </c>
      <c r="L1197" t="inlineStr">
        <is>
          <t>New York : Oxford University Press, 1991.</t>
        </is>
      </c>
      <c r="M1197" t="inlineStr">
        <is>
          <t>1991</t>
        </is>
      </c>
      <c r="O1197" t="inlineStr">
        <is>
          <t>eng</t>
        </is>
      </c>
      <c r="P1197" t="inlineStr">
        <is>
          <t>nyu</t>
        </is>
      </c>
      <c r="R1197" t="inlineStr">
        <is>
          <t xml:space="preserve">QH </t>
        </is>
      </c>
      <c r="S1197" t="n">
        <v>9</v>
      </c>
      <c r="T1197" t="n">
        <v>9</v>
      </c>
      <c r="U1197" t="inlineStr">
        <is>
          <t>1996-02-25</t>
        </is>
      </c>
      <c r="V1197" t="inlineStr">
        <is>
          <t>1996-02-25</t>
        </is>
      </c>
      <c r="W1197" t="inlineStr">
        <is>
          <t>1992-03-31</t>
        </is>
      </c>
      <c r="X1197" t="inlineStr">
        <is>
          <t>1992-03-31</t>
        </is>
      </c>
      <c r="Y1197" t="n">
        <v>547</v>
      </c>
      <c r="Z1197" t="n">
        <v>498</v>
      </c>
      <c r="AA1197" t="n">
        <v>505</v>
      </c>
      <c r="AB1197" t="n">
        <v>7</v>
      </c>
      <c r="AC1197" t="n">
        <v>7</v>
      </c>
      <c r="AD1197" t="n">
        <v>13</v>
      </c>
      <c r="AE1197" t="n">
        <v>13</v>
      </c>
      <c r="AF1197" t="n">
        <v>5</v>
      </c>
      <c r="AG1197" t="n">
        <v>5</v>
      </c>
      <c r="AH1197" t="n">
        <v>2</v>
      </c>
      <c r="AI1197" t="n">
        <v>2</v>
      </c>
      <c r="AJ1197" t="n">
        <v>5</v>
      </c>
      <c r="AK1197" t="n">
        <v>5</v>
      </c>
      <c r="AL1197" t="n">
        <v>3</v>
      </c>
      <c r="AM1197" t="n">
        <v>3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HYPERLINK("http://catalog.hathitrust.org/Record/002477246","HathiTrust Record")</f>
        <v/>
      </c>
      <c r="AS1197">
        <f>HYPERLINK("https://creighton-primo.hosted.exlibrisgroup.com/primo-explore/search?tab=default_tab&amp;search_scope=EVERYTHING&amp;vid=01CRU&amp;lang=en_US&amp;offset=0&amp;query=any,contains,991001842959702656","Catalog Record")</f>
        <v/>
      </c>
      <c r="AT1197">
        <f>HYPERLINK("http://www.worldcat.org/oclc/23144173","WorldCat Record")</f>
        <v/>
      </c>
      <c r="AU1197" t="inlineStr">
        <is>
          <t>25542953:eng</t>
        </is>
      </c>
      <c r="AV1197" t="inlineStr">
        <is>
          <t>23144173</t>
        </is>
      </c>
      <c r="AW1197" t="inlineStr">
        <is>
          <t>991001842959702656</t>
        </is>
      </c>
      <c r="AX1197" t="inlineStr">
        <is>
          <t>991001842959702656</t>
        </is>
      </c>
      <c r="AY1197" t="inlineStr">
        <is>
          <t>2266379920002656</t>
        </is>
      </c>
      <c r="AZ1197" t="inlineStr">
        <is>
          <t>BOOK</t>
        </is>
      </c>
      <c r="BB1197" t="inlineStr">
        <is>
          <t>9780195209044</t>
        </is>
      </c>
      <c r="BC1197" t="inlineStr">
        <is>
          <t>32285001007094</t>
        </is>
      </c>
      <c r="BD1197" t="inlineStr">
        <is>
          <t>893590685</t>
        </is>
      </c>
    </row>
    <row r="1198">
      <c r="A1198" t="inlineStr">
        <is>
          <t>No</t>
        </is>
      </c>
      <c r="B1198" t="inlineStr">
        <is>
          <t>QH541 .V45</t>
        </is>
      </c>
      <c r="C1198" t="inlineStr">
        <is>
          <t>0                      QH 0541000V  45</t>
        </is>
      </c>
      <c r="D1198" t="inlineStr">
        <is>
          <t>The animal and the environment / [by] F. John Vernberg [and] Winona B. Vernberg.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Vernberg, F. John, 1925-</t>
        </is>
      </c>
      <c r="L1198" t="inlineStr">
        <is>
          <t>New York : Holt, Rinehart and Winston, [1970]</t>
        </is>
      </c>
      <c r="M1198" t="inlineStr">
        <is>
          <t>1970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QH </t>
        </is>
      </c>
      <c r="S1198" t="n">
        <v>10</v>
      </c>
      <c r="T1198" t="n">
        <v>10</v>
      </c>
      <c r="U1198" t="inlineStr">
        <is>
          <t>1996-02-24</t>
        </is>
      </c>
      <c r="V1198" t="inlineStr">
        <is>
          <t>1996-02-24</t>
        </is>
      </c>
      <c r="W1198" t="inlineStr">
        <is>
          <t>1992-12-18</t>
        </is>
      </c>
      <c r="X1198" t="inlineStr">
        <is>
          <t>1992-12-18</t>
        </is>
      </c>
      <c r="Y1198" t="n">
        <v>428</v>
      </c>
      <c r="Z1198" t="n">
        <v>311</v>
      </c>
      <c r="AA1198" t="n">
        <v>313</v>
      </c>
      <c r="AB1198" t="n">
        <v>5</v>
      </c>
      <c r="AC1198" t="n">
        <v>5</v>
      </c>
      <c r="AD1198" t="n">
        <v>12</v>
      </c>
      <c r="AE1198" t="n">
        <v>12</v>
      </c>
      <c r="AF1198" t="n">
        <v>3</v>
      </c>
      <c r="AG1198" t="n">
        <v>3</v>
      </c>
      <c r="AH1198" t="n">
        <v>0</v>
      </c>
      <c r="AI1198" t="n">
        <v>0</v>
      </c>
      <c r="AJ1198" t="n">
        <v>7</v>
      </c>
      <c r="AK1198" t="n">
        <v>7</v>
      </c>
      <c r="AL1198" t="n">
        <v>4</v>
      </c>
      <c r="AM1198" t="n">
        <v>4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HYPERLINK("http://catalog.hathitrust.org/Record/002002510","HathiTrust Record")</f>
        <v/>
      </c>
      <c r="AS1198">
        <f>HYPERLINK("https://creighton-primo.hosted.exlibrisgroup.com/primo-explore/search?tab=default_tab&amp;search_scope=EVERYTHING&amp;vid=01CRU&amp;lang=en_US&amp;offset=0&amp;query=any,contains,991000639639702656","Catalog Record")</f>
        <v/>
      </c>
      <c r="AT1198">
        <f>HYPERLINK("http://www.worldcat.org/oclc/108909","WorldCat Record")</f>
        <v/>
      </c>
      <c r="AU1198" t="inlineStr">
        <is>
          <t>1198661:eng</t>
        </is>
      </c>
      <c r="AV1198" t="inlineStr">
        <is>
          <t>108909</t>
        </is>
      </c>
      <c r="AW1198" t="inlineStr">
        <is>
          <t>991000639639702656</t>
        </is>
      </c>
      <c r="AX1198" t="inlineStr">
        <is>
          <t>991000639639702656</t>
        </is>
      </c>
      <c r="AY1198" t="inlineStr">
        <is>
          <t>2262464560002656</t>
        </is>
      </c>
      <c r="AZ1198" t="inlineStr">
        <is>
          <t>BOOK</t>
        </is>
      </c>
      <c r="BB1198" t="inlineStr">
        <is>
          <t>9780030796456</t>
        </is>
      </c>
      <c r="BC1198" t="inlineStr">
        <is>
          <t>32285001443836</t>
        </is>
      </c>
      <c r="BD1198" t="inlineStr">
        <is>
          <t>893683614</t>
        </is>
      </c>
    </row>
    <row r="1199">
      <c r="A1199" t="inlineStr">
        <is>
          <t>No</t>
        </is>
      </c>
      <c r="B1199" t="inlineStr">
        <is>
          <t>QH541 .W37 1990</t>
        </is>
      </c>
      <c r="C1199" t="inlineStr">
        <is>
          <t>0                      QH 0541000W  37          1990</t>
        </is>
      </c>
      <c r="D1199" t="inlineStr">
        <is>
          <t>The next one hundred years : shaping the fate of our living earth / Jonathan Weiner.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Weiner, Jonathan.</t>
        </is>
      </c>
      <c r="L1199" t="inlineStr">
        <is>
          <t>New York : Bantam Books, c1990.</t>
        </is>
      </c>
      <c r="M1199" t="inlineStr">
        <is>
          <t>1990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QH </t>
        </is>
      </c>
      <c r="S1199" t="n">
        <v>5</v>
      </c>
      <c r="T1199" t="n">
        <v>5</v>
      </c>
      <c r="U1199" t="inlineStr">
        <is>
          <t>1998-09-21</t>
        </is>
      </c>
      <c r="V1199" t="inlineStr">
        <is>
          <t>1998-09-21</t>
        </is>
      </c>
      <c r="W1199" t="inlineStr">
        <is>
          <t>1990-05-02</t>
        </is>
      </c>
      <c r="X1199" t="inlineStr">
        <is>
          <t>1990-05-02</t>
        </is>
      </c>
      <c r="Y1199" t="n">
        <v>1495</v>
      </c>
      <c r="Z1199" t="n">
        <v>1388</v>
      </c>
      <c r="AA1199" t="n">
        <v>1453</v>
      </c>
      <c r="AB1199" t="n">
        <v>12</v>
      </c>
      <c r="AC1199" t="n">
        <v>13</v>
      </c>
      <c r="AD1199" t="n">
        <v>28</v>
      </c>
      <c r="AE1199" t="n">
        <v>30</v>
      </c>
      <c r="AF1199" t="n">
        <v>10</v>
      </c>
      <c r="AG1199" t="n">
        <v>11</v>
      </c>
      <c r="AH1199" t="n">
        <v>5</v>
      </c>
      <c r="AI1199" t="n">
        <v>5</v>
      </c>
      <c r="AJ1199" t="n">
        <v>13</v>
      </c>
      <c r="AK1199" t="n">
        <v>13</v>
      </c>
      <c r="AL1199" t="n">
        <v>6</v>
      </c>
      <c r="AM1199" t="n">
        <v>6</v>
      </c>
      <c r="AN1199" t="n">
        <v>1</v>
      </c>
      <c r="AO1199" t="n">
        <v>2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HYPERLINK("http://catalog.hathitrust.org/Record/001841386","HathiTrust Record")</f>
        <v/>
      </c>
      <c r="AS1199">
        <f>HYPERLINK("https://creighton-primo.hosted.exlibrisgroup.com/primo-explore/search?tab=default_tab&amp;search_scope=EVERYTHING&amp;vid=01CRU&amp;lang=en_US&amp;offset=0&amp;query=any,contains,991001583969702656","Catalog Record")</f>
        <v/>
      </c>
      <c r="AT1199">
        <f>HYPERLINK("http://www.worldcat.org/oclc/20522052","WorldCat Record")</f>
        <v/>
      </c>
      <c r="AU1199" t="inlineStr">
        <is>
          <t>20817474:eng</t>
        </is>
      </c>
      <c r="AV1199" t="inlineStr">
        <is>
          <t>20522052</t>
        </is>
      </c>
      <c r="AW1199" t="inlineStr">
        <is>
          <t>991001583969702656</t>
        </is>
      </c>
      <c r="AX1199" t="inlineStr">
        <is>
          <t>991001583969702656</t>
        </is>
      </c>
      <c r="AY1199" t="inlineStr">
        <is>
          <t>2271847040002656</t>
        </is>
      </c>
      <c r="AZ1199" t="inlineStr">
        <is>
          <t>BOOK</t>
        </is>
      </c>
      <c r="BB1199" t="inlineStr">
        <is>
          <t>9780553057447</t>
        </is>
      </c>
      <c r="BC1199" t="inlineStr">
        <is>
          <t>32285000117290</t>
        </is>
      </c>
      <c r="BD1199" t="inlineStr">
        <is>
          <t>893772675</t>
        </is>
      </c>
    </row>
    <row r="1200">
      <c r="A1200" t="inlineStr">
        <is>
          <t>No</t>
        </is>
      </c>
      <c r="B1200" t="inlineStr">
        <is>
          <t>QH541.145 .E259 1984</t>
        </is>
      </c>
      <c r="C1200" t="inlineStr">
        <is>
          <t>0                      QH 0541145E  259         1984</t>
        </is>
      </c>
      <c r="D1200" t="inlineStr">
        <is>
          <t>Ecology and evolutionary biology : a round table on research / edited by George W. Salt.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Chicago : University of Chicago Press,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ilu</t>
        </is>
      </c>
      <c r="R1200" t="inlineStr">
        <is>
          <t xml:space="preserve">QH </t>
        </is>
      </c>
      <c r="S1200" t="n">
        <v>5</v>
      </c>
      <c r="T1200" t="n">
        <v>5</v>
      </c>
      <c r="U1200" t="inlineStr">
        <is>
          <t>1996-02-24</t>
        </is>
      </c>
      <c r="V1200" t="inlineStr">
        <is>
          <t>1996-02-24</t>
        </is>
      </c>
      <c r="W1200" t="inlineStr">
        <is>
          <t>1993-04-30</t>
        </is>
      </c>
      <c r="X1200" t="inlineStr">
        <is>
          <t>1993-04-30</t>
        </is>
      </c>
      <c r="Y1200" t="n">
        <v>167</v>
      </c>
      <c r="Z1200" t="n">
        <v>132</v>
      </c>
      <c r="AA1200" t="n">
        <v>132</v>
      </c>
      <c r="AB1200" t="n">
        <v>2</v>
      </c>
      <c r="AC1200" t="n">
        <v>2</v>
      </c>
      <c r="AD1200" t="n">
        <v>5</v>
      </c>
      <c r="AE1200" t="n">
        <v>5</v>
      </c>
      <c r="AF1200" t="n">
        <v>2</v>
      </c>
      <c r="AG1200" t="n">
        <v>2</v>
      </c>
      <c r="AH1200" t="n">
        <v>1</v>
      </c>
      <c r="AI1200" t="n">
        <v>1</v>
      </c>
      <c r="AJ1200" t="n">
        <v>4</v>
      </c>
      <c r="AK1200" t="n">
        <v>4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HYPERLINK("https://creighton-primo.hosted.exlibrisgroup.com/primo-explore/search?tab=default_tab&amp;search_scope=EVERYTHING&amp;vid=01CRU&amp;lang=en_US&amp;offset=0&amp;query=any,contains,991000335729702656","Catalog Record")</f>
        <v/>
      </c>
      <c r="AT1200">
        <f>HYPERLINK("http://www.worldcat.org/oclc/10229668","WorldCat Record")</f>
        <v/>
      </c>
      <c r="AU1200" t="inlineStr">
        <is>
          <t>889299173:eng</t>
        </is>
      </c>
      <c r="AV1200" t="inlineStr">
        <is>
          <t>10229668</t>
        </is>
      </c>
      <c r="AW1200" t="inlineStr">
        <is>
          <t>991000335729702656</t>
        </is>
      </c>
      <c r="AX1200" t="inlineStr">
        <is>
          <t>991000335729702656</t>
        </is>
      </c>
      <c r="AY1200" t="inlineStr">
        <is>
          <t>2264177420002656</t>
        </is>
      </c>
      <c r="AZ1200" t="inlineStr">
        <is>
          <t>BOOK</t>
        </is>
      </c>
      <c r="BB1200" t="inlineStr">
        <is>
          <t>9780226734439</t>
        </is>
      </c>
      <c r="BC1200" t="inlineStr">
        <is>
          <t>32285001642288</t>
        </is>
      </c>
      <c r="BD1200" t="inlineStr">
        <is>
          <t>893620384</t>
        </is>
      </c>
    </row>
    <row r="1201">
      <c r="A1201" t="inlineStr">
        <is>
          <t>No</t>
        </is>
      </c>
      <c r="B1201" t="inlineStr">
        <is>
          <t>QH541.145 .E97 1997</t>
        </is>
      </c>
      <c r="C1201" t="inlineStr">
        <is>
          <t>0                      QH 0541145E  97          1997</t>
        </is>
      </c>
      <c r="D1201" t="inlineStr">
        <is>
          <t>Exploring ecology and its applications : readings from American scientist / edited by Peter M. Kareiva.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Sunderland, Mass. : Sinauer Associates, c1997.</t>
        </is>
      </c>
      <c r="M1201" t="inlineStr">
        <is>
          <t>1997</t>
        </is>
      </c>
      <c r="O1201" t="inlineStr">
        <is>
          <t>eng</t>
        </is>
      </c>
      <c r="P1201" t="inlineStr">
        <is>
          <t>mau</t>
        </is>
      </c>
      <c r="R1201" t="inlineStr">
        <is>
          <t xml:space="preserve">QH </t>
        </is>
      </c>
      <c r="S1201" t="n">
        <v>2</v>
      </c>
      <c r="T1201" t="n">
        <v>2</v>
      </c>
      <c r="U1201" t="inlineStr">
        <is>
          <t>2004-10-12</t>
        </is>
      </c>
      <c r="V1201" t="inlineStr">
        <is>
          <t>2004-10-12</t>
        </is>
      </c>
      <c r="W1201" t="inlineStr">
        <is>
          <t>2001-10-31</t>
        </is>
      </c>
      <c r="X1201" t="inlineStr">
        <is>
          <t>2001-10-31</t>
        </is>
      </c>
      <c r="Y1201" t="n">
        <v>188</v>
      </c>
      <c r="Z1201" t="n">
        <v>152</v>
      </c>
      <c r="AA1201" t="n">
        <v>161</v>
      </c>
      <c r="AB1201" t="n">
        <v>2</v>
      </c>
      <c r="AC1201" t="n">
        <v>2</v>
      </c>
      <c r="AD1201" t="n">
        <v>7</v>
      </c>
      <c r="AE1201" t="n">
        <v>7</v>
      </c>
      <c r="AF1201" t="n">
        <v>2</v>
      </c>
      <c r="AG1201" t="n">
        <v>2</v>
      </c>
      <c r="AH1201" t="n">
        <v>1</v>
      </c>
      <c r="AI1201" t="n">
        <v>1</v>
      </c>
      <c r="AJ1201" t="n">
        <v>6</v>
      </c>
      <c r="AK1201" t="n">
        <v>6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HYPERLINK("http://catalog.hathitrust.org/Record/003965374","HathiTrust Record")</f>
        <v/>
      </c>
      <c r="AS1201">
        <f>HYPERLINK("https://creighton-primo.hosted.exlibrisgroup.com/primo-explore/search?tab=default_tab&amp;search_scope=EVERYTHING&amp;vid=01CRU&amp;lang=en_US&amp;offset=0&amp;query=any,contains,991003624519702656","Catalog Record")</f>
        <v/>
      </c>
      <c r="AT1201">
        <f>HYPERLINK("http://www.worldcat.org/oclc/38495351","WorldCat Record")</f>
        <v/>
      </c>
      <c r="AU1201" t="inlineStr">
        <is>
          <t>891902116:eng</t>
        </is>
      </c>
      <c r="AV1201" t="inlineStr">
        <is>
          <t>38495351</t>
        </is>
      </c>
      <c r="AW1201" t="inlineStr">
        <is>
          <t>991003624519702656</t>
        </is>
      </c>
      <c r="AX1201" t="inlineStr">
        <is>
          <t>991003624519702656</t>
        </is>
      </c>
      <c r="AY1201" t="inlineStr">
        <is>
          <t>2270722510002656</t>
        </is>
      </c>
      <c r="AZ1201" t="inlineStr">
        <is>
          <t>BOOK</t>
        </is>
      </c>
      <c r="BB1201" t="inlineStr">
        <is>
          <t>9780878934140</t>
        </is>
      </c>
      <c r="BC1201" t="inlineStr">
        <is>
          <t>32285004417449</t>
        </is>
      </c>
      <c r="BD1201" t="inlineStr">
        <is>
          <t>893535547</t>
        </is>
      </c>
    </row>
    <row r="1202">
      <c r="A1202" t="inlineStr">
        <is>
          <t>No</t>
        </is>
      </c>
      <c r="B1202" t="inlineStr">
        <is>
          <t>QH541.15.B56 A76 1996</t>
        </is>
      </c>
      <c r="C1202" t="inlineStr">
        <is>
          <t>0                      QH 0541150B  56                 A  76          1996</t>
        </is>
      </c>
      <c r="D1202" t="inlineStr">
        <is>
          <t>Aspects of the genesis and maintenance of biological diversity / edited by Michael E. Hochberg, Jean Clobert, and Robert Barbault.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L1202" t="inlineStr">
        <is>
          <t>Oxford ; New York : Oxford University Press, 1996.</t>
        </is>
      </c>
      <c r="M1202" t="inlineStr">
        <is>
          <t>1996</t>
        </is>
      </c>
      <c r="O1202" t="inlineStr">
        <is>
          <t>eng</t>
        </is>
      </c>
      <c r="P1202" t="inlineStr">
        <is>
          <t>enk</t>
        </is>
      </c>
      <c r="R1202" t="inlineStr">
        <is>
          <t xml:space="preserve">QH </t>
        </is>
      </c>
      <c r="S1202" t="n">
        <v>2</v>
      </c>
      <c r="T1202" t="n">
        <v>2</v>
      </c>
      <c r="U1202" t="inlineStr">
        <is>
          <t>2002-12-18</t>
        </is>
      </c>
      <c r="V1202" t="inlineStr">
        <is>
          <t>2002-12-18</t>
        </is>
      </c>
      <c r="W1202" t="inlineStr">
        <is>
          <t>1996-11-27</t>
        </is>
      </c>
      <c r="X1202" t="inlineStr">
        <is>
          <t>1996-11-27</t>
        </is>
      </c>
      <c r="Y1202" t="n">
        <v>246</v>
      </c>
      <c r="Z1202" t="n">
        <v>172</v>
      </c>
      <c r="AA1202" t="n">
        <v>173</v>
      </c>
      <c r="AB1202" t="n">
        <v>2</v>
      </c>
      <c r="AC1202" t="n">
        <v>2</v>
      </c>
      <c r="AD1202" t="n">
        <v>7</v>
      </c>
      <c r="AE1202" t="n">
        <v>7</v>
      </c>
      <c r="AF1202" t="n">
        <v>1</v>
      </c>
      <c r="AG1202" t="n">
        <v>1</v>
      </c>
      <c r="AH1202" t="n">
        <v>3</v>
      </c>
      <c r="AI1202" t="n">
        <v>3</v>
      </c>
      <c r="AJ1202" t="n">
        <v>4</v>
      </c>
      <c r="AK1202" t="n">
        <v>4</v>
      </c>
      <c r="AL1202" t="n">
        <v>1</v>
      </c>
      <c r="AM1202" t="n">
        <v>1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HYPERLINK("https://creighton-primo.hosted.exlibrisgroup.com/primo-explore/search?tab=default_tab&amp;search_scope=EVERYTHING&amp;vid=01CRU&amp;lang=en_US&amp;offset=0&amp;query=any,contains,991002540849702656","Catalog Record")</f>
        <v/>
      </c>
      <c r="AT1202">
        <f>HYPERLINK("http://www.worldcat.org/oclc/33014033","WorldCat Record")</f>
        <v/>
      </c>
      <c r="AU1202" t="inlineStr">
        <is>
          <t>365853130:eng</t>
        </is>
      </c>
      <c r="AV1202" t="inlineStr">
        <is>
          <t>33014033</t>
        </is>
      </c>
      <c r="AW1202" t="inlineStr">
        <is>
          <t>991002540849702656</t>
        </is>
      </c>
      <c r="AX1202" t="inlineStr">
        <is>
          <t>991002540849702656</t>
        </is>
      </c>
      <c r="AY1202" t="inlineStr">
        <is>
          <t>2255721030002656</t>
        </is>
      </c>
      <c r="AZ1202" t="inlineStr">
        <is>
          <t>BOOK</t>
        </is>
      </c>
      <c r="BB1202" t="inlineStr">
        <is>
          <t>9780198548843</t>
        </is>
      </c>
      <c r="BC1202" t="inlineStr">
        <is>
          <t>32285002386711</t>
        </is>
      </c>
      <c r="BD1202" t="inlineStr">
        <is>
          <t>893226964</t>
        </is>
      </c>
    </row>
    <row r="1203">
      <c r="A1203" t="inlineStr">
        <is>
          <t>No</t>
        </is>
      </c>
      <c r="B1203" t="inlineStr">
        <is>
          <t>QH541.15.B56 C62 2005</t>
        </is>
      </c>
      <c r="C1203" t="inlineStr">
        <is>
          <t>0                      QH 0541150B  56                 C  62          2005</t>
        </is>
      </c>
      <c r="D1203" t="inlineStr">
        <is>
          <t>Climate change and biodiversity / edited by Thomas E. Lovejoy &amp; Lee Hannah.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L1203" t="inlineStr">
        <is>
          <t>New Haven : Yale University Press, c2005.</t>
        </is>
      </c>
      <c r="M1203" t="inlineStr">
        <is>
          <t>2005</t>
        </is>
      </c>
      <c r="O1203" t="inlineStr">
        <is>
          <t>eng</t>
        </is>
      </c>
      <c r="P1203" t="inlineStr">
        <is>
          <t>ctu</t>
        </is>
      </c>
      <c r="R1203" t="inlineStr">
        <is>
          <t xml:space="preserve">QH </t>
        </is>
      </c>
      <c r="S1203" t="n">
        <v>3</v>
      </c>
      <c r="T1203" t="n">
        <v>3</v>
      </c>
      <c r="U1203" t="inlineStr">
        <is>
          <t>2010-03-26</t>
        </is>
      </c>
      <c r="V1203" t="inlineStr">
        <is>
          <t>2010-03-26</t>
        </is>
      </c>
      <c r="W1203" t="inlineStr">
        <is>
          <t>2006-11-27</t>
        </is>
      </c>
      <c r="X1203" t="inlineStr">
        <is>
          <t>2006-11-27</t>
        </is>
      </c>
      <c r="Y1203" t="n">
        <v>1220</v>
      </c>
      <c r="Z1203" t="n">
        <v>987</v>
      </c>
      <c r="AA1203" t="n">
        <v>992</v>
      </c>
      <c r="AB1203" t="n">
        <v>6</v>
      </c>
      <c r="AC1203" t="n">
        <v>6</v>
      </c>
      <c r="AD1203" t="n">
        <v>43</v>
      </c>
      <c r="AE1203" t="n">
        <v>43</v>
      </c>
      <c r="AF1203" t="n">
        <v>20</v>
      </c>
      <c r="AG1203" t="n">
        <v>20</v>
      </c>
      <c r="AH1203" t="n">
        <v>8</v>
      </c>
      <c r="AI1203" t="n">
        <v>8</v>
      </c>
      <c r="AJ1203" t="n">
        <v>18</v>
      </c>
      <c r="AK1203" t="n">
        <v>18</v>
      </c>
      <c r="AL1203" t="n">
        <v>5</v>
      </c>
      <c r="AM1203" t="n">
        <v>5</v>
      </c>
      <c r="AN1203" t="n">
        <v>1</v>
      </c>
      <c r="AO1203" t="n">
        <v>1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HYPERLINK("https://creighton-primo.hosted.exlibrisgroup.com/primo-explore/search?tab=default_tab&amp;search_scope=EVERYTHING&amp;vid=01CRU&amp;lang=en_US&amp;offset=0&amp;query=any,contains,991004847149702656","Catalog Record")</f>
        <v/>
      </c>
      <c r="AT1203">
        <f>HYPERLINK("http://www.worldcat.org/oclc/54425180","WorldCat Record")</f>
        <v/>
      </c>
      <c r="AU1203" t="inlineStr">
        <is>
          <t>504690143:eng</t>
        </is>
      </c>
      <c r="AV1203" t="inlineStr">
        <is>
          <t>54425180</t>
        </is>
      </c>
      <c r="AW1203" t="inlineStr">
        <is>
          <t>991004847149702656</t>
        </is>
      </c>
      <c r="AX1203" t="inlineStr">
        <is>
          <t>991004847149702656</t>
        </is>
      </c>
      <c r="AY1203" t="inlineStr">
        <is>
          <t>2267340410002656</t>
        </is>
      </c>
      <c r="AZ1203" t="inlineStr">
        <is>
          <t>BOOK</t>
        </is>
      </c>
      <c r="BB1203" t="inlineStr">
        <is>
          <t>9780300104257</t>
        </is>
      </c>
      <c r="BC1203" t="inlineStr">
        <is>
          <t>32285005262166</t>
        </is>
      </c>
      <c r="BD1203" t="inlineStr">
        <is>
          <t>893870186</t>
        </is>
      </c>
    </row>
    <row r="1204">
      <c r="A1204" t="inlineStr">
        <is>
          <t>No</t>
        </is>
      </c>
      <c r="B1204" t="inlineStr">
        <is>
          <t>QH541.15.B56 E96 1999</t>
        </is>
      </c>
      <c r="C1204" t="inlineStr">
        <is>
          <t>0                      QH 0541150B  56                 E  96          1999</t>
        </is>
      </c>
      <c r="D1204" t="inlineStr">
        <is>
          <t>Evolution of biological diversity / edited by Anne E. Magurran and Robert M. May.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Oxford ; New York : Oxford University Press, 1999.</t>
        </is>
      </c>
      <c r="M1204" t="inlineStr">
        <is>
          <t>1999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QH </t>
        </is>
      </c>
      <c r="S1204" t="n">
        <v>4</v>
      </c>
      <c r="T1204" t="n">
        <v>4</v>
      </c>
      <c r="U1204" t="inlineStr">
        <is>
          <t>2008-02-25</t>
        </is>
      </c>
      <c r="V1204" t="inlineStr">
        <is>
          <t>2008-02-25</t>
        </is>
      </c>
      <c r="W1204" t="inlineStr">
        <is>
          <t>2000-07-26</t>
        </is>
      </c>
      <c r="X1204" t="inlineStr">
        <is>
          <t>2000-07-26</t>
        </is>
      </c>
      <c r="Y1204" t="n">
        <v>448</v>
      </c>
      <c r="Z1204" t="n">
        <v>307</v>
      </c>
      <c r="AA1204" t="n">
        <v>311</v>
      </c>
      <c r="AB1204" t="n">
        <v>3</v>
      </c>
      <c r="AC1204" t="n">
        <v>3</v>
      </c>
      <c r="AD1204" t="n">
        <v>15</v>
      </c>
      <c r="AE1204" t="n">
        <v>15</v>
      </c>
      <c r="AF1204" t="n">
        <v>5</v>
      </c>
      <c r="AG1204" t="n">
        <v>5</v>
      </c>
      <c r="AH1204" t="n">
        <v>3</v>
      </c>
      <c r="AI1204" t="n">
        <v>3</v>
      </c>
      <c r="AJ1204" t="n">
        <v>9</v>
      </c>
      <c r="AK1204" t="n">
        <v>9</v>
      </c>
      <c r="AL1204" t="n">
        <v>2</v>
      </c>
      <c r="AM1204" t="n">
        <v>2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HYPERLINK("http://catalog.hathitrust.org/Record/004026285","HathiTrust Record")</f>
        <v/>
      </c>
      <c r="AS1204">
        <f>HYPERLINK("https://creighton-primo.hosted.exlibrisgroup.com/primo-explore/search?tab=default_tab&amp;search_scope=EVERYTHING&amp;vid=01CRU&amp;lang=en_US&amp;offset=0&amp;query=any,contains,991003219649702656","Catalog Record")</f>
        <v/>
      </c>
      <c r="AT1204">
        <f>HYPERLINK("http://www.worldcat.org/oclc/40180385","WorldCat Record")</f>
        <v/>
      </c>
      <c r="AU1204" t="inlineStr">
        <is>
          <t>402998542:eng</t>
        </is>
      </c>
      <c r="AV1204" t="inlineStr">
        <is>
          <t>40180385</t>
        </is>
      </c>
      <c r="AW1204" t="inlineStr">
        <is>
          <t>991003219649702656</t>
        </is>
      </c>
      <c r="AX1204" t="inlineStr">
        <is>
          <t>991003219649702656</t>
        </is>
      </c>
      <c r="AY1204" t="inlineStr">
        <is>
          <t>2262480340002656</t>
        </is>
      </c>
      <c r="AZ1204" t="inlineStr">
        <is>
          <t>BOOK</t>
        </is>
      </c>
      <c r="BB1204" t="inlineStr">
        <is>
          <t>9780198503040</t>
        </is>
      </c>
      <c r="BC1204" t="inlineStr">
        <is>
          <t>32285003742409</t>
        </is>
      </c>
      <c r="BD1204" t="inlineStr">
        <is>
          <t>893805531</t>
        </is>
      </c>
    </row>
    <row r="1205">
      <c r="A1205" t="inlineStr">
        <is>
          <t>No</t>
        </is>
      </c>
      <c r="B1205" t="inlineStr">
        <is>
          <t>QH541.15.B56 G37 1998</t>
        </is>
      </c>
      <c r="C1205" t="inlineStr">
        <is>
          <t>0                      QH 0541150B  56                 G  37          1998</t>
        </is>
      </c>
      <c r="D1205" t="inlineStr">
        <is>
          <t>Biodiversity : an introduction / Kevin J. Gaston and John I. Spicer.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Gaston, Kevin J.</t>
        </is>
      </c>
      <c r="L1205" t="inlineStr">
        <is>
          <t>Oxford ; Malden, MA, USA : Blackwell Science, 1998.</t>
        </is>
      </c>
      <c r="M1205" t="inlineStr">
        <is>
          <t>1998</t>
        </is>
      </c>
      <c r="O1205" t="inlineStr">
        <is>
          <t>eng</t>
        </is>
      </c>
      <c r="P1205" t="inlineStr">
        <is>
          <t>enk</t>
        </is>
      </c>
      <c r="R1205" t="inlineStr">
        <is>
          <t xml:space="preserve">QH </t>
        </is>
      </c>
      <c r="S1205" t="n">
        <v>4</v>
      </c>
      <c r="T1205" t="n">
        <v>4</v>
      </c>
      <c r="U1205" t="inlineStr">
        <is>
          <t>2000-04-01</t>
        </is>
      </c>
      <c r="V1205" t="inlineStr">
        <is>
          <t>2000-04-01</t>
        </is>
      </c>
      <c r="W1205" t="inlineStr">
        <is>
          <t>1998-09-24</t>
        </is>
      </c>
      <c r="X1205" t="inlineStr">
        <is>
          <t>1998-09-24</t>
        </is>
      </c>
      <c r="Y1205" t="n">
        <v>333</v>
      </c>
      <c r="Z1205" t="n">
        <v>164</v>
      </c>
      <c r="AA1205" t="n">
        <v>289</v>
      </c>
      <c r="AB1205" t="n">
        <v>2</v>
      </c>
      <c r="AC1205" t="n">
        <v>2</v>
      </c>
      <c r="AD1205" t="n">
        <v>8</v>
      </c>
      <c r="AE1205" t="n">
        <v>12</v>
      </c>
      <c r="AF1205" t="n">
        <v>4</v>
      </c>
      <c r="AG1205" t="n">
        <v>5</v>
      </c>
      <c r="AH1205" t="n">
        <v>2</v>
      </c>
      <c r="AI1205" t="n">
        <v>4</v>
      </c>
      <c r="AJ1205" t="n">
        <v>4</v>
      </c>
      <c r="AK1205" t="n">
        <v>7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No</t>
        </is>
      </c>
      <c r="AS1205">
        <f>HYPERLINK("https://creighton-primo.hosted.exlibrisgroup.com/primo-explore/search?tab=default_tab&amp;search_scope=EVERYTHING&amp;vid=01CRU&amp;lang=en_US&amp;offset=0&amp;query=any,contains,991002838339702656","Catalog Record")</f>
        <v/>
      </c>
      <c r="AT1205">
        <f>HYPERLINK("http://www.worldcat.org/oclc/37379855","WorldCat Record")</f>
        <v/>
      </c>
      <c r="AU1205" t="inlineStr">
        <is>
          <t>797291833:eng</t>
        </is>
      </c>
      <c r="AV1205" t="inlineStr">
        <is>
          <t>37379855</t>
        </is>
      </c>
      <c r="AW1205" t="inlineStr">
        <is>
          <t>991002838339702656</t>
        </is>
      </c>
      <c r="AX1205" t="inlineStr">
        <is>
          <t>991002838339702656</t>
        </is>
      </c>
      <c r="AY1205" t="inlineStr">
        <is>
          <t>2262976990002656</t>
        </is>
      </c>
      <c r="AZ1205" t="inlineStr">
        <is>
          <t>BOOK</t>
        </is>
      </c>
      <c r="BB1205" t="inlineStr">
        <is>
          <t>9780632049530</t>
        </is>
      </c>
      <c r="BC1205" t="inlineStr">
        <is>
          <t>32285003470944</t>
        </is>
      </c>
      <c r="BD1205" t="inlineStr">
        <is>
          <t>893904109</t>
        </is>
      </c>
    </row>
    <row r="1206">
      <c r="A1206" t="inlineStr">
        <is>
          <t>No</t>
        </is>
      </c>
      <c r="B1206" t="inlineStr">
        <is>
          <t>QH541.15.B56 G58 1995</t>
        </is>
      </c>
      <c r="C1206" t="inlineStr">
        <is>
          <t>0                      QH 0541150B  56                 G  58          1995</t>
        </is>
      </c>
      <c r="D1206" t="inlineStr">
        <is>
          <t>Global biodiversity assessment / V.H. Heywood, executive editor ; R.T. Watson, chair.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L1206" t="inlineStr">
        <is>
          <t>Cambridge ; New York, NY, USA : Cambridge University Press, 1995.</t>
        </is>
      </c>
      <c r="M1206" t="inlineStr">
        <is>
          <t>1995</t>
        </is>
      </c>
      <c r="O1206" t="inlineStr">
        <is>
          <t>eng</t>
        </is>
      </c>
      <c r="P1206" t="inlineStr">
        <is>
          <t>enk</t>
        </is>
      </c>
      <c r="R1206" t="inlineStr">
        <is>
          <t xml:space="preserve">QH </t>
        </is>
      </c>
      <c r="S1206" t="n">
        <v>5</v>
      </c>
      <c r="T1206" t="n">
        <v>5</v>
      </c>
      <c r="U1206" t="inlineStr">
        <is>
          <t>1999-11-01</t>
        </is>
      </c>
      <c r="V1206" t="inlineStr">
        <is>
          <t>1999-11-01</t>
        </is>
      </c>
      <c r="W1206" t="inlineStr">
        <is>
          <t>1996-10-01</t>
        </is>
      </c>
      <c r="X1206" t="inlineStr">
        <is>
          <t>1996-10-01</t>
        </is>
      </c>
      <c r="Y1206" t="n">
        <v>486</v>
      </c>
      <c r="Z1206" t="n">
        <v>289</v>
      </c>
      <c r="AA1206" t="n">
        <v>329</v>
      </c>
      <c r="AB1206" t="n">
        <v>3</v>
      </c>
      <c r="AC1206" t="n">
        <v>3</v>
      </c>
      <c r="AD1206" t="n">
        <v>15</v>
      </c>
      <c r="AE1206" t="n">
        <v>17</v>
      </c>
      <c r="AF1206" t="n">
        <v>4</v>
      </c>
      <c r="AG1206" t="n">
        <v>5</v>
      </c>
      <c r="AH1206" t="n">
        <v>4</v>
      </c>
      <c r="AI1206" t="n">
        <v>4</v>
      </c>
      <c r="AJ1206" t="n">
        <v>6</v>
      </c>
      <c r="AK1206" t="n">
        <v>7</v>
      </c>
      <c r="AL1206" t="n">
        <v>2</v>
      </c>
      <c r="AM1206" t="n">
        <v>2</v>
      </c>
      <c r="AN1206" t="n">
        <v>2</v>
      </c>
      <c r="AO1206" t="n">
        <v>2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HYPERLINK("https://creighton-primo.hosted.exlibrisgroup.com/primo-explore/search?tab=default_tab&amp;search_scope=EVERYTHING&amp;vid=01CRU&amp;lang=en_US&amp;offset=0&amp;query=any,contains,991002586409702656","Catalog Record")</f>
        <v/>
      </c>
      <c r="AT1206">
        <f>HYPERLINK("http://www.worldcat.org/oclc/33897848","WorldCat Record")</f>
        <v/>
      </c>
      <c r="AU1206" t="inlineStr">
        <is>
          <t>495568618:eng</t>
        </is>
      </c>
      <c r="AV1206" t="inlineStr">
        <is>
          <t>33897848</t>
        </is>
      </c>
      <c r="AW1206" t="inlineStr">
        <is>
          <t>991002586409702656</t>
        </is>
      </c>
      <c r="AX1206" t="inlineStr">
        <is>
          <t>991002586409702656</t>
        </is>
      </c>
      <c r="AY1206" t="inlineStr">
        <is>
          <t>2270860780002656</t>
        </is>
      </c>
      <c r="AZ1206" t="inlineStr">
        <is>
          <t>BOOK</t>
        </is>
      </c>
      <c r="BB1206" t="inlineStr">
        <is>
          <t>9780521564038</t>
        </is>
      </c>
      <c r="BC1206" t="inlineStr">
        <is>
          <t>32285002321825</t>
        </is>
      </c>
      <c r="BD1206" t="inlineStr">
        <is>
          <t>893685514</t>
        </is>
      </c>
    </row>
    <row r="1207">
      <c r="A1207" t="inlineStr">
        <is>
          <t>No</t>
        </is>
      </c>
      <c r="B1207" t="inlineStr">
        <is>
          <t>QH541.15.B56 S96 2008</t>
        </is>
      </c>
      <c r="C1207" t="inlineStr">
        <is>
          <t>0                      QH 0541150B  56                 S  96          2008</t>
        </is>
      </c>
      <c r="D1207" t="inlineStr">
        <is>
          <t>Sustaining life : how human health depends on biodiversity / edited by Eric Chivian and Aaron Bernstein ; foreword by Edward O. Wilson ; prologue by Kofi Annan.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L1207" t="inlineStr">
        <is>
          <t>Oxford ; New York : Oxford University Press, 2008.</t>
        </is>
      </c>
      <c r="M1207" t="inlineStr">
        <is>
          <t>2008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QH </t>
        </is>
      </c>
      <c r="S1207" t="n">
        <v>2</v>
      </c>
      <c r="T1207" t="n">
        <v>2</v>
      </c>
      <c r="U1207" t="inlineStr">
        <is>
          <t>2010-03-03</t>
        </is>
      </c>
      <c r="V1207" t="inlineStr">
        <is>
          <t>2010-03-03</t>
        </is>
      </c>
      <c r="W1207" t="inlineStr">
        <is>
          <t>2008-09-11</t>
        </is>
      </c>
      <c r="X1207" t="inlineStr">
        <is>
          <t>2008-09-11</t>
        </is>
      </c>
      <c r="Y1207" t="n">
        <v>1620</v>
      </c>
      <c r="Z1207" t="n">
        <v>1426</v>
      </c>
      <c r="AA1207" t="n">
        <v>1501</v>
      </c>
      <c r="AB1207" t="n">
        <v>13</v>
      </c>
      <c r="AC1207" t="n">
        <v>13</v>
      </c>
      <c r="AD1207" t="n">
        <v>41</v>
      </c>
      <c r="AE1207" t="n">
        <v>41</v>
      </c>
      <c r="AF1207" t="n">
        <v>13</v>
      </c>
      <c r="AG1207" t="n">
        <v>13</v>
      </c>
      <c r="AH1207" t="n">
        <v>7</v>
      </c>
      <c r="AI1207" t="n">
        <v>7</v>
      </c>
      <c r="AJ1207" t="n">
        <v>16</v>
      </c>
      <c r="AK1207" t="n">
        <v>16</v>
      </c>
      <c r="AL1207" t="n">
        <v>10</v>
      </c>
      <c r="AM1207" t="n">
        <v>10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HYPERLINK("https://creighton-primo.hosted.exlibrisgroup.com/primo-explore/search?tab=default_tab&amp;search_scope=EVERYTHING&amp;vid=01CRU&amp;lang=en_US&amp;offset=0&amp;query=any,contains,991005258269702656","Catalog Record")</f>
        <v/>
      </c>
      <c r="AT1207">
        <f>HYPERLINK("http://www.worldcat.org/oclc/132584570","WorldCat Record")</f>
        <v/>
      </c>
      <c r="AU1207" t="inlineStr">
        <is>
          <t>900716690:eng</t>
        </is>
      </c>
      <c r="AV1207" t="inlineStr">
        <is>
          <t>132584570</t>
        </is>
      </c>
      <c r="AW1207" t="inlineStr">
        <is>
          <t>991005258269702656</t>
        </is>
      </c>
      <c r="AX1207" t="inlineStr">
        <is>
          <t>991005258269702656</t>
        </is>
      </c>
      <c r="AY1207" t="inlineStr">
        <is>
          <t>2267649860002656</t>
        </is>
      </c>
      <c r="AZ1207" t="inlineStr">
        <is>
          <t>BOOK</t>
        </is>
      </c>
      <c r="BB1207" t="inlineStr">
        <is>
          <t>9780195175097</t>
        </is>
      </c>
      <c r="BC1207" t="inlineStr">
        <is>
          <t>32285005457899</t>
        </is>
      </c>
      <c r="BD1207" t="inlineStr">
        <is>
          <t>893795875</t>
        </is>
      </c>
    </row>
    <row r="1208">
      <c r="A1208" t="inlineStr">
        <is>
          <t>No</t>
        </is>
      </c>
      <c r="B1208" t="inlineStr">
        <is>
          <t>QH541.15.C44 A38 1996</t>
        </is>
      </c>
      <c r="C1208" t="inlineStr">
        <is>
          <t>0                      QH 0541150C  44                 A  38          1996</t>
        </is>
      </c>
      <c r="D1208" t="inlineStr">
        <is>
          <t>Bombardier beetles and fever trees : a close-up look at chemical warfare and signals in animals and plants / William Agosta.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Agosta, William C.</t>
        </is>
      </c>
      <c r="L1208" t="inlineStr">
        <is>
          <t>Reading, Mass. : Addison-Wesley Pub. Co., c1996.</t>
        </is>
      </c>
      <c r="M1208" t="inlineStr">
        <is>
          <t>1996</t>
        </is>
      </c>
      <c r="O1208" t="inlineStr">
        <is>
          <t>eng</t>
        </is>
      </c>
      <c r="P1208" t="inlineStr">
        <is>
          <t>mau</t>
        </is>
      </c>
      <c r="Q1208" t="inlineStr">
        <is>
          <t>Helix books</t>
        </is>
      </c>
      <c r="R1208" t="inlineStr">
        <is>
          <t xml:space="preserve">QH </t>
        </is>
      </c>
      <c r="S1208" t="n">
        <v>9</v>
      </c>
      <c r="T1208" t="n">
        <v>9</v>
      </c>
      <c r="U1208" t="inlineStr">
        <is>
          <t>2005-02-27</t>
        </is>
      </c>
      <c r="V1208" t="inlineStr">
        <is>
          <t>2005-02-27</t>
        </is>
      </c>
      <c r="W1208" t="inlineStr">
        <is>
          <t>1997-01-28</t>
        </is>
      </c>
      <c r="X1208" t="inlineStr">
        <is>
          <t>1997-01-28</t>
        </is>
      </c>
      <c r="Y1208" t="n">
        <v>948</v>
      </c>
      <c r="Z1208" t="n">
        <v>849</v>
      </c>
      <c r="AA1208" t="n">
        <v>875</v>
      </c>
      <c r="AB1208" t="n">
        <v>7</v>
      </c>
      <c r="AC1208" t="n">
        <v>7</v>
      </c>
      <c r="AD1208" t="n">
        <v>29</v>
      </c>
      <c r="AE1208" t="n">
        <v>29</v>
      </c>
      <c r="AF1208" t="n">
        <v>12</v>
      </c>
      <c r="AG1208" t="n">
        <v>12</v>
      </c>
      <c r="AH1208" t="n">
        <v>3</v>
      </c>
      <c r="AI1208" t="n">
        <v>3</v>
      </c>
      <c r="AJ1208" t="n">
        <v>13</v>
      </c>
      <c r="AK1208" t="n">
        <v>13</v>
      </c>
      <c r="AL1208" t="n">
        <v>6</v>
      </c>
      <c r="AM1208" t="n">
        <v>6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HYPERLINK("http://catalog.hathitrust.org/Record/003030538","HathiTrust Record")</f>
        <v/>
      </c>
      <c r="AS1208">
        <f>HYPERLINK("https://creighton-primo.hosted.exlibrisgroup.com/primo-explore/search?tab=default_tab&amp;search_scope=EVERYTHING&amp;vid=01CRU&amp;lang=en_US&amp;offset=0&amp;query=any,contains,991002509129702656","Catalog Record")</f>
        <v/>
      </c>
      <c r="AT1208">
        <f>HYPERLINK("http://www.worldcat.org/oclc/32626364","WorldCat Record")</f>
        <v/>
      </c>
      <c r="AU1208" t="inlineStr">
        <is>
          <t>836940028:eng</t>
        </is>
      </c>
      <c r="AV1208" t="inlineStr">
        <is>
          <t>32626364</t>
        </is>
      </c>
      <c r="AW1208" t="inlineStr">
        <is>
          <t>991002509129702656</t>
        </is>
      </c>
      <c r="AX1208" t="inlineStr">
        <is>
          <t>991002509129702656</t>
        </is>
      </c>
      <c r="AY1208" t="inlineStr">
        <is>
          <t>2267550700002656</t>
        </is>
      </c>
      <c r="AZ1208" t="inlineStr">
        <is>
          <t>BOOK</t>
        </is>
      </c>
      <c r="BB1208" t="inlineStr">
        <is>
          <t>9780201626582</t>
        </is>
      </c>
      <c r="BC1208" t="inlineStr">
        <is>
          <t>32285002412392</t>
        </is>
      </c>
      <c r="BD1208" t="inlineStr">
        <is>
          <t>893251315</t>
        </is>
      </c>
    </row>
    <row r="1209">
      <c r="A1209" t="inlineStr">
        <is>
          <t>No</t>
        </is>
      </c>
      <c r="B1209" t="inlineStr">
        <is>
          <t>QH541.15.F66 F66 2008</t>
        </is>
      </c>
      <c r="C1209" t="inlineStr">
        <is>
          <t>0                      QH 0541150F  66                 F  66          2008</t>
        </is>
      </c>
      <c r="D1209" t="inlineStr">
        <is>
          <t>Food webs and the dynamics of marine reefs / edited by Tim R. McClanahan, George M. Branch.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Oxford ; New York : Oxford University Press, 2008.</t>
        </is>
      </c>
      <c r="M1209" t="inlineStr">
        <is>
          <t>2008</t>
        </is>
      </c>
      <c r="O1209" t="inlineStr">
        <is>
          <t>eng</t>
        </is>
      </c>
      <c r="P1209" t="inlineStr">
        <is>
          <t>enk</t>
        </is>
      </c>
      <c r="R1209" t="inlineStr">
        <is>
          <t xml:space="preserve">QH </t>
        </is>
      </c>
      <c r="S1209" t="n">
        <v>1</v>
      </c>
      <c r="T1209" t="n">
        <v>1</v>
      </c>
      <c r="U1209" t="inlineStr">
        <is>
          <t>2008-05-13</t>
        </is>
      </c>
      <c r="V1209" t="inlineStr">
        <is>
          <t>2008-05-13</t>
        </is>
      </c>
      <c r="W1209" t="inlineStr">
        <is>
          <t>2008-05-13</t>
        </is>
      </c>
      <c r="X1209" t="inlineStr">
        <is>
          <t>2008-05-13</t>
        </is>
      </c>
      <c r="Y1209" t="n">
        <v>231</v>
      </c>
      <c r="Z1209" t="n">
        <v>185</v>
      </c>
      <c r="AA1209" t="n">
        <v>255</v>
      </c>
      <c r="AB1209" t="n">
        <v>1</v>
      </c>
      <c r="AC1209" t="n">
        <v>2</v>
      </c>
      <c r="AD1209" t="n">
        <v>8</v>
      </c>
      <c r="AE1209" t="n">
        <v>11</v>
      </c>
      <c r="AF1209" t="n">
        <v>1</v>
      </c>
      <c r="AG1209" t="n">
        <v>1</v>
      </c>
      <c r="AH1209" t="n">
        <v>5</v>
      </c>
      <c r="AI1209" t="n">
        <v>7</v>
      </c>
      <c r="AJ1209" t="n">
        <v>4</v>
      </c>
      <c r="AK1209" t="n">
        <v>5</v>
      </c>
      <c r="AL1209" t="n">
        <v>0</v>
      </c>
      <c r="AM1209" t="n">
        <v>1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HYPERLINK("https://creighton-primo.hosted.exlibrisgroup.com/primo-explore/search?tab=default_tab&amp;search_scope=EVERYTHING&amp;vid=01CRU&amp;lang=en_US&amp;offset=0&amp;query=any,contains,991005213529702656","Catalog Record")</f>
        <v/>
      </c>
      <c r="AT1209">
        <f>HYPERLINK("http://www.worldcat.org/oclc/152580921","WorldCat Record")</f>
        <v/>
      </c>
      <c r="AU1209" t="inlineStr">
        <is>
          <t>479582646:eng</t>
        </is>
      </c>
      <c r="AV1209" t="inlineStr">
        <is>
          <t>152580921</t>
        </is>
      </c>
      <c r="AW1209" t="inlineStr">
        <is>
          <t>991005213529702656</t>
        </is>
      </c>
      <c r="AX1209" t="inlineStr">
        <is>
          <t>991005213529702656</t>
        </is>
      </c>
      <c r="AY1209" t="inlineStr">
        <is>
          <t>2268478820002656</t>
        </is>
      </c>
      <c r="AZ1209" t="inlineStr">
        <is>
          <t>BOOK</t>
        </is>
      </c>
      <c r="BB1209" t="inlineStr">
        <is>
          <t>9780195319958</t>
        </is>
      </c>
      <c r="BC1209" t="inlineStr">
        <is>
          <t>32285005407373</t>
        </is>
      </c>
      <c r="BD1209" t="inlineStr">
        <is>
          <t>893795791</t>
        </is>
      </c>
    </row>
    <row r="1210">
      <c r="A1210" t="inlineStr">
        <is>
          <t>No</t>
        </is>
      </c>
      <c r="B1210" t="inlineStr">
        <is>
          <t>QH541.15.L35 F76 1998</t>
        </is>
      </c>
      <c r="C1210" t="inlineStr">
        <is>
          <t>0                      QH 0541150L  35                 F  76          1998</t>
        </is>
      </c>
      <c r="D1210" t="inlineStr">
        <is>
          <t>Remote sensing for landscape ecology : new metric indicators for monitoring, modeling, and assessment of ecosystems / Robert C. Frohn.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Frohn, Robert C.</t>
        </is>
      </c>
      <c r="L1210" t="inlineStr">
        <is>
          <t>Boca Raton : Lewis Publishers, c1998.</t>
        </is>
      </c>
      <c r="M1210" t="inlineStr">
        <is>
          <t>1998</t>
        </is>
      </c>
      <c r="O1210" t="inlineStr">
        <is>
          <t>eng</t>
        </is>
      </c>
      <c r="P1210" t="inlineStr">
        <is>
          <t>flu</t>
        </is>
      </c>
      <c r="R1210" t="inlineStr">
        <is>
          <t xml:space="preserve">QH </t>
        </is>
      </c>
      <c r="S1210" t="n">
        <v>3</v>
      </c>
      <c r="T1210" t="n">
        <v>3</v>
      </c>
      <c r="U1210" t="inlineStr">
        <is>
          <t>2010-08-12</t>
        </is>
      </c>
      <c r="V1210" t="inlineStr">
        <is>
          <t>2010-08-12</t>
        </is>
      </c>
      <c r="W1210" t="inlineStr">
        <is>
          <t>1998-03-20</t>
        </is>
      </c>
      <c r="X1210" t="inlineStr">
        <is>
          <t>1998-03-20</t>
        </is>
      </c>
      <c r="Y1210" t="n">
        <v>431</v>
      </c>
      <c r="Z1210" t="n">
        <v>298</v>
      </c>
      <c r="AA1210" t="n">
        <v>305</v>
      </c>
      <c r="AB1210" t="n">
        <v>2</v>
      </c>
      <c r="AC1210" t="n">
        <v>2</v>
      </c>
      <c r="AD1210" t="n">
        <v>5</v>
      </c>
      <c r="AE1210" t="n">
        <v>5</v>
      </c>
      <c r="AF1210" t="n">
        <v>2</v>
      </c>
      <c r="AG1210" t="n">
        <v>2</v>
      </c>
      <c r="AH1210" t="n">
        <v>1</v>
      </c>
      <c r="AI1210" t="n">
        <v>1</v>
      </c>
      <c r="AJ1210" t="n">
        <v>1</v>
      </c>
      <c r="AK1210" t="n">
        <v>1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HYPERLINK("https://creighton-primo.hosted.exlibrisgroup.com/primo-explore/search?tab=default_tab&amp;search_scope=EVERYTHING&amp;vid=01CRU&amp;lang=en_US&amp;offset=0&amp;query=any,contains,991002857489702656","Catalog Record")</f>
        <v/>
      </c>
      <c r="AT1210">
        <f>HYPERLINK("http://www.worldcat.org/oclc/37663140","WorldCat Record")</f>
        <v/>
      </c>
      <c r="AU1210" t="inlineStr">
        <is>
          <t>678095:eng</t>
        </is>
      </c>
      <c r="AV1210" t="inlineStr">
        <is>
          <t>37663140</t>
        </is>
      </c>
      <c r="AW1210" t="inlineStr">
        <is>
          <t>991002857489702656</t>
        </is>
      </c>
      <c r="AX1210" t="inlineStr">
        <is>
          <t>991002857489702656</t>
        </is>
      </c>
      <c r="AY1210" t="inlineStr">
        <is>
          <t>2269096600002656</t>
        </is>
      </c>
      <c r="AZ1210" t="inlineStr">
        <is>
          <t>BOOK</t>
        </is>
      </c>
      <c r="BB1210" t="inlineStr">
        <is>
          <t>9781566702751</t>
        </is>
      </c>
      <c r="BC1210" t="inlineStr">
        <is>
          <t>32285003359121</t>
        </is>
      </c>
      <c r="BD1210" t="inlineStr">
        <is>
          <t>893717004</t>
        </is>
      </c>
    </row>
    <row r="1211">
      <c r="A1211" t="inlineStr">
        <is>
          <t>No</t>
        </is>
      </c>
      <c r="B1211" t="inlineStr">
        <is>
          <t>QH541.15.L35 N38 1994</t>
        </is>
      </c>
      <c r="C1211" t="inlineStr">
        <is>
          <t>0                      QH 0541150L  35                 N  38          1994</t>
        </is>
      </c>
      <c r="D1211" t="inlineStr">
        <is>
          <t>Landscape ecology : theory and application / Zev Naveh, Arthur S. Lieberman.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Naveh, Zeev.</t>
        </is>
      </c>
      <c r="L1211" t="inlineStr">
        <is>
          <t>New York : Springer-Verlag, c1994.</t>
        </is>
      </c>
      <c r="M1211" t="inlineStr">
        <is>
          <t>1994</t>
        </is>
      </c>
      <c r="N1211" t="inlineStr">
        <is>
          <t>2nd ed.</t>
        </is>
      </c>
      <c r="O1211" t="inlineStr">
        <is>
          <t>eng</t>
        </is>
      </c>
      <c r="P1211" t="inlineStr">
        <is>
          <t>nyu</t>
        </is>
      </c>
      <c r="R1211" t="inlineStr">
        <is>
          <t xml:space="preserve">QH </t>
        </is>
      </c>
      <c r="S1211" t="n">
        <v>4</v>
      </c>
      <c r="T1211" t="n">
        <v>4</v>
      </c>
      <c r="U1211" t="inlineStr">
        <is>
          <t>1997-04-10</t>
        </is>
      </c>
      <c r="V1211" t="inlineStr">
        <is>
          <t>1997-04-10</t>
        </is>
      </c>
      <c r="W1211" t="inlineStr">
        <is>
          <t>1994-04-25</t>
        </is>
      </c>
      <c r="X1211" t="inlineStr">
        <is>
          <t>1994-04-25</t>
        </is>
      </c>
      <c r="Y1211" t="n">
        <v>366</v>
      </c>
      <c r="Z1211" t="n">
        <v>236</v>
      </c>
      <c r="AA1211" t="n">
        <v>500</v>
      </c>
      <c r="AB1211" t="n">
        <v>2</v>
      </c>
      <c r="AC1211" t="n">
        <v>3</v>
      </c>
      <c r="AD1211" t="n">
        <v>6</v>
      </c>
      <c r="AE1211" t="n">
        <v>16</v>
      </c>
      <c r="AF1211" t="n">
        <v>1</v>
      </c>
      <c r="AG1211" t="n">
        <v>5</v>
      </c>
      <c r="AH1211" t="n">
        <v>0</v>
      </c>
      <c r="AI1211" t="n">
        <v>4</v>
      </c>
      <c r="AJ1211" t="n">
        <v>4</v>
      </c>
      <c r="AK1211" t="n">
        <v>10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HYPERLINK("http://catalog.hathitrust.org/Record/002782569","HathiTrust Record")</f>
        <v/>
      </c>
      <c r="AS1211">
        <f>HYPERLINK("https://creighton-primo.hosted.exlibrisgroup.com/primo-explore/search?tab=default_tab&amp;search_scope=EVERYTHING&amp;vid=01CRU&amp;lang=en_US&amp;offset=0&amp;query=any,contains,991002227859702656","Catalog Record")</f>
        <v/>
      </c>
      <c r="AT1211">
        <f>HYPERLINK("http://www.worldcat.org/oclc/28708788","WorldCat Record")</f>
        <v/>
      </c>
      <c r="AU1211" t="inlineStr">
        <is>
          <t>1968049:eng</t>
        </is>
      </c>
      <c r="AV1211" t="inlineStr">
        <is>
          <t>28708788</t>
        </is>
      </c>
      <c r="AW1211" t="inlineStr">
        <is>
          <t>991002227859702656</t>
        </is>
      </c>
      <c r="AX1211" t="inlineStr">
        <is>
          <t>991002227859702656</t>
        </is>
      </c>
      <c r="AY1211" t="inlineStr">
        <is>
          <t>2256849250002656</t>
        </is>
      </c>
      <c r="AZ1211" t="inlineStr">
        <is>
          <t>BOOK</t>
        </is>
      </c>
      <c r="BB1211" t="inlineStr">
        <is>
          <t>9780387940595</t>
        </is>
      </c>
      <c r="BC1211" t="inlineStr">
        <is>
          <t>32285001877405</t>
        </is>
      </c>
      <c r="BD1211" t="inlineStr">
        <is>
          <t>893603340</t>
        </is>
      </c>
    </row>
    <row r="1212">
      <c r="A1212" t="inlineStr">
        <is>
          <t>No</t>
        </is>
      </c>
      <c r="B1212" t="inlineStr">
        <is>
          <t>QH541.15.M3 J43 1978</t>
        </is>
      </c>
      <c r="C1212" t="inlineStr">
        <is>
          <t>0                      QH 0541150M  3                  J  43          1978</t>
        </is>
      </c>
      <c r="D1212" t="inlineStr">
        <is>
          <t>An introduction to systems analysis, with ecological applications / John N. R. Jeffers.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Jeffers, J. N. R. (John Norman Richard)</t>
        </is>
      </c>
      <c r="L1212" t="inlineStr">
        <is>
          <t>Baltimore : University Park Press, [1978]</t>
        </is>
      </c>
      <c r="M1212" t="inlineStr">
        <is>
          <t>1978</t>
        </is>
      </c>
      <c r="O1212" t="inlineStr">
        <is>
          <t>eng</t>
        </is>
      </c>
      <c r="P1212" t="inlineStr">
        <is>
          <t>mdu</t>
        </is>
      </c>
      <c r="Q1212" t="inlineStr">
        <is>
          <t>A series of student texts in contemporary biology</t>
        </is>
      </c>
      <c r="R1212" t="inlineStr">
        <is>
          <t xml:space="preserve">QH </t>
        </is>
      </c>
      <c r="S1212" t="n">
        <v>2</v>
      </c>
      <c r="T1212" t="n">
        <v>2</v>
      </c>
      <c r="U1212" t="inlineStr">
        <is>
          <t>1999-11-07</t>
        </is>
      </c>
      <c r="V1212" t="inlineStr">
        <is>
          <t>1999-11-07</t>
        </is>
      </c>
      <c r="W1212" t="inlineStr">
        <is>
          <t>1993-04-30</t>
        </is>
      </c>
      <c r="X1212" t="inlineStr">
        <is>
          <t>1993-04-30</t>
        </is>
      </c>
      <c r="Y1212" t="n">
        <v>290</v>
      </c>
      <c r="Z1212" t="n">
        <v>244</v>
      </c>
      <c r="AA1212" t="n">
        <v>333</v>
      </c>
      <c r="AB1212" t="n">
        <v>2</v>
      </c>
      <c r="AC1212" t="n">
        <v>5</v>
      </c>
      <c r="AD1212" t="n">
        <v>8</v>
      </c>
      <c r="AE1212" t="n">
        <v>15</v>
      </c>
      <c r="AF1212" t="n">
        <v>4</v>
      </c>
      <c r="AG1212" t="n">
        <v>4</v>
      </c>
      <c r="AH1212" t="n">
        <v>2</v>
      </c>
      <c r="AI1212" t="n">
        <v>5</v>
      </c>
      <c r="AJ1212" t="n">
        <v>5</v>
      </c>
      <c r="AK1212" t="n">
        <v>6</v>
      </c>
      <c r="AL1212" t="n">
        <v>1</v>
      </c>
      <c r="AM1212" t="n">
        <v>4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HYPERLINK("http://catalog.hathitrust.org/Record/000018212","HathiTrust Record")</f>
        <v/>
      </c>
      <c r="AS1212">
        <f>HYPERLINK("https://creighton-primo.hosted.exlibrisgroup.com/primo-explore/search?tab=default_tab&amp;search_scope=EVERYTHING&amp;vid=01CRU&amp;lang=en_US&amp;offset=0&amp;query=any,contains,991004572819702656","Catalog Record")</f>
        <v/>
      </c>
      <c r="AT1212">
        <f>HYPERLINK("http://www.worldcat.org/oclc/4036540","WorldCat Record")</f>
        <v/>
      </c>
      <c r="AU1212" t="inlineStr">
        <is>
          <t>14272200:eng</t>
        </is>
      </c>
      <c r="AV1212" t="inlineStr">
        <is>
          <t>4036540</t>
        </is>
      </c>
      <c r="AW1212" t="inlineStr">
        <is>
          <t>991004572819702656</t>
        </is>
      </c>
      <c r="AX1212" t="inlineStr">
        <is>
          <t>991004572819702656</t>
        </is>
      </c>
      <c r="AY1212" t="inlineStr">
        <is>
          <t>2269525890002656</t>
        </is>
      </c>
      <c r="AZ1212" t="inlineStr">
        <is>
          <t>BOOK</t>
        </is>
      </c>
      <c r="BB1212" t="inlineStr">
        <is>
          <t>9780839113058</t>
        </is>
      </c>
      <c r="BC1212" t="inlineStr">
        <is>
          <t>32285001642320</t>
        </is>
      </c>
      <c r="BD1212" t="inlineStr">
        <is>
          <t>893344015</t>
        </is>
      </c>
    </row>
    <row r="1213">
      <c r="A1213" t="inlineStr">
        <is>
          <t>No</t>
        </is>
      </c>
      <c r="B1213" t="inlineStr">
        <is>
          <t>QH541.15.M3 J433 1982</t>
        </is>
      </c>
      <c r="C1213" t="inlineStr">
        <is>
          <t>0                      QH 0541150M  3                  J  433         1982</t>
        </is>
      </c>
      <c r="D1213" t="inlineStr">
        <is>
          <t>Modelling / John N.R. Jeffers.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Jeffers, J. N. R. (John Norman Richard)</t>
        </is>
      </c>
      <c r="L1213" t="inlineStr">
        <is>
          <t>London ; New York : Chapman and Hall, 1982.</t>
        </is>
      </c>
      <c r="M1213" t="inlineStr">
        <is>
          <t>1982</t>
        </is>
      </c>
      <c r="O1213" t="inlineStr">
        <is>
          <t>eng</t>
        </is>
      </c>
      <c r="P1213" t="inlineStr">
        <is>
          <t>enk</t>
        </is>
      </c>
      <c r="Q1213" t="inlineStr">
        <is>
          <t>Outline studies in ecology</t>
        </is>
      </c>
      <c r="R1213" t="inlineStr">
        <is>
          <t xml:space="preserve">QH </t>
        </is>
      </c>
      <c r="S1213" t="n">
        <v>2</v>
      </c>
      <c r="T1213" t="n">
        <v>2</v>
      </c>
      <c r="U1213" t="inlineStr">
        <is>
          <t>1997-02-25</t>
        </is>
      </c>
      <c r="V1213" t="inlineStr">
        <is>
          <t>1997-02-25</t>
        </is>
      </c>
      <c r="W1213" t="inlineStr">
        <is>
          <t>1993-04-30</t>
        </is>
      </c>
      <c r="X1213" t="inlineStr">
        <is>
          <t>1993-04-30</t>
        </is>
      </c>
      <c r="Y1213" t="n">
        <v>212</v>
      </c>
      <c r="Z1213" t="n">
        <v>106</v>
      </c>
      <c r="AA1213" t="n">
        <v>120</v>
      </c>
      <c r="AB1213" t="n">
        <v>2</v>
      </c>
      <c r="AC1213" t="n">
        <v>2</v>
      </c>
      <c r="AD1213" t="n">
        <v>3</v>
      </c>
      <c r="AE1213" t="n">
        <v>4</v>
      </c>
      <c r="AF1213" t="n">
        <v>2</v>
      </c>
      <c r="AG1213" t="n">
        <v>3</v>
      </c>
      <c r="AH1213" t="n">
        <v>0</v>
      </c>
      <c r="AI1213" t="n">
        <v>0</v>
      </c>
      <c r="AJ1213" t="n">
        <v>0</v>
      </c>
      <c r="AK1213" t="n">
        <v>1</v>
      </c>
      <c r="AL1213" t="n">
        <v>1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HYPERLINK("http://catalog.hathitrust.org/Record/008364321","HathiTrust Record")</f>
        <v/>
      </c>
      <c r="AS1213">
        <f>HYPERLINK("https://creighton-primo.hosted.exlibrisgroup.com/primo-explore/search?tab=default_tab&amp;search_scope=EVERYTHING&amp;vid=01CRU&amp;lang=en_US&amp;offset=0&amp;query=any,contains,991005248959702656","Catalog Record")</f>
        <v/>
      </c>
      <c r="AT1213">
        <f>HYPERLINK("http://www.worldcat.org/oclc/8476023","WorldCat Record")</f>
        <v/>
      </c>
      <c r="AU1213" t="inlineStr">
        <is>
          <t>31795341:eng</t>
        </is>
      </c>
      <c r="AV1213" t="inlineStr">
        <is>
          <t>8476023</t>
        </is>
      </c>
      <c r="AW1213" t="inlineStr">
        <is>
          <t>991005248959702656</t>
        </is>
      </c>
      <c r="AX1213" t="inlineStr">
        <is>
          <t>991005248959702656</t>
        </is>
      </c>
      <c r="AY1213" t="inlineStr">
        <is>
          <t>2257886420002656</t>
        </is>
      </c>
      <c r="AZ1213" t="inlineStr">
        <is>
          <t>BOOK</t>
        </is>
      </c>
      <c r="BB1213" t="inlineStr">
        <is>
          <t>9780412243608</t>
        </is>
      </c>
      <c r="BC1213" t="inlineStr">
        <is>
          <t>32285001642338</t>
        </is>
      </c>
      <c r="BD1213" t="inlineStr">
        <is>
          <t>893600883</t>
        </is>
      </c>
    </row>
    <row r="1214">
      <c r="A1214" t="inlineStr">
        <is>
          <t>No</t>
        </is>
      </c>
      <c r="B1214" t="inlineStr">
        <is>
          <t>QH541.15.M3 S32</t>
        </is>
      </c>
      <c r="C1214" t="inlineStr">
        <is>
          <t>0                      QH 0541150M  3                  S  32</t>
        </is>
      </c>
      <c r="D1214" t="inlineStr">
        <is>
          <t>Perspectives on lake ecosystem modeling / edited by Donald Scavia, Andrew Robertson.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Scavia, Donald, editor.</t>
        </is>
      </c>
      <c r="L1214" t="inlineStr">
        <is>
          <t>Ann Arbor, Mich. : Ann Arbor Science, [c1979].</t>
        </is>
      </c>
      <c r="M1214" t="inlineStr">
        <is>
          <t>1979</t>
        </is>
      </c>
      <c r="O1214" t="inlineStr">
        <is>
          <t>eng</t>
        </is>
      </c>
      <c r="P1214" t="inlineStr">
        <is>
          <t>miu</t>
        </is>
      </c>
      <c r="R1214" t="inlineStr">
        <is>
          <t xml:space="preserve">QH </t>
        </is>
      </c>
      <c r="S1214" t="n">
        <v>6</v>
      </c>
      <c r="T1214" t="n">
        <v>6</v>
      </c>
      <c r="U1214" t="inlineStr">
        <is>
          <t>1999-11-07</t>
        </is>
      </c>
      <c r="V1214" t="inlineStr">
        <is>
          <t>1999-11-07</t>
        </is>
      </c>
      <c r="W1214" t="inlineStr">
        <is>
          <t>1992-06-10</t>
        </is>
      </c>
      <c r="X1214" t="inlineStr">
        <is>
          <t>1992-06-10</t>
        </is>
      </c>
      <c r="Y1214" t="n">
        <v>375</v>
      </c>
      <c r="Z1214" t="n">
        <v>294</v>
      </c>
      <c r="AA1214" t="n">
        <v>301</v>
      </c>
      <c r="AB1214" t="n">
        <v>3</v>
      </c>
      <c r="AC1214" t="n">
        <v>3</v>
      </c>
      <c r="AD1214" t="n">
        <v>13</v>
      </c>
      <c r="AE1214" t="n">
        <v>13</v>
      </c>
      <c r="AF1214" t="n">
        <v>6</v>
      </c>
      <c r="AG1214" t="n">
        <v>6</v>
      </c>
      <c r="AH1214" t="n">
        <v>2</v>
      </c>
      <c r="AI1214" t="n">
        <v>2</v>
      </c>
      <c r="AJ1214" t="n">
        <v>6</v>
      </c>
      <c r="AK1214" t="n">
        <v>6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HYPERLINK("http://catalog.hathitrust.org/Record/006243041","HathiTrust Record")</f>
        <v/>
      </c>
      <c r="AS1214">
        <f>HYPERLINK("https://creighton-primo.hosted.exlibrisgroup.com/primo-explore/search?tab=default_tab&amp;search_scope=EVERYTHING&amp;vid=01CRU&amp;lang=en_US&amp;offset=0&amp;query=any,contains,991004705919702656","Catalog Record")</f>
        <v/>
      </c>
      <c r="AT1214">
        <f>HYPERLINK("http://www.worldcat.org/oclc/5195612","WorldCat Record")</f>
        <v/>
      </c>
      <c r="AU1214" t="inlineStr">
        <is>
          <t>355953977:eng</t>
        </is>
      </c>
      <c r="AV1214" t="inlineStr">
        <is>
          <t>5195612</t>
        </is>
      </c>
      <c r="AW1214" t="inlineStr">
        <is>
          <t>991004705919702656</t>
        </is>
      </c>
      <c r="AX1214" t="inlineStr">
        <is>
          <t>991004705919702656</t>
        </is>
      </c>
      <c r="AY1214" t="inlineStr">
        <is>
          <t>2255585010002656</t>
        </is>
      </c>
      <c r="AZ1214" t="inlineStr">
        <is>
          <t>BOOK</t>
        </is>
      </c>
      <c r="BB1214" t="inlineStr">
        <is>
          <t>9780250402489</t>
        </is>
      </c>
      <c r="BC1214" t="inlineStr">
        <is>
          <t>32285001099364</t>
        </is>
      </c>
      <c r="BD1214" t="inlineStr">
        <is>
          <t>893436648</t>
        </is>
      </c>
    </row>
    <row r="1215">
      <c r="A1215" t="inlineStr">
        <is>
          <t>No</t>
        </is>
      </c>
      <c r="B1215" t="inlineStr">
        <is>
          <t>QH541.15.M3 S92</t>
        </is>
      </c>
      <c r="C1215" t="inlineStr">
        <is>
          <t>0                      QH 0541150M  3                  S  92</t>
        </is>
      </c>
      <c r="D1215" t="inlineStr">
        <is>
          <t>Systems ecology / edited by H. H. Shugart and R. V. O'Neill.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L1215" t="inlineStr">
        <is>
          <t>Stroudsburg, Pa. : Dowden, Hutchinson &amp; Ross ; [New York] : distributed by Academic Press, c1979.</t>
        </is>
      </c>
      <c r="M1215" t="inlineStr">
        <is>
          <t>1979</t>
        </is>
      </c>
      <c r="O1215" t="inlineStr">
        <is>
          <t>eng</t>
        </is>
      </c>
      <c r="P1215" t="inlineStr">
        <is>
          <t>pau</t>
        </is>
      </c>
      <c r="Q1215" t="inlineStr">
        <is>
          <t>Benchmark papers in ecology ; v. 9</t>
        </is>
      </c>
      <c r="R1215" t="inlineStr">
        <is>
          <t xml:space="preserve">QH </t>
        </is>
      </c>
      <c r="S1215" t="n">
        <v>6</v>
      </c>
      <c r="T1215" t="n">
        <v>6</v>
      </c>
      <c r="U1215" t="inlineStr">
        <is>
          <t>1994-12-07</t>
        </is>
      </c>
      <c r="V1215" t="inlineStr">
        <is>
          <t>1994-12-07</t>
        </is>
      </c>
      <c r="W1215" t="inlineStr">
        <is>
          <t>1993-04-30</t>
        </is>
      </c>
      <c r="X1215" t="inlineStr">
        <is>
          <t>1993-04-30</t>
        </is>
      </c>
      <c r="Y1215" t="n">
        <v>379</v>
      </c>
      <c r="Z1215" t="n">
        <v>280</v>
      </c>
      <c r="AA1215" t="n">
        <v>287</v>
      </c>
      <c r="AB1215" t="n">
        <v>3</v>
      </c>
      <c r="AC1215" t="n">
        <v>3</v>
      </c>
      <c r="AD1215" t="n">
        <v>8</v>
      </c>
      <c r="AE1215" t="n">
        <v>8</v>
      </c>
      <c r="AF1215" t="n">
        <v>3</v>
      </c>
      <c r="AG1215" t="n">
        <v>3</v>
      </c>
      <c r="AH1215" t="n">
        <v>2</v>
      </c>
      <c r="AI1215" t="n">
        <v>2</v>
      </c>
      <c r="AJ1215" t="n">
        <v>4</v>
      </c>
      <c r="AK1215" t="n">
        <v>4</v>
      </c>
      <c r="AL1215" t="n">
        <v>2</v>
      </c>
      <c r="AM1215" t="n">
        <v>2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Yes</t>
        </is>
      </c>
      <c r="AR1215">
        <f>HYPERLINK("http://catalog.hathitrust.org/Record/000225624","HathiTrust Record")</f>
        <v/>
      </c>
      <c r="AS1215">
        <f>HYPERLINK("https://creighton-primo.hosted.exlibrisgroup.com/primo-explore/search?tab=default_tab&amp;search_scope=EVERYTHING&amp;vid=01CRU&amp;lang=en_US&amp;offset=0&amp;query=any,contains,991004699609702656","Catalog Record")</f>
        <v/>
      </c>
      <c r="AT1215">
        <f>HYPERLINK("http://www.worldcat.org/oclc/4664585","WorldCat Record")</f>
        <v/>
      </c>
      <c r="AU1215" t="inlineStr">
        <is>
          <t>355129017:eng</t>
        </is>
      </c>
      <c r="AV1215" t="inlineStr">
        <is>
          <t>4664585</t>
        </is>
      </c>
      <c r="AW1215" t="inlineStr">
        <is>
          <t>991004699609702656</t>
        </is>
      </c>
      <c r="AX1215" t="inlineStr">
        <is>
          <t>991004699609702656</t>
        </is>
      </c>
      <c r="AY1215" t="inlineStr">
        <is>
          <t>2272435970002656</t>
        </is>
      </c>
      <c r="AZ1215" t="inlineStr">
        <is>
          <t>BOOK</t>
        </is>
      </c>
      <c r="BB1215" t="inlineStr">
        <is>
          <t>9780879333478</t>
        </is>
      </c>
      <c r="BC1215" t="inlineStr">
        <is>
          <t>32285001642353</t>
        </is>
      </c>
      <c r="BD1215" t="inlineStr">
        <is>
          <t>893430389</t>
        </is>
      </c>
    </row>
    <row r="1216">
      <c r="A1216" t="inlineStr">
        <is>
          <t>No</t>
        </is>
      </c>
      <c r="B1216" t="inlineStr">
        <is>
          <t>QH541.15.M34 H37 1985</t>
        </is>
      </c>
      <c r="C1216" t="inlineStr">
        <is>
          <t>0                      QH 0541150M  34                 H  37          1985</t>
        </is>
      </c>
      <c r="D1216" t="inlineStr">
        <is>
          <t>Consider a spherical cow : a course in environmental problem solving / John Harte.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Harte, John, 1939-</t>
        </is>
      </c>
      <c r="L1216" t="inlineStr">
        <is>
          <t>Los Altos, Calif. : W. Kaufmann, c1985.</t>
        </is>
      </c>
      <c r="M1216" t="inlineStr">
        <is>
          <t>1985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QH </t>
        </is>
      </c>
      <c r="S1216" t="n">
        <v>7</v>
      </c>
      <c r="T1216" t="n">
        <v>7</v>
      </c>
      <c r="U1216" t="inlineStr">
        <is>
          <t>2002-12-05</t>
        </is>
      </c>
      <c r="V1216" t="inlineStr">
        <is>
          <t>2002-12-05</t>
        </is>
      </c>
      <c r="W1216" t="inlineStr">
        <is>
          <t>1991-11-19</t>
        </is>
      </c>
      <c r="X1216" t="inlineStr">
        <is>
          <t>1991-11-19</t>
        </is>
      </c>
      <c r="Y1216" t="n">
        <v>451</v>
      </c>
      <c r="Z1216" t="n">
        <v>379</v>
      </c>
      <c r="AA1216" t="n">
        <v>729</v>
      </c>
      <c r="AB1216" t="n">
        <v>3</v>
      </c>
      <c r="AC1216" t="n">
        <v>6</v>
      </c>
      <c r="AD1216" t="n">
        <v>13</v>
      </c>
      <c r="AE1216" t="n">
        <v>33</v>
      </c>
      <c r="AF1216" t="n">
        <v>5</v>
      </c>
      <c r="AG1216" t="n">
        <v>13</v>
      </c>
      <c r="AH1216" t="n">
        <v>2</v>
      </c>
      <c r="AI1216" t="n">
        <v>5</v>
      </c>
      <c r="AJ1216" t="n">
        <v>6</v>
      </c>
      <c r="AK1216" t="n">
        <v>20</v>
      </c>
      <c r="AL1216" t="n">
        <v>2</v>
      </c>
      <c r="AM1216" t="n">
        <v>5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HYPERLINK("http://catalog.hathitrust.org/Record/000612840","HathiTrust Record")</f>
        <v/>
      </c>
      <c r="AS1216">
        <f>HYPERLINK("https://creighton-primo.hosted.exlibrisgroup.com/primo-explore/search?tab=default_tab&amp;search_scope=EVERYTHING&amp;vid=01CRU&amp;lang=en_US&amp;offset=0&amp;query=any,contains,991000586249702656","Catalog Record")</f>
        <v/>
      </c>
      <c r="AT1216">
        <f>HYPERLINK("http://www.worldcat.org/oclc/11757216","WorldCat Record")</f>
        <v/>
      </c>
      <c r="AU1216" t="inlineStr">
        <is>
          <t>4326713:eng</t>
        </is>
      </c>
      <c r="AV1216" t="inlineStr">
        <is>
          <t>11757216</t>
        </is>
      </c>
      <c r="AW1216" t="inlineStr">
        <is>
          <t>991000586249702656</t>
        </is>
      </c>
      <c r="AX1216" t="inlineStr">
        <is>
          <t>991000586249702656</t>
        </is>
      </c>
      <c r="AY1216" t="inlineStr">
        <is>
          <t>2269994420002656</t>
        </is>
      </c>
      <c r="AZ1216" t="inlineStr">
        <is>
          <t>BOOK</t>
        </is>
      </c>
      <c r="BB1216" t="inlineStr">
        <is>
          <t>9780865760936</t>
        </is>
      </c>
      <c r="BC1216" t="inlineStr">
        <is>
          <t>32285000824606</t>
        </is>
      </c>
      <c r="BD1216" t="inlineStr">
        <is>
          <t>893333604</t>
        </is>
      </c>
    </row>
    <row r="1217">
      <c r="A1217" t="inlineStr">
        <is>
          <t>No</t>
        </is>
      </c>
      <c r="B1217" t="inlineStr">
        <is>
          <t>QH541.15.M64 L95 1998</t>
        </is>
      </c>
      <c r="C1217" t="inlineStr">
        <is>
          <t>0                      QH 0541150M  64                 L  95          1998</t>
        </is>
      </c>
      <c r="D1217" t="inlineStr">
        <is>
          <t>Environmental biomonitoring : the biotechnology ecotoxicology interface / James M. Lynch and Alan Wiseman.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Lynch, J. M. (James Michael)</t>
        </is>
      </c>
      <c r="L1217" t="inlineStr">
        <is>
          <t>Cambridge, [Eng.] ; New York : Cambridge University Press, 1998.</t>
        </is>
      </c>
      <c r="M1217" t="inlineStr">
        <is>
          <t>1998</t>
        </is>
      </c>
      <c r="O1217" t="inlineStr">
        <is>
          <t>eng</t>
        </is>
      </c>
      <c r="P1217" t="inlineStr">
        <is>
          <t>enk</t>
        </is>
      </c>
      <c r="Q1217" t="inlineStr">
        <is>
          <t>Biotechnology research series ; 7</t>
        </is>
      </c>
      <c r="R1217" t="inlineStr">
        <is>
          <t xml:space="preserve">QH </t>
        </is>
      </c>
      <c r="S1217" t="n">
        <v>1</v>
      </c>
      <c r="T1217" t="n">
        <v>1</v>
      </c>
      <c r="U1217" t="inlineStr">
        <is>
          <t>2000-04-01</t>
        </is>
      </c>
      <c r="V1217" t="inlineStr">
        <is>
          <t>2000-04-01</t>
        </is>
      </c>
      <c r="W1217" t="inlineStr">
        <is>
          <t>1999-10-12</t>
        </is>
      </c>
      <c r="X1217" t="inlineStr">
        <is>
          <t>1999-10-12</t>
        </is>
      </c>
      <c r="Y1217" t="n">
        <v>327</v>
      </c>
      <c r="Z1217" t="n">
        <v>234</v>
      </c>
      <c r="AA1217" t="n">
        <v>239</v>
      </c>
      <c r="AB1217" t="n">
        <v>1</v>
      </c>
      <c r="AC1217" t="n">
        <v>1</v>
      </c>
      <c r="AD1217" t="n">
        <v>10</v>
      </c>
      <c r="AE1217" t="n">
        <v>10</v>
      </c>
      <c r="AF1217" t="n">
        <v>3</v>
      </c>
      <c r="AG1217" t="n">
        <v>3</v>
      </c>
      <c r="AH1217" t="n">
        <v>3</v>
      </c>
      <c r="AI1217" t="n">
        <v>3</v>
      </c>
      <c r="AJ1217" t="n">
        <v>8</v>
      </c>
      <c r="AK1217" t="n">
        <v>8</v>
      </c>
      <c r="AL1217" t="n">
        <v>0</v>
      </c>
      <c r="AM1217" t="n">
        <v>0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No</t>
        </is>
      </c>
      <c r="AS1217">
        <f>HYPERLINK("https://creighton-primo.hosted.exlibrisgroup.com/primo-explore/search?tab=default_tab&amp;search_scope=EVERYTHING&amp;vid=01CRU&amp;lang=en_US&amp;offset=0&amp;query=any,contains,991002807619702656","Catalog Record")</f>
        <v/>
      </c>
      <c r="AT1217">
        <f>HYPERLINK("http://www.worldcat.org/oclc/36884347","WorldCat Record")</f>
        <v/>
      </c>
      <c r="AU1217" t="inlineStr">
        <is>
          <t>355944259:eng</t>
        </is>
      </c>
      <c r="AV1217" t="inlineStr">
        <is>
          <t>36884347</t>
        </is>
      </c>
      <c r="AW1217" t="inlineStr">
        <is>
          <t>991002807619702656</t>
        </is>
      </c>
      <c r="AX1217" t="inlineStr">
        <is>
          <t>991002807619702656</t>
        </is>
      </c>
      <c r="AY1217" t="inlineStr">
        <is>
          <t>2269017250002656</t>
        </is>
      </c>
      <c r="AZ1217" t="inlineStr">
        <is>
          <t>BOOK</t>
        </is>
      </c>
      <c r="BB1217" t="inlineStr">
        <is>
          <t>9780521621410</t>
        </is>
      </c>
      <c r="BC1217" t="inlineStr">
        <is>
          <t>32285003594842</t>
        </is>
      </c>
      <c r="BD1217" t="inlineStr">
        <is>
          <t>893792942</t>
        </is>
      </c>
    </row>
    <row r="1218">
      <c r="A1218" t="inlineStr">
        <is>
          <t>No</t>
        </is>
      </c>
      <c r="B1218" t="inlineStr">
        <is>
          <t>QH541.15.R45 E27 1991</t>
        </is>
      </c>
      <c r="C1218" t="inlineStr">
        <is>
          <t>0                      QH 0541150R  45                 E  27          1991</t>
        </is>
      </c>
      <c r="D1218" t="inlineStr">
        <is>
          <t>Ecotones : the role of landscape boundaries in the management and restoration of changing environments / edited by Marjorie M. Holland, Paul G. Risser, Robert J. Naiman.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New York ; London : Chapman and Hall, c1991.</t>
        </is>
      </c>
      <c r="M1218" t="inlineStr">
        <is>
          <t>1991</t>
        </is>
      </c>
      <c r="O1218" t="inlineStr">
        <is>
          <t>eng</t>
        </is>
      </c>
      <c r="P1218" t="inlineStr">
        <is>
          <t>nyu</t>
        </is>
      </c>
      <c r="R1218" t="inlineStr">
        <is>
          <t xml:space="preserve">QH </t>
        </is>
      </c>
      <c r="S1218" t="n">
        <v>4</v>
      </c>
      <c r="T1218" t="n">
        <v>4</v>
      </c>
      <c r="U1218" t="inlineStr">
        <is>
          <t>1998-03-31</t>
        </is>
      </c>
      <c r="V1218" t="inlineStr">
        <is>
          <t>1998-03-31</t>
        </is>
      </c>
      <c r="W1218" t="inlineStr">
        <is>
          <t>1996-06-13</t>
        </is>
      </c>
      <c r="X1218" t="inlineStr">
        <is>
          <t>1996-06-13</t>
        </is>
      </c>
      <c r="Y1218" t="n">
        <v>327</v>
      </c>
      <c r="Z1218" t="n">
        <v>215</v>
      </c>
      <c r="AA1218" t="n">
        <v>225</v>
      </c>
      <c r="AB1218" t="n">
        <v>3</v>
      </c>
      <c r="AC1218" t="n">
        <v>3</v>
      </c>
      <c r="AD1218" t="n">
        <v>5</v>
      </c>
      <c r="AE1218" t="n">
        <v>6</v>
      </c>
      <c r="AF1218" t="n">
        <v>1</v>
      </c>
      <c r="AG1218" t="n">
        <v>2</v>
      </c>
      <c r="AH1218" t="n">
        <v>1</v>
      </c>
      <c r="AI1218" t="n">
        <v>1</v>
      </c>
      <c r="AJ1218" t="n">
        <v>1</v>
      </c>
      <c r="AK1218" t="n">
        <v>2</v>
      </c>
      <c r="AL1218" t="n">
        <v>2</v>
      </c>
      <c r="AM1218" t="n">
        <v>2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HYPERLINK("http://catalog.hathitrust.org/Record/002493158","HathiTrust Record")</f>
        <v/>
      </c>
      <c r="AS1218">
        <f>HYPERLINK("https://creighton-primo.hosted.exlibrisgroup.com/primo-explore/search?tab=default_tab&amp;search_scope=EVERYTHING&amp;vid=01CRU&amp;lang=en_US&amp;offset=0&amp;query=any,contains,991001884489702656","Catalog Record")</f>
        <v/>
      </c>
      <c r="AT1218">
        <f>HYPERLINK("http://www.worldcat.org/oclc/23766315","WorldCat Record")</f>
        <v/>
      </c>
      <c r="AU1218" t="inlineStr">
        <is>
          <t>837077680:eng</t>
        </is>
      </c>
      <c r="AV1218" t="inlineStr">
        <is>
          <t>23766315</t>
        </is>
      </c>
      <c r="AW1218" t="inlineStr">
        <is>
          <t>991001884489702656</t>
        </is>
      </c>
      <c r="AX1218" t="inlineStr">
        <is>
          <t>991001884489702656</t>
        </is>
      </c>
      <c r="AY1218" t="inlineStr">
        <is>
          <t>2269477320002656</t>
        </is>
      </c>
      <c r="AZ1218" t="inlineStr">
        <is>
          <t>BOOK</t>
        </is>
      </c>
      <c r="BB1218" t="inlineStr">
        <is>
          <t>9780412030918</t>
        </is>
      </c>
      <c r="BC1218" t="inlineStr">
        <is>
          <t>32285002192697</t>
        </is>
      </c>
      <c r="BD1218" t="inlineStr">
        <is>
          <t>893433202</t>
        </is>
      </c>
    </row>
    <row r="1219">
      <c r="A1219" t="inlineStr">
        <is>
          <t>No</t>
        </is>
      </c>
      <c r="B1219" t="inlineStr">
        <is>
          <t>QH541.15.R45 M55 1995</t>
        </is>
      </c>
      <c r="C1219" t="inlineStr">
        <is>
          <t>0                      QH 0541150R  45                 M  55          1995</t>
        </is>
      </c>
      <c r="D1219" t="inlineStr">
        <is>
          <t>In service of the wild : restoring and reinhabiting damaged land / Stephanie Mills.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Mills, Stephanie, 1948-</t>
        </is>
      </c>
      <c r="L1219" t="inlineStr">
        <is>
          <t>Boston : Beacon Press, c1995.</t>
        </is>
      </c>
      <c r="M1219" t="inlineStr">
        <is>
          <t>1995</t>
        </is>
      </c>
      <c r="O1219" t="inlineStr">
        <is>
          <t>eng</t>
        </is>
      </c>
      <c r="P1219" t="inlineStr">
        <is>
          <t>mau</t>
        </is>
      </c>
      <c r="Q1219" t="inlineStr">
        <is>
          <t>The Concord library</t>
        </is>
      </c>
      <c r="R1219" t="inlineStr">
        <is>
          <t xml:space="preserve">QH </t>
        </is>
      </c>
      <c r="S1219" t="n">
        <v>2</v>
      </c>
      <c r="T1219" t="n">
        <v>2</v>
      </c>
      <c r="U1219" t="inlineStr">
        <is>
          <t>1996-11-05</t>
        </is>
      </c>
      <c r="V1219" t="inlineStr">
        <is>
          <t>1996-11-05</t>
        </is>
      </c>
      <c r="W1219" t="inlineStr">
        <is>
          <t>1995-10-23</t>
        </is>
      </c>
      <c r="X1219" t="inlineStr">
        <is>
          <t>1995-10-23</t>
        </is>
      </c>
      <c r="Y1219" t="n">
        <v>459</v>
      </c>
      <c r="Z1219" t="n">
        <v>417</v>
      </c>
      <c r="AA1219" t="n">
        <v>426</v>
      </c>
      <c r="AB1219" t="n">
        <v>4</v>
      </c>
      <c r="AC1219" t="n">
        <v>4</v>
      </c>
      <c r="AD1219" t="n">
        <v>13</v>
      </c>
      <c r="AE1219" t="n">
        <v>13</v>
      </c>
      <c r="AF1219" t="n">
        <v>1</v>
      </c>
      <c r="AG1219" t="n">
        <v>1</v>
      </c>
      <c r="AH1219" t="n">
        <v>4</v>
      </c>
      <c r="AI1219" t="n">
        <v>4</v>
      </c>
      <c r="AJ1219" t="n">
        <v>7</v>
      </c>
      <c r="AK1219" t="n">
        <v>7</v>
      </c>
      <c r="AL1219" t="n">
        <v>2</v>
      </c>
      <c r="AM1219" t="n">
        <v>2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HYPERLINK("https://creighton-primo.hosted.exlibrisgroup.com/primo-explore/search?tab=default_tab&amp;search_scope=EVERYTHING&amp;vid=01CRU&amp;lang=en_US&amp;offset=0&amp;query=any,contains,991002402739702656","Catalog Record")</f>
        <v/>
      </c>
      <c r="AT1219">
        <f>HYPERLINK("http://www.worldcat.org/oclc/31240790","WorldCat Record")</f>
        <v/>
      </c>
      <c r="AU1219" t="inlineStr">
        <is>
          <t>33431190:eng</t>
        </is>
      </c>
      <c r="AV1219" t="inlineStr">
        <is>
          <t>31240790</t>
        </is>
      </c>
      <c r="AW1219" t="inlineStr">
        <is>
          <t>991002402739702656</t>
        </is>
      </c>
      <c r="AX1219" t="inlineStr">
        <is>
          <t>991002402739702656</t>
        </is>
      </c>
      <c r="AY1219" t="inlineStr">
        <is>
          <t>2256438290002656</t>
        </is>
      </c>
      <c r="AZ1219" t="inlineStr">
        <is>
          <t>BOOK</t>
        </is>
      </c>
      <c r="BB1219" t="inlineStr">
        <is>
          <t>9780807085349</t>
        </is>
      </c>
      <c r="BC1219" t="inlineStr">
        <is>
          <t>32285002097276</t>
        </is>
      </c>
      <c r="BD1219" t="inlineStr">
        <is>
          <t>893873470</t>
        </is>
      </c>
    </row>
    <row r="1220">
      <c r="A1220" t="inlineStr">
        <is>
          <t>No</t>
        </is>
      </c>
      <c r="B1220" t="inlineStr">
        <is>
          <t>QH541.15.R45 R47 1995</t>
        </is>
      </c>
      <c r="C1220" t="inlineStr">
        <is>
          <t>0                      QH 0541150R  45                 R  47          1995</t>
        </is>
      </c>
      <c r="D1220" t="inlineStr">
        <is>
          <t>Rehabilitating damaged ecosystems / edited by John Cairns, Jr.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Boca Raton : Lewis Publishers, c1995.</t>
        </is>
      </c>
      <c r="M1220" t="inlineStr">
        <is>
          <t>1995</t>
        </is>
      </c>
      <c r="N1220" t="inlineStr">
        <is>
          <t>2nd ed.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QH </t>
        </is>
      </c>
      <c r="S1220" t="n">
        <v>6</v>
      </c>
      <c r="T1220" t="n">
        <v>6</v>
      </c>
      <c r="U1220" t="inlineStr">
        <is>
          <t>2004-10-12</t>
        </is>
      </c>
      <c r="V1220" t="inlineStr">
        <is>
          <t>2004-10-12</t>
        </is>
      </c>
      <c r="W1220" t="inlineStr">
        <is>
          <t>1997-11-05</t>
        </is>
      </c>
      <c r="X1220" t="inlineStr">
        <is>
          <t>1997-11-05</t>
        </is>
      </c>
      <c r="Y1220" t="n">
        <v>377</v>
      </c>
      <c r="Z1220" t="n">
        <v>272</v>
      </c>
      <c r="AA1220" t="n">
        <v>464</v>
      </c>
      <c r="AB1220" t="n">
        <v>4</v>
      </c>
      <c r="AC1220" t="n">
        <v>4</v>
      </c>
      <c r="AD1220" t="n">
        <v>9</v>
      </c>
      <c r="AE1220" t="n">
        <v>14</v>
      </c>
      <c r="AF1220" t="n">
        <v>2</v>
      </c>
      <c r="AG1220" t="n">
        <v>4</v>
      </c>
      <c r="AH1220" t="n">
        <v>2</v>
      </c>
      <c r="AI1220" t="n">
        <v>3</v>
      </c>
      <c r="AJ1220" t="n">
        <v>4</v>
      </c>
      <c r="AK1220" t="n">
        <v>7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HYPERLINK("https://creighton-primo.hosted.exlibrisgroup.com/primo-explore/search?tab=default_tab&amp;search_scope=EVERYTHING&amp;vid=01CRU&amp;lang=en_US&amp;offset=0&amp;query=any,contains,991002330129702656","Catalog Record")</f>
        <v/>
      </c>
      <c r="AT1220">
        <f>HYPERLINK("http://www.worldcat.org/oclc/30319769","WorldCat Record")</f>
        <v/>
      </c>
      <c r="AU1220" t="inlineStr">
        <is>
          <t>54996019:eng</t>
        </is>
      </c>
      <c r="AV1220" t="inlineStr">
        <is>
          <t>30319769</t>
        </is>
      </c>
      <c r="AW1220" t="inlineStr">
        <is>
          <t>991002330129702656</t>
        </is>
      </c>
      <c r="AX1220" t="inlineStr">
        <is>
          <t>991002330129702656</t>
        </is>
      </c>
      <c r="AY1220" t="inlineStr">
        <is>
          <t>2267929480002656</t>
        </is>
      </c>
      <c r="AZ1220" t="inlineStr">
        <is>
          <t>BOOK</t>
        </is>
      </c>
      <c r="BB1220" t="inlineStr">
        <is>
          <t>9781566700436</t>
        </is>
      </c>
      <c r="BC1220" t="inlineStr">
        <is>
          <t>32285003276036</t>
        </is>
      </c>
      <c r="BD1220" t="inlineStr">
        <is>
          <t>893262225</t>
        </is>
      </c>
    </row>
    <row r="1221">
      <c r="A1221" t="inlineStr">
        <is>
          <t>No</t>
        </is>
      </c>
      <c r="B1221" t="inlineStr">
        <is>
          <t>QH541.15.R45 R49 1993</t>
        </is>
      </c>
      <c r="C1221" t="inlineStr">
        <is>
          <t>0                      QH 0541150R  45                 R  49          1993</t>
        </is>
      </c>
      <c r="D1221" t="inlineStr">
        <is>
          <t>Restoration and management of lakes and reservoirs / G. Dennis Cooke ... [et al.].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Boca Raton, Fla. : Lewis Publishers, c1993.</t>
        </is>
      </c>
      <c r="M1221" t="inlineStr">
        <is>
          <t>1993</t>
        </is>
      </c>
      <c r="N1221" t="inlineStr">
        <is>
          <t>2nd ed.</t>
        </is>
      </c>
      <c r="O1221" t="inlineStr">
        <is>
          <t>eng</t>
        </is>
      </c>
      <c r="P1221" t="inlineStr">
        <is>
          <t>flu</t>
        </is>
      </c>
      <c r="R1221" t="inlineStr">
        <is>
          <t xml:space="preserve">QH </t>
        </is>
      </c>
      <c r="S1221" t="n">
        <v>7</v>
      </c>
      <c r="T1221" t="n">
        <v>7</v>
      </c>
      <c r="U1221" t="inlineStr">
        <is>
          <t>1998-03-31</t>
        </is>
      </c>
      <c r="V1221" t="inlineStr">
        <is>
          <t>1998-03-31</t>
        </is>
      </c>
      <c r="W1221" t="inlineStr">
        <is>
          <t>1993-11-15</t>
        </is>
      </c>
      <c r="X1221" t="inlineStr">
        <is>
          <t>1993-11-15</t>
        </is>
      </c>
      <c r="Y1221" t="n">
        <v>396</v>
      </c>
      <c r="Z1221" t="n">
        <v>281</v>
      </c>
      <c r="AA1221" t="n">
        <v>381</v>
      </c>
      <c r="AB1221" t="n">
        <v>3</v>
      </c>
      <c r="AC1221" t="n">
        <v>4</v>
      </c>
      <c r="AD1221" t="n">
        <v>7</v>
      </c>
      <c r="AE1221" t="n">
        <v>9</v>
      </c>
      <c r="AF1221" t="n">
        <v>1</v>
      </c>
      <c r="AG1221" t="n">
        <v>2</v>
      </c>
      <c r="AH1221" t="n">
        <v>2</v>
      </c>
      <c r="AI1221" t="n">
        <v>2</v>
      </c>
      <c r="AJ1221" t="n">
        <v>4</v>
      </c>
      <c r="AK1221" t="n">
        <v>5</v>
      </c>
      <c r="AL1221" t="n">
        <v>1</v>
      </c>
      <c r="AM1221" t="n">
        <v>2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HYPERLINK("https://creighton-primo.hosted.exlibrisgroup.com/primo-explore/search?tab=default_tab&amp;search_scope=EVERYTHING&amp;vid=01CRU&amp;lang=en_US&amp;offset=0&amp;query=any,contains,991002088449702656","Catalog Record")</f>
        <v/>
      </c>
      <c r="AT1221">
        <f>HYPERLINK("http://www.worldcat.org/oclc/26804571","WorldCat Record")</f>
        <v/>
      </c>
      <c r="AU1221" t="inlineStr">
        <is>
          <t>866535847:eng</t>
        </is>
      </c>
      <c r="AV1221" t="inlineStr">
        <is>
          <t>26804571</t>
        </is>
      </c>
      <c r="AW1221" t="inlineStr">
        <is>
          <t>991002088449702656</t>
        </is>
      </c>
      <c r="AX1221" t="inlineStr">
        <is>
          <t>991002088449702656</t>
        </is>
      </c>
      <c r="AY1221" t="inlineStr">
        <is>
          <t>2261948910002656</t>
        </is>
      </c>
      <c r="AZ1221" t="inlineStr">
        <is>
          <t>BOOK</t>
        </is>
      </c>
      <c r="BB1221" t="inlineStr">
        <is>
          <t>9780873713979</t>
        </is>
      </c>
      <c r="BC1221" t="inlineStr">
        <is>
          <t>32285001811594</t>
        </is>
      </c>
      <c r="BD1221" t="inlineStr">
        <is>
          <t>893879483</t>
        </is>
      </c>
    </row>
    <row r="1222">
      <c r="A1222" t="inlineStr">
        <is>
          <t>No</t>
        </is>
      </c>
      <c r="B1222" t="inlineStr">
        <is>
          <t>QH541.15.R45 R5 1997</t>
        </is>
      </c>
      <c r="C1222" t="inlineStr">
        <is>
          <t>0                      QH 0541150R  45                 R  5           1997</t>
        </is>
      </c>
      <c r="D1222" t="inlineStr">
        <is>
          <t>Restoration ecology and sustainable development / edited by Krystyna M. Urbanska, Nigel R. Webb, and Peter J. Edwards.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Cambridge, U.K. ; New York : Cambridge University Press, 1997.</t>
        </is>
      </c>
      <c r="M1222" t="inlineStr">
        <is>
          <t>1997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QH </t>
        </is>
      </c>
      <c r="S1222" t="n">
        <v>2</v>
      </c>
      <c r="T1222" t="n">
        <v>2</v>
      </c>
      <c r="U1222" t="inlineStr">
        <is>
          <t>2008-03-27</t>
        </is>
      </c>
      <c r="V1222" t="inlineStr">
        <is>
          <t>2008-03-27</t>
        </is>
      </c>
      <c r="W1222" t="inlineStr">
        <is>
          <t>1999-04-07</t>
        </is>
      </c>
      <c r="X1222" t="inlineStr">
        <is>
          <t>1999-04-07</t>
        </is>
      </c>
      <c r="Y1222" t="n">
        <v>479</v>
      </c>
      <c r="Z1222" t="n">
        <v>331</v>
      </c>
      <c r="AA1222" t="n">
        <v>335</v>
      </c>
      <c r="AB1222" t="n">
        <v>3</v>
      </c>
      <c r="AC1222" t="n">
        <v>3</v>
      </c>
      <c r="AD1222" t="n">
        <v>16</v>
      </c>
      <c r="AE1222" t="n">
        <v>16</v>
      </c>
      <c r="AF1222" t="n">
        <v>6</v>
      </c>
      <c r="AG1222" t="n">
        <v>6</v>
      </c>
      <c r="AH1222" t="n">
        <v>3</v>
      </c>
      <c r="AI1222" t="n">
        <v>3</v>
      </c>
      <c r="AJ1222" t="n">
        <v>8</v>
      </c>
      <c r="AK1222" t="n">
        <v>8</v>
      </c>
      <c r="AL1222" t="n">
        <v>2</v>
      </c>
      <c r="AM1222" t="n">
        <v>2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HYPERLINK("https://creighton-primo.hosted.exlibrisgroup.com/primo-explore/search?tab=default_tab&amp;search_scope=EVERYTHING&amp;vid=01CRU&amp;lang=en_US&amp;offset=0&amp;query=any,contains,991002747589702656","Catalog Record")</f>
        <v/>
      </c>
      <c r="AT1222">
        <f>HYPERLINK("http://www.worldcat.org/oclc/36051322","WorldCat Record")</f>
        <v/>
      </c>
      <c r="AU1222" t="inlineStr">
        <is>
          <t>364654710:eng</t>
        </is>
      </c>
      <c r="AV1222" t="inlineStr">
        <is>
          <t>36051322</t>
        </is>
      </c>
      <c r="AW1222" t="inlineStr">
        <is>
          <t>991002747589702656</t>
        </is>
      </c>
      <c r="AX1222" t="inlineStr">
        <is>
          <t>991002747589702656</t>
        </is>
      </c>
      <c r="AY1222" t="inlineStr">
        <is>
          <t>2263697040002656</t>
        </is>
      </c>
      <c r="AZ1222" t="inlineStr">
        <is>
          <t>BOOK</t>
        </is>
      </c>
      <c r="BB1222" t="inlineStr">
        <is>
          <t>9780521581608</t>
        </is>
      </c>
      <c r="BC1222" t="inlineStr">
        <is>
          <t>32285003549259</t>
        </is>
      </c>
      <c r="BD1222" t="inlineStr">
        <is>
          <t>893780167</t>
        </is>
      </c>
    </row>
    <row r="1223">
      <c r="A1223" t="inlineStr">
        <is>
          <t>No</t>
        </is>
      </c>
      <c r="B1223" t="inlineStr">
        <is>
          <t>QH541.15.R45 R55 1994</t>
        </is>
      </c>
      <c r="C1223" t="inlineStr">
        <is>
          <t>0                      QH 0541150R  45                 R  55          1994</t>
        </is>
      </c>
      <c r="D1223" t="inlineStr">
        <is>
          <t>Restoration of endangered species : conceptual issues, planning, and implementation / edited by Marlin L. Bowles and Christopher J. Whelan.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L1223" t="inlineStr">
        <is>
          <t>Cambridge [England] ; New York : Cambridge University Press, 1994.</t>
        </is>
      </c>
      <c r="M1223" t="inlineStr">
        <is>
          <t>1994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QH </t>
        </is>
      </c>
      <c r="S1223" t="n">
        <v>14</v>
      </c>
      <c r="T1223" t="n">
        <v>14</v>
      </c>
      <c r="U1223" t="inlineStr">
        <is>
          <t>2000-11-21</t>
        </is>
      </c>
      <c r="V1223" t="inlineStr">
        <is>
          <t>2000-11-21</t>
        </is>
      </c>
      <c r="W1223" t="inlineStr">
        <is>
          <t>1996-05-08</t>
        </is>
      </c>
      <c r="X1223" t="inlineStr">
        <is>
          <t>1996-05-08</t>
        </is>
      </c>
      <c r="Y1223" t="n">
        <v>491</v>
      </c>
      <c r="Z1223" t="n">
        <v>344</v>
      </c>
      <c r="AA1223" t="n">
        <v>373</v>
      </c>
      <c r="AB1223" t="n">
        <v>3</v>
      </c>
      <c r="AC1223" t="n">
        <v>3</v>
      </c>
      <c r="AD1223" t="n">
        <v>11</v>
      </c>
      <c r="AE1223" t="n">
        <v>11</v>
      </c>
      <c r="AF1223" t="n">
        <v>3</v>
      </c>
      <c r="AG1223" t="n">
        <v>3</v>
      </c>
      <c r="AH1223" t="n">
        <v>4</v>
      </c>
      <c r="AI1223" t="n">
        <v>4</v>
      </c>
      <c r="AJ1223" t="n">
        <v>6</v>
      </c>
      <c r="AK1223" t="n">
        <v>6</v>
      </c>
      <c r="AL1223" t="n">
        <v>2</v>
      </c>
      <c r="AM1223" t="n">
        <v>2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No</t>
        </is>
      </c>
      <c r="AS1223">
        <f>HYPERLINK("https://creighton-primo.hosted.exlibrisgroup.com/primo-explore/search?tab=default_tab&amp;search_scope=EVERYTHING&amp;vid=01CRU&amp;lang=en_US&amp;offset=0&amp;query=any,contains,991002267769702656","Catalog Record")</f>
        <v/>
      </c>
      <c r="AT1223">
        <f>HYPERLINK("http://www.worldcat.org/oclc/29428436","WorldCat Record")</f>
        <v/>
      </c>
      <c r="AU1223" t="inlineStr">
        <is>
          <t>836963758:eng</t>
        </is>
      </c>
      <c r="AV1223" t="inlineStr">
        <is>
          <t>29428436</t>
        </is>
      </c>
      <c r="AW1223" t="inlineStr">
        <is>
          <t>991002267769702656</t>
        </is>
      </c>
      <c r="AX1223" t="inlineStr">
        <is>
          <t>991002267769702656</t>
        </is>
      </c>
      <c r="AY1223" t="inlineStr">
        <is>
          <t>2269856690002656</t>
        </is>
      </c>
      <c r="AZ1223" t="inlineStr">
        <is>
          <t>BOOK</t>
        </is>
      </c>
      <c r="BB1223" t="inlineStr">
        <is>
          <t>9780521418638</t>
        </is>
      </c>
      <c r="BC1223" t="inlineStr">
        <is>
          <t>32285002165792</t>
        </is>
      </c>
      <c r="BD1223" t="inlineStr">
        <is>
          <t>893316601</t>
        </is>
      </c>
    </row>
    <row r="1224">
      <c r="A1224" t="inlineStr">
        <is>
          <t>No</t>
        </is>
      </c>
      <c r="B1224" t="inlineStr">
        <is>
          <t>QH541.15.R45 S74 1995</t>
        </is>
      </c>
      <c r="C1224" t="inlineStr">
        <is>
          <t>0                      QH 0541150R  45                 S  74          1995</t>
        </is>
      </c>
      <c r="D1224" t="inlineStr">
        <is>
          <t>Miracle under the oaks : the revival of nature in America / William K. Stevens ; drawings by Patricia J. Wynne ; maps by Myra Klockenbrink.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Stevens, William K. (William Kenneth), 1935-</t>
        </is>
      </c>
      <c r="L1224" t="inlineStr">
        <is>
          <t>New York : Pocket Books, c1995.</t>
        </is>
      </c>
      <c r="M1224" t="inlineStr">
        <is>
          <t>1995</t>
        </is>
      </c>
      <c r="O1224" t="inlineStr">
        <is>
          <t>eng</t>
        </is>
      </c>
      <c r="P1224" t="inlineStr">
        <is>
          <t>nyu</t>
        </is>
      </c>
      <c r="R1224" t="inlineStr">
        <is>
          <t xml:space="preserve">QH </t>
        </is>
      </c>
      <c r="S1224" t="n">
        <v>6</v>
      </c>
      <c r="T1224" t="n">
        <v>6</v>
      </c>
      <c r="U1224" t="inlineStr">
        <is>
          <t>2003-04-13</t>
        </is>
      </c>
      <c r="V1224" t="inlineStr">
        <is>
          <t>2003-04-13</t>
        </is>
      </c>
      <c r="W1224" t="inlineStr">
        <is>
          <t>1995-06-07</t>
        </is>
      </c>
      <c r="X1224" t="inlineStr">
        <is>
          <t>1995-06-07</t>
        </is>
      </c>
      <c r="Y1224" t="n">
        <v>360</v>
      </c>
      <c r="Z1224" t="n">
        <v>341</v>
      </c>
      <c r="AA1224" t="n">
        <v>350</v>
      </c>
      <c r="AB1224" t="n">
        <v>2</v>
      </c>
      <c r="AC1224" t="n">
        <v>2</v>
      </c>
      <c r="AD1224" t="n">
        <v>15</v>
      </c>
      <c r="AE1224" t="n">
        <v>15</v>
      </c>
      <c r="AF1224" t="n">
        <v>3</v>
      </c>
      <c r="AG1224" t="n">
        <v>3</v>
      </c>
      <c r="AH1224" t="n">
        <v>5</v>
      </c>
      <c r="AI1224" t="n">
        <v>5</v>
      </c>
      <c r="AJ1224" t="n">
        <v>7</v>
      </c>
      <c r="AK1224" t="n">
        <v>7</v>
      </c>
      <c r="AL1224" t="n">
        <v>1</v>
      </c>
      <c r="AM1224" t="n">
        <v>1</v>
      </c>
      <c r="AN1224" t="n">
        <v>1</v>
      </c>
      <c r="AO1224" t="n">
        <v>1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HYPERLINK("http://catalog.hathitrust.org/Record/002990883","HathiTrust Record")</f>
        <v/>
      </c>
      <c r="AS1224">
        <f>HYPERLINK("https://creighton-primo.hosted.exlibrisgroup.com/primo-explore/search?tab=default_tab&amp;search_scope=EVERYTHING&amp;vid=01CRU&amp;lang=en_US&amp;offset=0&amp;query=any,contains,991002387109702656","Catalog Record")</f>
        <v/>
      </c>
      <c r="AT1224">
        <f>HYPERLINK("http://www.worldcat.org/oclc/31012087","WorldCat Record")</f>
        <v/>
      </c>
      <c r="AU1224" t="inlineStr">
        <is>
          <t>14459428:eng</t>
        </is>
      </c>
      <c r="AV1224" t="inlineStr">
        <is>
          <t>31012087</t>
        </is>
      </c>
      <c r="AW1224" t="inlineStr">
        <is>
          <t>991002387109702656</t>
        </is>
      </c>
      <c r="AX1224" t="inlineStr">
        <is>
          <t>991002387109702656</t>
        </is>
      </c>
      <c r="AY1224" t="inlineStr">
        <is>
          <t>2265751670002656</t>
        </is>
      </c>
      <c r="AZ1224" t="inlineStr">
        <is>
          <t>BOOK</t>
        </is>
      </c>
      <c r="BB1224" t="inlineStr">
        <is>
          <t>9780671780425</t>
        </is>
      </c>
      <c r="BC1224" t="inlineStr">
        <is>
          <t>32285002050663</t>
        </is>
      </c>
      <c r="BD1224" t="inlineStr">
        <is>
          <t>893798524</t>
        </is>
      </c>
    </row>
    <row r="1225">
      <c r="A1225" t="inlineStr">
        <is>
          <t>No</t>
        </is>
      </c>
      <c r="B1225" t="inlineStr">
        <is>
          <t>QH541.15.R57 B37 1992</t>
        </is>
      </c>
      <c r="C1225" t="inlineStr">
        <is>
          <t>0                      QH 0541150R  57                 B  37          1992</t>
        </is>
      </c>
      <c r="D1225" t="inlineStr">
        <is>
          <t>Ecological risk estimation / Steven M. Bartell, Robert H. Gardner, Robert V. O'Neill.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Bartell, Steven M.</t>
        </is>
      </c>
      <c r="L1225" t="inlineStr">
        <is>
          <t>Boca Raton : Lewis Publishers, c1992.</t>
        </is>
      </c>
      <c r="M1225" t="inlineStr">
        <is>
          <t>1992</t>
        </is>
      </c>
      <c r="O1225" t="inlineStr">
        <is>
          <t>eng</t>
        </is>
      </c>
      <c r="P1225" t="inlineStr">
        <is>
          <t>flu</t>
        </is>
      </c>
      <c r="R1225" t="inlineStr">
        <is>
          <t xml:space="preserve">QH </t>
        </is>
      </c>
      <c r="S1225" t="n">
        <v>1</v>
      </c>
      <c r="T1225" t="n">
        <v>1</v>
      </c>
      <c r="U1225" t="inlineStr">
        <is>
          <t>1993-09-29</t>
        </is>
      </c>
      <c r="V1225" t="inlineStr">
        <is>
          <t>1993-09-29</t>
        </is>
      </c>
      <c r="W1225" t="inlineStr">
        <is>
          <t>1992-09-23</t>
        </is>
      </c>
      <c r="X1225" t="inlineStr">
        <is>
          <t>1992-09-23</t>
        </is>
      </c>
      <c r="Y1225" t="n">
        <v>473</v>
      </c>
      <c r="Z1225" t="n">
        <v>356</v>
      </c>
      <c r="AA1225" t="n">
        <v>365</v>
      </c>
      <c r="AB1225" t="n">
        <v>3</v>
      </c>
      <c r="AC1225" t="n">
        <v>3</v>
      </c>
      <c r="AD1225" t="n">
        <v>12</v>
      </c>
      <c r="AE1225" t="n">
        <v>12</v>
      </c>
      <c r="AF1225" t="n">
        <v>5</v>
      </c>
      <c r="AG1225" t="n">
        <v>5</v>
      </c>
      <c r="AH1225" t="n">
        <v>2</v>
      </c>
      <c r="AI1225" t="n">
        <v>2</v>
      </c>
      <c r="AJ1225" t="n">
        <v>6</v>
      </c>
      <c r="AK1225" t="n">
        <v>6</v>
      </c>
      <c r="AL1225" t="n">
        <v>2</v>
      </c>
      <c r="AM1225" t="n">
        <v>2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HYPERLINK("http://catalog.hathitrust.org/Record/002550092","HathiTrust Record")</f>
        <v/>
      </c>
      <c r="AS1225">
        <f>HYPERLINK("https://creighton-primo.hosted.exlibrisgroup.com/primo-explore/search?tab=default_tab&amp;search_scope=EVERYTHING&amp;vid=01CRU&amp;lang=en_US&amp;offset=0&amp;query=any,contains,991002006119702656","Catalog Record")</f>
        <v/>
      </c>
      <c r="AT1225">
        <f>HYPERLINK("http://www.worldcat.org/oclc/25509069","WorldCat Record")</f>
        <v/>
      </c>
      <c r="AU1225" t="inlineStr">
        <is>
          <t>27821244:eng</t>
        </is>
      </c>
      <c r="AV1225" t="inlineStr">
        <is>
          <t>25509069</t>
        </is>
      </c>
      <c r="AW1225" t="inlineStr">
        <is>
          <t>991002006119702656</t>
        </is>
      </c>
      <c r="AX1225" t="inlineStr">
        <is>
          <t>991002006119702656</t>
        </is>
      </c>
      <c r="AY1225" t="inlineStr">
        <is>
          <t>2271970030002656</t>
        </is>
      </c>
      <c r="AZ1225" t="inlineStr">
        <is>
          <t>BOOK</t>
        </is>
      </c>
      <c r="BB1225" t="inlineStr">
        <is>
          <t>9780873711630</t>
        </is>
      </c>
      <c r="BC1225" t="inlineStr">
        <is>
          <t>32285001288728</t>
        </is>
      </c>
      <c r="BD1225" t="inlineStr">
        <is>
          <t>893798045</t>
        </is>
      </c>
    </row>
    <row r="1226">
      <c r="A1226" t="inlineStr">
        <is>
          <t>No</t>
        </is>
      </c>
      <c r="B1226" t="inlineStr">
        <is>
          <t>QH541.15.R57 E25 1993</t>
        </is>
      </c>
      <c r="C1226" t="inlineStr">
        <is>
          <t>0                      QH 0541150R  57                 E  25          1993</t>
        </is>
      </c>
      <c r="D1226" t="inlineStr">
        <is>
          <t>Ecological risk assessment / editor and principal author, Glenn W. Suter II ; contributing authors, Lawrence W. Barnthouse ... [et al.].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L1226" t="inlineStr">
        <is>
          <t>Boca Raton : Lewis Publishers, c1993.</t>
        </is>
      </c>
      <c r="M1226" t="inlineStr">
        <is>
          <t>1993</t>
        </is>
      </c>
      <c r="O1226" t="inlineStr">
        <is>
          <t>eng</t>
        </is>
      </c>
      <c r="P1226" t="inlineStr">
        <is>
          <t>flu</t>
        </is>
      </c>
      <c r="R1226" t="inlineStr">
        <is>
          <t xml:space="preserve">QH </t>
        </is>
      </c>
      <c r="S1226" t="n">
        <v>6</v>
      </c>
      <c r="T1226" t="n">
        <v>6</v>
      </c>
      <c r="U1226" t="inlineStr">
        <is>
          <t>1995-09-28</t>
        </is>
      </c>
      <c r="V1226" t="inlineStr">
        <is>
          <t>1995-09-28</t>
        </is>
      </c>
      <c r="W1226" t="inlineStr">
        <is>
          <t>1993-08-16</t>
        </is>
      </c>
      <c r="X1226" t="inlineStr">
        <is>
          <t>1993-08-16</t>
        </is>
      </c>
      <c r="Y1226" t="n">
        <v>518</v>
      </c>
      <c r="Z1226" t="n">
        <v>394</v>
      </c>
      <c r="AA1226" t="n">
        <v>552</v>
      </c>
      <c r="AB1226" t="n">
        <v>4</v>
      </c>
      <c r="AC1226" t="n">
        <v>4</v>
      </c>
      <c r="AD1226" t="n">
        <v>15</v>
      </c>
      <c r="AE1226" t="n">
        <v>20</v>
      </c>
      <c r="AF1226" t="n">
        <v>6</v>
      </c>
      <c r="AG1226" t="n">
        <v>9</v>
      </c>
      <c r="AH1226" t="n">
        <v>2</v>
      </c>
      <c r="AI1226" t="n">
        <v>2</v>
      </c>
      <c r="AJ1226" t="n">
        <v>6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HYPERLINK("https://creighton-primo.hosted.exlibrisgroup.com/primo-explore/search?tab=default_tab&amp;search_scope=EVERYTHING&amp;vid=01CRU&amp;lang=en_US&amp;offset=0&amp;query=any,contains,991002048479702656","Catalog Record")</f>
        <v/>
      </c>
      <c r="AT1226">
        <f>HYPERLINK("http://www.worldcat.org/oclc/26158379","WorldCat Record")</f>
        <v/>
      </c>
      <c r="AU1226" t="inlineStr">
        <is>
          <t>766873789:eng</t>
        </is>
      </c>
      <c r="AV1226" t="inlineStr">
        <is>
          <t>26158379</t>
        </is>
      </c>
      <c r="AW1226" t="inlineStr">
        <is>
          <t>991002048479702656</t>
        </is>
      </c>
      <c r="AX1226" t="inlineStr">
        <is>
          <t>991002048479702656</t>
        </is>
      </c>
      <c r="AY1226" t="inlineStr">
        <is>
          <t>2256610800002656</t>
        </is>
      </c>
      <c r="AZ1226" t="inlineStr">
        <is>
          <t>BOOK</t>
        </is>
      </c>
      <c r="BB1226" t="inlineStr">
        <is>
          <t>9780873718752</t>
        </is>
      </c>
      <c r="BC1226" t="inlineStr">
        <is>
          <t>32285001726586</t>
        </is>
      </c>
      <c r="BD1226" t="inlineStr">
        <is>
          <t>893232507</t>
        </is>
      </c>
    </row>
    <row r="1227">
      <c r="A1227" t="inlineStr">
        <is>
          <t>No</t>
        </is>
      </c>
      <c r="B1227" t="inlineStr">
        <is>
          <t>QH541.15.R57 M38 1993</t>
        </is>
      </c>
      <c r="C1227" t="inlineStr">
        <is>
          <t>0                      QH 0541150R  57                 M  38          1993</t>
        </is>
      </c>
      <c r="D1227" t="inlineStr">
        <is>
          <t>Ecological assessment of hazardous waste sites / James T. Maughan.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Maughan, James T., 1949-</t>
        </is>
      </c>
      <c r="L1227" t="inlineStr">
        <is>
          <t>New York : Van Nostrand Reinhold, c1993.</t>
        </is>
      </c>
      <c r="M1227" t="inlineStr">
        <is>
          <t>1993</t>
        </is>
      </c>
      <c r="O1227" t="inlineStr">
        <is>
          <t>eng</t>
        </is>
      </c>
      <c r="P1227" t="inlineStr">
        <is>
          <t>nyu</t>
        </is>
      </c>
      <c r="R1227" t="inlineStr">
        <is>
          <t xml:space="preserve">QH </t>
        </is>
      </c>
      <c r="S1227" t="n">
        <v>5</v>
      </c>
      <c r="T1227" t="n">
        <v>5</v>
      </c>
      <c r="U1227" t="inlineStr">
        <is>
          <t>1995-02-04</t>
        </is>
      </c>
      <c r="V1227" t="inlineStr">
        <is>
          <t>1995-02-04</t>
        </is>
      </c>
      <c r="W1227" t="inlineStr">
        <is>
          <t>1994-01-21</t>
        </is>
      </c>
      <c r="X1227" t="inlineStr">
        <is>
          <t>1994-01-21</t>
        </is>
      </c>
      <c r="Y1227" t="n">
        <v>272</v>
      </c>
      <c r="Z1227" t="n">
        <v>205</v>
      </c>
      <c r="AA1227" t="n">
        <v>207</v>
      </c>
      <c r="AB1227" t="n">
        <v>3</v>
      </c>
      <c r="AC1227" t="n">
        <v>3</v>
      </c>
      <c r="AD1227" t="n">
        <v>7</v>
      </c>
      <c r="AE1227" t="n">
        <v>7</v>
      </c>
      <c r="AF1227" t="n">
        <v>1</v>
      </c>
      <c r="AG1227" t="n">
        <v>1</v>
      </c>
      <c r="AH1227" t="n">
        <v>3</v>
      </c>
      <c r="AI1227" t="n">
        <v>3</v>
      </c>
      <c r="AJ1227" t="n">
        <v>3</v>
      </c>
      <c r="AK1227" t="n">
        <v>3</v>
      </c>
      <c r="AL1227" t="n">
        <v>2</v>
      </c>
      <c r="AM1227" t="n">
        <v>2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HYPERLINK("http://catalog.hathitrust.org/Record/002610219","HathiTrust Record")</f>
        <v/>
      </c>
      <c r="AS1227">
        <f>HYPERLINK("https://creighton-primo.hosted.exlibrisgroup.com/primo-explore/search?tab=default_tab&amp;search_scope=EVERYTHING&amp;vid=01CRU&amp;lang=en_US&amp;offset=0&amp;query=any,contains,991002058479702656","Catalog Record")</f>
        <v/>
      </c>
      <c r="AT1227">
        <f>HYPERLINK("http://www.worldcat.org/oclc/26350709","WorldCat Record")</f>
        <v/>
      </c>
      <c r="AU1227" t="inlineStr">
        <is>
          <t>28578084:eng</t>
        </is>
      </c>
      <c r="AV1227" t="inlineStr">
        <is>
          <t>26350709</t>
        </is>
      </c>
      <c r="AW1227" t="inlineStr">
        <is>
          <t>991002058479702656</t>
        </is>
      </c>
      <c r="AX1227" t="inlineStr">
        <is>
          <t>991002058479702656</t>
        </is>
      </c>
      <c r="AY1227" t="inlineStr">
        <is>
          <t>2265092450002656</t>
        </is>
      </c>
      <c r="AZ1227" t="inlineStr">
        <is>
          <t>BOOK</t>
        </is>
      </c>
      <c r="BB1227" t="inlineStr">
        <is>
          <t>9780442010911</t>
        </is>
      </c>
      <c r="BC1227" t="inlineStr">
        <is>
          <t>32285001833036</t>
        </is>
      </c>
      <c r="BD1227" t="inlineStr">
        <is>
          <t>893804180</t>
        </is>
      </c>
    </row>
    <row r="1228">
      <c r="A1228" t="inlineStr">
        <is>
          <t>No</t>
        </is>
      </c>
      <c r="B1228" t="inlineStr">
        <is>
          <t>QH541.15.R57 S64 2002</t>
        </is>
      </c>
      <c r="C1228" t="inlineStr">
        <is>
          <t>0                      QH 0541150R  57                 S  64          2002</t>
        </is>
      </c>
      <c r="D1228" t="inlineStr">
        <is>
          <t>Species sensitivity distributions in ecotoxicology / edited by Leo Posthuma, Glenn W. Suter II, Theo P. Traas.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L1228" t="inlineStr">
        <is>
          <t>Boca Raton, Fla. : Lewis Publishers, c2002.</t>
        </is>
      </c>
      <c r="M1228" t="inlineStr">
        <is>
          <t>2002</t>
        </is>
      </c>
      <c r="O1228" t="inlineStr">
        <is>
          <t>eng</t>
        </is>
      </c>
      <c r="P1228" t="inlineStr">
        <is>
          <t>flu</t>
        </is>
      </c>
      <c r="Q1228" t="inlineStr">
        <is>
          <t>Environmental and ecological risk assessment</t>
        </is>
      </c>
      <c r="R1228" t="inlineStr">
        <is>
          <t xml:space="preserve">QH </t>
        </is>
      </c>
      <c r="S1228" t="n">
        <v>1</v>
      </c>
      <c r="T1228" t="n">
        <v>1</v>
      </c>
      <c r="U1228" t="inlineStr">
        <is>
          <t>2002-05-06</t>
        </is>
      </c>
      <c r="V1228" t="inlineStr">
        <is>
          <t>2002-05-06</t>
        </is>
      </c>
      <c r="W1228" t="inlineStr">
        <is>
          <t>2002-04-24</t>
        </is>
      </c>
      <c r="X1228" t="inlineStr">
        <is>
          <t>2002-04-24</t>
        </is>
      </c>
      <c r="Y1228" t="n">
        <v>186</v>
      </c>
      <c r="Z1228" t="n">
        <v>137</v>
      </c>
      <c r="AA1228" t="n">
        <v>189</v>
      </c>
      <c r="AB1228" t="n">
        <v>2</v>
      </c>
      <c r="AC1228" t="n">
        <v>2</v>
      </c>
      <c r="AD1228" t="n">
        <v>4</v>
      </c>
      <c r="AE1228" t="n">
        <v>4</v>
      </c>
      <c r="AF1228" t="n">
        <v>1</v>
      </c>
      <c r="AG1228" t="n">
        <v>1</v>
      </c>
      <c r="AH1228" t="n">
        <v>2</v>
      </c>
      <c r="AI1228" t="n">
        <v>2</v>
      </c>
      <c r="AJ1228" t="n">
        <v>2</v>
      </c>
      <c r="AK1228" t="n">
        <v>2</v>
      </c>
      <c r="AL1228" t="n">
        <v>1</v>
      </c>
      <c r="AM1228" t="n">
        <v>1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HYPERLINK("https://creighton-primo.hosted.exlibrisgroup.com/primo-explore/search?tab=default_tab&amp;search_scope=EVERYTHING&amp;vid=01CRU&amp;lang=en_US&amp;offset=0&amp;query=any,contains,991003770559702656","Catalog Record")</f>
        <v/>
      </c>
      <c r="AT1228">
        <f>HYPERLINK("http://www.worldcat.org/oclc/48170761","WorldCat Record")</f>
        <v/>
      </c>
      <c r="AU1228" t="inlineStr">
        <is>
          <t>766865861:eng</t>
        </is>
      </c>
      <c r="AV1228" t="inlineStr">
        <is>
          <t>48170761</t>
        </is>
      </c>
      <c r="AW1228" t="inlineStr">
        <is>
          <t>991003770559702656</t>
        </is>
      </c>
      <c r="AX1228" t="inlineStr">
        <is>
          <t>991003770559702656</t>
        </is>
      </c>
      <c r="AY1228" t="inlineStr">
        <is>
          <t>2261509000002656</t>
        </is>
      </c>
      <c r="AZ1228" t="inlineStr">
        <is>
          <t>BOOK</t>
        </is>
      </c>
      <c r="BB1228" t="inlineStr">
        <is>
          <t>9781566705783</t>
        </is>
      </c>
      <c r="BC1228" t="inlineStr">
        <is>
          <t>32285004482914</t>
        </is>
      </c>
      <c r="BD1228" t="inlineStr">
        <is>
          <t>893258838</t>
        </is>
      </c>
    </row>
    <row r="1229">
      <c r="A1229" t="inlineStr">
        <is>
          <t>No</t>
        </is>
      </c>
      <c r="B1229" t="inlineStr">
        <is>
          <t>QH541.15.S5 O38 1983</t>
        </is>
      </c>
      <c r="C1229" t="inlineStr">
        <is>
          <t>0                      QH 0541150S  5                  O  38          1983</t>
        </is>
      </c>
      <c r="D1229" t="inlineStr">
        <is>
          <t>Systems ecology : an introduction / Howard T. Odum.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Odum, Howard T. (Howard Thomas), 1924-2002.</t>
        </is>
      </c>
      <c r="L1229" t="inlineStr">
        <is>
          <t>New York : Wiley, c1983.</t>
        </is>
      </c>
      <c r="M1229" t="inlineStr">
        <is>
          <t>1983</t>
        </is>
      </c>
      <c r="O1229" t="inlineStr">
        <is>
          <t>eng</t>
        </is>
      </c>
      <c r="P1229" t="inlineStr">
        <is>
          <t>nyu</t>
        </is>
      </c>
      <c r="R1229" t="inlineStr">
        <is>
          <t xml:space="preserve">QH </t>
        </is>
      </c>
      <c r="S1229" t="n">
        <v>1</v>
      </c>
      <c r="T1229" t="n">
        <v>1</v>
      </c>
      <c r="U1229" t="inlineStr">
        <is>
          <t>1996-02-25</t>
        </is>
      </c>
      <c r="V1229" t="inlineStr">
        <is>
          <t>1996-02-25</t>
        </is>
      </c>
      <c r="W1229" t="inlineStr">
        <is>
          <t>1993-04-30</t>
        </is>
      </c>
      <c r="X1229" t="inlineStr">
        <is>
          <t>1993-04-30</t>
        </is>
      </c>
      <c r="Y1229" t="n">
        <v>736</v>
      </c>
      <c r="Z1229" t="n">
        <v>585</v>
      </c>
      <c r="AA1229" t="n">
        <v>586</v>
      </c>
      <c r="AB1229" t="n">
        <v>2</v>
      </c>
      <c r="AC1229" t="n">
        <v>2</v>
      </c>
      <c r="AD1229" t="n">
        <v>22</v>
      </c>
      <c r="AE1229" t="n">
        <v>22</v>
      </c>
      <c r="AF1229" t="n">
        <v>10</v>
      </c>
      <c r="AG1229" t="n">
        <v>10</v>
      </c>
      <c r="AH1229" t="n">
        <v>6</v>
      </c>
      <c r="AI1229" t="n">
        <v>6</v>
      </c>
      <c r="AJ1229" t="n">
        <v>13</v>
      </c>
      <c r="AK1229" t="n">
        <v>13</v>
      </c>
      <c r="AL1229" t="n">
        <v>1</v>
      </c>
      <c r="AM1229" t="n">
        <v>1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Yes</t>
        </is>
      </c>
      <c r="AR1229">
        <f>HYPERLINK("http://catalog.hathitrust.org/Record/000107001","HathiTrust Record")</f>
        <v/>
      </c>
      <c r="AS1229">
        <f>HYPERLINK("https://creighton-primo.hosted.exlibrisgroup.com/primo-explore/search?tab=default_tab&amp;search_scope=EVERYTHING&amp;vid=01CRU&amp;lang=en_US&amp;offset=0&amp;query=any,contains,991005249049702656","Catalog Record")</f>
        <v/>
      </c>
      <c r="AT1229">
        <f>HYPERLINK("http://www.worldcat.org/oclc/8476144","WorldCat Record")</f>
        <v/>
      </c>
      <c r="AU1229" t="inlineStr">
        <is>
          <t>367811082:eng</t>
        </is>
      </c>
      <c r="AV1229" t="inlineStr">
        <is>
          <t>8476144</t>
        </is>
      </c>
      <c r="AW1229" t="inlineStr">
        <is>
          <t>991005249049702656</t>
        </is>
      </c>
      <c r="AX1229" t="inlineStr">
        <is>
          <t>991005249049702656</t>
        </is>
      </c>
      <c r="AY1229" t="inlineStr">
        <is>
          <t>2257780990002656</t>
        </is>
      </c>
      <c r="AZ1229" t="inlineStr">
        <is>
          <t>BOOK</t>
        </is>
      </c>
      <c r="BB1229" t="inlineStr">
        <is>
          <t>9780471652779</t>
        </is>
      </c>
      <c r="BC1229" t="inlineStr">
        <is>
          <t>32285001642395</t>
        </is>
      </c>
      <c r="BD1229" t="inlineStr">
        <is>
          <t>893688835</t>
        </is>
      </c>
    </row>
    <row r="1230">
      <c r="A1230" t="inlineStr">
        <is>
          <t>No</t>
        </is>
      </c>
      <c r="B1230" t="inlineStr">
        <is>
          <t>QH541.15.S62 S62 1997</t>
        </is>
      </c>
      <c r="C1230" t="inlineStr">
        <is>
          <t>0                      QH 0541150S  62                 S  62          1997</t>
        </is>
      </c>
      <c r="D1230" t="inlineStr">
        <is>
          <t>Spatial ecology : the role of space in population dynamics and interspecific interactions / edited by David Tilman and Peter Kareiva.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L1230" t="inlineStr">
        <is>
          <t>Princeton, N.J. : Princeton University Press, 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nju</t>
        </is>
      </c>
      <c r="Q1230" t="inlineStr">
        <is>
          <t>Monographs in population biology ; 30</t>
        </is>
      </c>
      <c r="R1230" t="inlineStr">
        <is>
          <t xml:space="preserve">QH </t>
        </is>
      </c>
      <c r="S1230" t="n">
        <v>1</v>
      </c>
      <c r="T1230" t="n">
        <v>1</v>
      </c>
      <c r="U1230" t="inlineStr">
        <is>
          <t>1998-12-10</t>
        </is>
      </c>
      <c r="V1230" t="inlineStr">
        <is>
          <t>1998-12-10</t>
        </is>
      </c>
      <c r="W1230" t="inlineStr">
        <is>
          <t>1998-02-11</t>
        </is>
      </c>
      <c r="X1230" t="inlineStr">
        <is>
          <t>1998-02-11</t>
        </is>
      </c>
      <c r="Y1230" t="n">
        <v>516</v>
      </c>
      <c r="Z1230" t="n">
        <v>356</v>
      </c>
      <c r="AA1230" t="n">
        <v>546</v>
      </c>
      <c r="AB1230" t="n">
        <v>3</v>
      </c>
      <c r="AC1230" t="n">
        <v>3</v>
      </c>
      <c r="AD1230" t="n">
        <v>13</v>
      </c>
      <c r="AE1230" t="n">
        <v>23</v>
      </c>
      <c r="AF1230" t="n">
        <v>4</v>
      </c>
      <c r="AG1230" t="n">
        <v>10</v>
      </c>
      <c r="AH1230" t="n">
        <v>2</v>
      </c>
      <c r="AI1230" t="n">
        <v>5</v>
      </c>
      <c r="AJ1230" t="n">
        <v>8</v>
      </c>
      <c r="AK1230" t="n">
        <v>12</v>
      </c>
      <c r="AL1230" t="n">
        <v>2</v>
      </c>
      <c r="AM1230" t="n">
        <v>2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HYPERLINK("https://creighton-primo.hosted.exlibrisgroup.com/primo-explore/search?tab=default_tab&amp;search_scope=EVERYTHING&amp;vid=01CRU&amp;lang=en_US&amp;offset=0&amp;query=any,contains,991002797979702656","Catalog Record")</f>
        <v/>
      </c>
      <c r="AT1230">
        <f>HYPERLINK("http://www.worldcat.org/oclc/36755758","WorldCat Record")</f>
        <v/>
      </c>
      <c r="AU1230" t="inlineStr">
        <is>
          <t>836939219:eng</t>
        </is>
      </c>
      <c r="AV1230" t="inlineStr">
        <is>
          <t>36755758</t>
        </is>
      </c>
      <c r="AW1230" t="inlineStr">
        <is>
          <t>991002797979702656</t>
        </is>
      </c>
      <c r="AX1230" t="inlineStr">
        <is>
          <t>991002797979702656</t>
        </is>
      </c>
      <c r="AY1230" t="inlineStr">
        <is>
          <t>2265812800002656</t>
        </is>
      </c>
      <c r="AZ1230" t="inlineStr">
        <is>
          <t>BOOK</t>
        </is>
      </c>
      <c r="BB1230" t="inlineStr">
        <is>
          <t>9780691016528</t>
        </is>
      </c>
      <c r="BC1230" t="inlineStr">
        <is>
          <t>32285003313540</t>
        </is>
      </c>
      <c r="BD1230" t="inlineStr">
        <is>
          <t>893774037</t>
        </is>
      </c>
    </row>
    <row r="1231">
      <c r="A1231" t="inlineStr">
        <is>
          <t>No</t>
        </is>
      </c>
      <c r="B1231" t="inlineStr">
        <is>
          <t>QH541.15.S62 T87 1998</t>
        </is>
      </c>
      <c r="C1231" t="inlineStr">
        <is>
          <t>0                      QH 0541150S  62                 T  87          1998</t>
        </is>
      </c>
      <c r="D1231" t="inlineStr">
        <is>
          <t>Quantitative analysis of movement : measuring and modeling population redistribution in animals and plants / Peter Turchin.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Turchin, Peter, 1957-</t>
        </is>
      </c>
      <c r="L1231" t="inlineStr">
        <is>
          <t>Sunderland, Mass. : Sinauer Associates, c1998.</t>
        </is>
      </c>
      <c r="M1231" t="inlineStr">
        <is>
          <t>1998</t>
        </is>
      </c>
      <c r="O1231" t="inlineStr">
        <is>
          <t>eng</t>
        </is>
      </c>
      <c r="P1231" t="inlineStr">
        <is>
          <t>mau</t>
        </is>
      </c>
      <c r="R1231" t="inlineStr">
        <is>
          <t xml:space="preserve">QH </t>
        </is>
      </c>
      <c r="S1231" t="n">
        <v>2</v>
      </c>
      <c r="T1231" t="n">
        <v>2</v>
      </c>
      <c r="U1231" t="inlineStr">
        <is>
          <t>2008-09-16</t>
        </is>
      </c>
      <c r="V1231" t="inlineStr">
        <is>
          <t>2008-09-16</t>
        </is>
      </c>
      <c r="W1231" t="inlineStr">
        <is>
          <t>1999-01-20</t>
        </is>
      </c>
      <c r="X1231" t="inlineStr">
        <is>
          <t>1999-01-20</t>
        </is>
      </c>
      <c r="Y1231" t="n">
        <v>375</v>
      </c>
      <c r="Z1231" t="n">
        <v>267</v>
      </c>
      <c r="AA1231" t="n">
        <v>267</v>
      </c>
      <c r="AB1231" t="n">
        <v>2</v>
      </c>
      <c r="AC1231" t="n">
        <v>2</v>
      </c>
      <c r="AD1231" t="n">
        <v>6</v>
      </c>
      <c r="AE1231" t="n">
        <v>6</v>
      </c>
      <c r="AF1231" t="n">
        <v>2</v>
      </c>
      <c r="AG1231" t="n">
        <v>2</v>
      </c>
      <c r="AH1231" t="n">
        <v>1</v>
      </c>
      <c r="AI1231" t="n">
        <v>1</v>
      </c>
      <c r="AJ1231" t="n">
        <v>4</v>
      </c>
      <c r="AK1231" t="n">
        <v>4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HYPERLINK("https://creighton-primo.hosted.exlibrisgroup.com/primo-explore/search?tab=default_tab&amp;search_scope=EVERYTHING&amp;vid=01CRU&amp;lang=en_US&amp;offset=0&amp;query=any,contains,991002897879702656","Catalog Record")</f>
        <v/>
      </c>
      <c r="AT1231">
        <f>HYPERLINK("http://www.worldcat.org/oclc/38200098","WorldCat Record")</f>
        <v/>
      </c>
      <c r="AU1231" t="inlineStr">
        <is>
          <t>890374156:eng</t>
        </is>
      </c>
      <c r="AV1231" t="inlineStr">
        <is>
          <t>38200098</t>
        </is>
      </c>
      <c r="AW1231" t="inlineStr">
        <is>
          <t>991002897879702656</t>
        </is>
      </c>
      <c r="AX1231" t="inlineStr">
        <is>
          <t>991002897879702656</t>
        </is>
      </c>
      <c r="AY1231" t="inlineStr">
        <is>
          <t>2262797260002656</t>
        </is>
      </c>
      <c r="AZ1231" t="inlineStr">
        <is>
          <t>BOOK</t>
        </is>
      </c>
      <c r="BB1231" t="inlineStr">
        <is>
          <t>9780878938476</t>
        </is>
      </c>
      <c r="BC1231" t="inlineStr">
        <is>
          <t>32285003513818</t>
        </is>
      </c>
      <c r="BD1231" t="inlineStr">
        <is>
          <t>893239640</t>
        </is>
      </c>
    </row>
    <row r="1232">
      <c r="A1232" t="inlineStr">
        <is>
          <t>No</t>
        </is>
      </c>
      <c r="B1232" t="inlineStr">
        <is>
          <t>QH541.15.S64 G38 2004</t>
        </is>
      </c>
      <c r="C1232" t="inlineStr">
        <is>
          <t>0                      QH 0541150S  64                 G  38          2004</t>
        </is>
      </c>
      <c r="D1232" t="inlineStr">
        <is>
          <t>Fitness landscapes and the origin of species / Sergey Gavrilets.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Gavrilets, Sergey.</t>
        </is>
      </c>
      <c r="L1232" t="inlineStr">
        <is>
          <t>Princeton, N.J. ; Oxford, England : Princeton University Press, c2004.</t>
        </is>
      </c>
      <c r="M1232" t="inlineStr">
        <is>
          <t>2004</t>
        </is>
      </c>
      <c r="O1232" t="inlineStr">
        <is>
          <t>eng</t>
        </is>
      </c>
      <c r="P1232" t="inlineStr">
        <is>
          <t>nju</t>
        </is>
      </c>
      <c r="Q1232" t="inlineStr">
        <is>
          <t>Monographs in population biology ; v. 41</t>
        </is>
      </c>
      <c r="R1232" t="inlineStr">
        <is>
          <t xml:space="preserve">QH </t>
        </is>
      </c>
      <c r="S1232" t="n">
        <v>1</v>
      </c>
      <c r="T1232" t="n">
        <v>1</v>
      </c>
      <c r="U1232" t="inlineStr">
        <is>
          <t>2004-09-20</t>
        </is>
      </c>
      <c r="V1232" t="inlineStr">
        <is>
          <t>2004-09-20</t>
        </is>
      </c>
      <c r="W1232" t="inlineStr">
        <is>
          <t>2004-08-17</t>
        </is>
      </c>
      <c r="X1232" t="inlineStr">
        <is>
          <t>2004-08-17</t>
        </is>
      </c>
      <c r="Y1232" t="n">
        <v>322</v>
      </c>
      <c r="Z1232" t="n">
        <v>234</v>
      </c>
      <c r="AA1232" t="n">
        <v>417</v>
      </c>
      <c r="AB1232" t="n">
        <v>3</v>
      </c>
      <c r="AC1232" t="n">
        <v>3</v>
      </c>
      <c r="AD1232" t="n">
        <v>9</v>
      </c>
      <c r="AE1232" t="n">
        <v>20</v>
      </c>
      <c r="AF1232" t="n">
        <v>3</v>
      </c>
      <c r="AG1232" t="n">
        <v>9</v>
      </c>
      <c r="AH1232" t="n">
        <v>2</v>
      </c>
      <c r="AI1232" t="n">
        <v>5</v>
      </c>
      <c r="AJ1232" t="n">
        <v>4</v>
      </c>
      <c r="AK1232" t="n">
        <v>10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HYPERLINK("https://creighton-primo.hosted.exlibrisgroup.com/primo-explore/search?tab=default_tab&amp;search_scope=EVERYTHING&amp;vid=01CRU&amp;lang=en_US&amp;offset=0&amp;query=any,contains,991004351339702656","Catalog Record")</f>
        <v/>
      </c>
      <c r="AT1232">
        <f>HYPERLINK("http://www.worldcat.org/oclc/56023319","WorldCat Record")</f>
        <v/>
      </c>
      <c r="AU1232" t="inlineStr">
        <is>
          <t>1035090:eng</t>
        </is>
      </c>
      <c r="AV1232" t="inlineStr">
        <is>
          <t>56023319</t>
        </is>
      </c>
      <c r="AW1232" t="inlineStr">
        <is>
          <t>991004351339702656</t>
        </is>
      </c>
      <c r="AX1232" t="inlineStr">
        <is>
          <t>991004351339702656</t>
        </is>
      </c>
      <c r="AY1232" t="inlineStr">
        <is>
          <t>2254713490002656</t>
        </is>
      </c>
      <c r="AZ1232" t="inlineStr">
        <is>
          <t>BOOK</t>
        </is>
      </c>
      <c r="BB1232" t="inlineStr">
        <is>
          <t>9780691117584</t>
        </is>
      </c>
      <c r="BC1232" t="inlineStr">
        <is>
          <t>32285004982418</t>
        </is>
      </c>
      <c r="BD1232" t="inlineStr">
        <is>
          <t>893325262</t>
        </is>
      </c>
    </row>
    <row r="1233">
      <c r="A1233" t="inlineStr">
        <is>
          <t>No</t>
        </is>
      </c>
      <c r="B1233" t="inlineStr">
        <is>
          <t>QH541.15.S64 H87 1994</t>
        </is>
      </c>
      <c r="C1233" t="inlineStr">
        <is>
          <t>0                      QH 0541150S  64                 H  87          1994</t>
        </is>
      </c>
      <c r="D1233" t="inlineStr">
        <is>
          <t>Biological diversity : the coexistence of species on changing landscapes / Michael A. Huston.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Huston, Michael A. (Michael Alan)</t>
        </is>
      </c>
      <c r="L1233" t="inlineStr">
        <is>
          <t>Cambridge ; New York, NY, USA : Cambridge University Press, 1994.</t>
        </is>
      </c>
      <c r="M1233" t="inlineStr">
        <is>
          <t>1994</t>
        </is>
      </c>
      <c r="O1233" t="inlineStr">
        <is>
          <t>eng</t>
        </is>
      </c>
      <c r="P1233" t="inlineStr">
        <is>
          <t>enk</t>
        </is>
      </c>
      <c r="R1233" t="inlineStr">
        <is>
          <t xml:space="preserve">QH </t>
        </is>
      </c>
      <c r="S1233" t="n">
        <v>7</v>
      </c>
      <c r="T1233" t="n">
        <v>7</v>
      </c>
      <c r="U1233" t="inlineStr">
        <is>
          <t>1997-11-01</t>
        </is>
      </c>
      <c r="V1233" t="inlineStr">
        <is>
          <t>1997-11-01</t>
        </is>
      </c>
      <c r="W1233" t="inlineStr">
        <is>
          <t>1996-05-09</t>
        </is>
      </c>
      <c r="X1233" t="inlineStr">
        <is>
          <t>1996-05-09</t>
        </is>
      </c>
      <c r="Y1233" t="n">
        <v>815</v>
      </c>
      <c r="Z1233" t="n">
        <v>576</v>
      </c>
      <c r="AA1233" t="n">
        <v>613</v>
      </c>
      <c r="AB1233" t="n">
        <v>4</v>
      </c>
      <c r="AC1233" t="n">
        <v>4</v>
      </c>
      <c r="AD1233" t="n">
        <v>28</v>
      </c>
      <c r="AE1233" t="n">
        <v>29</v>
      </c>
      <c r="AF1233" t="n">
        <v>11</v>
      </c>
      <c r="AG1233" t="n">
        <v>12</v>
      </c>
      <c r="AH1233" t="n">
        <v>8</v>
      </c>
      <c r="AI1233" t="n">
        <v>8</v>
      </c>
      <c r="AJ1233" t="n">
        <v>15</v>
      </c>
      <c r="AK1233" t="n">
        <v>15</v>
      </c>
      <c r="AL1233" t="n">
        <v>3</v>
      </c>
      <c r="AM1233" t="n">
        <v>3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HYPERLINK("https://creighton-primo.hosted.exlibrisgroup.com/primo-explore/search?tab=default_tab&amp;search_scope=EVERYTHING&amp;vid=01CRU&amp;lang=en_US&amp;offset=0&amp;query=any,contains,991002407219702656","Catalog Record")</f>
        <v/>
      </c>
      <c r="AT1233">
        <f>HYPERLINK("http://www.worldcat.org/oclc/31322781","WorldCat Record")</f>
        <v/>
      </c>
      <c r="AU1233" t="inlineStr">
        <is>
          <t>23884603:eng</t>
        </is>
      </c>
      <c r="AV1233" t="inlineStr">
        <is>
          <t>31322781</t>
        </is>
      </c>
      <c r="AW1233" t="inlineStr">
        <is>
          <t>991002407219702656</t>
        </is>
      </c>
      <c r="AX1233" t="inlineStr">
        <is>
          <t>991002407219702656</t>
        </is>
      </c>
      <c r="AY1233" t="inlineStr">
        <is>
          <t>2259299400002656</t>
        </is>
      </c>
      <c r="AZ1233" t="inlineStr">
        <is>
          <t>BOOK</t>
        </is>
      </c>
      <c r="BB1233" t="inlineStr">
        <is>
          <t>9780521360937</t>
        </is>
      </c>
      <c r="BC1233" t="inlineStr">
        <is>
          <t>32285002166337</t>
        </is>
      </c>
      <c r="BD1233" t="inlineStr">
        <is>
          <t>893440120</t>
        </is>
      </c>
    </row>
    <row r="1234">
      <c r="A1234" t="inlineStr">
        <is>
          <t>No</t>
        </is>
      </c>
      <c r="B1234" t="inlineStr">
        <is>
          <t>QH541.15.S64 S63 1993</t>
        </is>
      </c>
      <c r="C1234" t="inlineStr">
        <is>
          <t>0                      QH 0541150S  64                 S  63          1993</t>
        </is>
      </c>
      <c r="D1234" t="inlineStr">
        <is>
          <t>Species diversity in ecological communities : historical and geographical perspectives / edited by Robert E. Ricklefs and Dolph Schluter.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Chicago : University of Chicago Press, c1993.</t>
        </is>
      </c>
      <c r="M1234" t="inlineStr">
        <is>
          <t>1993</t>
        </is>
      </c>
      <c r="O1234" t="inlineStr">
        <is>
          <t>eng</t>
        </is>
      </c>
      <c r="P1234" t="inlineStr">
        <is>
          <t>ilu</t>
        </is>
      </c>
      <c r="R1234" t="inlineStr">
        <is>
          <t xml:space="preserve">QH </t>
        </is>
      </c>
      <c r="S1234" t="n">
        <v>2</v>
      </c>
      <c r="T1234" t="n">
        <v>2</v>
      </c>
      <c r="U1234" t="inlineStr">
        <is>
          <t>1996-10-02</t>
        </is>
      </c>
      <c r="V1234" t="inlineStr">
        <is>
          <t>1996-10-02</t>
        </is>
      </c>
      <c r="W1234" t="inlineStr">
        <is>
          <t>1996-06-04</t>
        </is>
      </c>
      <c r="X1234" t="inlineStr">
        <is>
          <t>1996-06-04</t>
        </is>
      </c>
      <c r="Y1234" t="n">
        <v>656</v>
      </c>
      <c r="Z1234" t="n">
        <v>468</v>
      </c>
      <c r="AA1234" t="n">
        <v>474</v>
      </c>
      <c r="AB1234" t="n">
        <v>4</v>
      </c>
      <c r="AC1234" t="n">
        <v>4</v>
      </c>
      <c r="AD1234" t="n">
        <v>21</v>
      </c>
      <c r="AE1234" t="n">
        <v>21</v>
      </c>
      <c r="AF1234" t="n">
        <v>11</v>
      </c>
      <c r="AG1234" t="n">
        <v>11</v>
      </c>
      <c r="AH1234" t="n">
        <v>5</v>
      </c>
      <c r="AI1234" t="n">
        <v>5</v>
      </c>
      <c r="AJ1234" t="n">
        <v>9</v>
      </c>
      <c r="AK1234" t="n">
        <v>9</v>
      </c>
      <c r="AL1234" t="n">
        <v>3</v>
      </c>
      <c r="AM1234" t="n">
        <v>3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HYPERLINK("https://creighton-primo.hosted.exlibrisgroup.com/primo-explore/search?tab=default_tab&amp;search_scope=EVERYTHING&amp;vid=01CRU&amp;lang=en_US&amp;offset=0&amp;query=any,contains,991002160349702656","Catalog Record")</f>
        <v/>
      </c>
      <c r="AT1234">
        <f>HYPERLINK("http://www.worldcat.org/oclc/27813343","WorldCat Record")</f>
        <v/>
      </c>
      <c r="AU1234" t="inlineStr">
        <is>
          <t>836731314:eng</t>
        </is>
      </c>
      <c r="AV1234" t="inlineStr">
        <is>
          <t>27813343</t>
        </is>
      </c>
      <c r="AW1234" t="inlineStr">
        <is>
          <t>991002160349702656</t>
        </is>
      </c>
      <c r="AX1234" t="inlineStr">
        <is>
          <t>991002160349702656</t>
        </is>
      </c>
      <c r="AY1234" t="inlineStr">
        <is>
          <t>2257678060002656</t>
        </is>
      </c>
      <c r="AZ1234" t="inlineStr">
        <is>
          <t>BOOK</t>
        </is>
      </c>
      <c r="BB1234" t="inlineStr">
        <is>
          <t>9780226718224</t>
        </is>
      </c>
      <c r="BC1234" t="inlineStr">
        <is>
          <t>32285002186822</t>
        </is>
      </c>
      <c r="BD1234" t="inlineStr">
        <is>
          <t>893615766</t>
        </is>
      </c>
    </row>
    <row r="1235">
      <c r="A1235" t="inlineStr">
        <is>
          <t>No</t>
        </is>
      </c>
      <c r="B1235" t="inlineStr">
        <is>
          <t>QH541.15.S72 G73</t>
        </is>
      </c>
      <c r="C1235" t="inlineStr">
        <is>
          <t>0                      QH 0541150S  72                 G  73</t>
        </is>
      </c>
      <c r="D1235" t="inlineStr">
        <is>
          <t>Sampling design and statistical methods for environmental biologists / Roger H. Green.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Green, Roger Harrison, 1939-</t>
        </is>
      </c>
      <c r="L1235" t="inlineStr">
        <is>
          <t>New York : Wiley, c1979.</t>
        </is>
      </c>
      <c r="M1235" t="inlineStr">
        <is>
          <t>1979</t>
        </is>
      </c>
      <c r="O1235" t="inlineStr">
        <is>
          <t>eng</t>
        </is>
      </c>
      <c r="P1235" t="inlineStr">
        <is>
          <t>nyu</t>
        </is>
      </c>
      <c r="R1235" t="inlineStr">
        <is>
          <t xml:space="preserve">QH </t>
        </is>
      </c>
      <c r="S1235" t="n">
        <v>2</v>
      </c>
      <c r="T1235" t="n">
        <v>2</v>
      </c>
      <c r="U1235" t="inlineStr">
        <is>
          <t>1996-02-28</t>
        </is>
      </c>
      <c r="V1235" t="inlineStr">
        <is>
          <t>1996-02-28</t>
        </is>
      </c>
      <c r="W1235" t="inlineStr">
        <is>
          <t>1993-04-30</t>
        </is>
      </c>
      <c r="X1235" t="inlineStr">
        <is>
          <t>1993-04-30</t>
        </is>
      </c>
      <c r="Y1235" t="n">
        <v>940</v>
      </c>
      <c r="Z1235" t="n">
        <v>689</v>
      </c>
      <c r="AA1235" t="n">
        <v>692</v>
      </c>
      <c r="AB1235" t="n">
        <v>4</v>
      </c>
      <c r="AC1235" t="n">
        <v>4</v>
      </c>
      <c r="AD1235" t="n">
        <v>19</v>
      </c>
      <c r="AE1235" t="n">
        <v>19</v>
      </c>
      <c r="AF1235" t="n">
        <v>6</v>
      </c>
      <c r="AG1235" t="n">
        <v>6</v>
      </c>
      <c r="AH1235" t="n">
        <v>4</v>
      </c>
      <c r="AI1235" t="n">
        <v>4</v>
      </c>
      <c r="AJ1235" t="n">
        <v>10</v>
      </c>
      <c r="AK1235" t="n">
        <v>10</v>
      </c>
      <c r="AL1235" t="n">
        <v>3</v>
      </c>
      <c r="AM1235" t="n">
        <v>3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HYPERLINK("http://catalog.hathitrust.org/Record/000038042","HathiTrust Record")</f>
        <v/>
      </c>
      <c r="AS1235">
        <f>HYPERLINK("https://creighton-primo.hosted.exlibrisgroup.com/primo-explore/search?tab=default_tab&amp;search_scope=EVERYTHING&amp;vid=01CRU&amp;lang=en_US&amp;offset=0&amp;query=any,contains,991004665299702656","Catalog Record")</f>
        <v/>
      </c>
      <c r="AT1235">
        <f>HYPERLINK("http://www.worldcat.org/oclc/4503294","WorldCat Record")</f>
        <v/>
      </c>
      <c r="AU1235" t="inlineStr">
        <is>
          <t>488613:eng</t>
        </is>
      </c>
      <c r="AV1235" t="inlineStr">
        <is>
          <t>4503294</t>
        </is>
      </c>
      <c r="AW1235" t="inlineStr">
        <is>
          <t>991004665299702656</t>
        </is>
      </c>
      <c r="AX1235" t="inlineStr">
        <is>
          <t>991004665299702656</t>
        </is>
      </c>
      <c r="AY1235" t="inlineStr">
        <is>
          <t>2265195790002656</t>
        </is>
      </c>
      <c r="AZ1235" t="inlineStr">
        <is>
          <t>BOOK</t>
        </is>
      </c>
      <c r="BB1235" t="inlineStr">
        <is>
          <t>9780471039013</t>
        </is>
      </c>
      <c r="BC1235" t="inlineStr">
        <is>
          <t>32285001642429</t>
        </is>
      </c>
      <c r="BD1235" t="inlineStr">
        <is>
          <t>893889025</t>
        </is>
      </c>
    </row>
    <row r="1236">
      <c r="A1236" t="inlineStr">
        <is>
          <t>No</t>
        </is>
      </c>
      <c r="B1236" t="inlineStr">
        <is>
          <t>QH541.15.S72 G84</t>
        </is>
      </c>
      <c r="C1236" t="inlineStr">
        <is>
          <t>0                      QH 0541150S  72                 G  84</t>
        </is>
      </c>
      <c r="D1236" t="inlineStr">
        <is>
          <t>Ecosystem succession : a general hypothesis and a test model of a grassland / Luis T. Gutierrez, Willard R. Fey.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Gutierrez, Luis T.</t>
        </is>
      </c>
      <c r="L1236" t="inlineStr">
        <is>
          <t>Cambridge, Mass. : MIT Press, c1980.</t>
        </is>
      </c>
      <c r="M1236" t="inlineStr">
        <is>
          <t>1980</t>
        </is>
      </c>
      <c r="O1236" t="inlineStr">
        <is>
          <t>eng</t>
        </is>
      </c>
      <c r="P1236" t="inlineStr">
        <is>
          <t>mau</t>
        </is>
      </c>
      <c r="Q1236" t="inlineStr">
        <is>
          <t>MIT Press/Wright-Allen series in system dynamics</t>
        </is>
      </c>
      <c r="R1236" t="inlineStr">
        <is>
          <t xml:space="preserve">QH </t>
        </is>
      </c>
      <c r="S1236" t="n">
        <v>1</v>
      </c>
      <c r="T1236" t="n">
        <v>1</v>
      </c>
      <c r="U1236" t="inlineStr">
        <is>
          <t>2001-09-30</t>
        </is>
      </c>
      <c r="V1236" t="inlineStr">
        <is>
          <t>2001-09-30</t>
        </is>
      </c>
      <c r="W1236" t="inlineStr">
        <is>
          <t>1993-04-30</t>
        </is>
      </c>
      <c r="X1236" t="inlineStr">
        <is>
          <t>1993-04-30</t>
        </is>
      </c>
      <c r="Y1236" t="n">
        <v>288</v>
      </c>
      <c r="Z1236" t="n">
        <v>214</v>
      </c>
      <c r="AA1236" t="n">
        <v>230</v>
      </c>
      <c r="AB1236" t="n">
        <v>3</v>
      </c>
      <c r="AC1236" t="n">
        <v>3</v>
      </c>
      <c r="AD1236" t="n">
        <v>6</v>
      </c>
      <c r="AE1236" t="n">
        <v>7</v>
      </c>
      <c r="AF1236" t="n">
        <v>1</v>
      </c>
      <c r="AG1236" t="n">
        <v>1</v>
      </c>
      <c r="AH1236" t="n">
        <v>3</v>
      </c>
      <c r="AI1236" t="n">
        <v>4</v>
      </c>
      <c r="AJ1236" t="n">
        <v>2</v>
      </c>
      <c r="AK1236" t="n">
        <v>3</v>
      </c>
      <c r="AL1236" t="n">
        <v>2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No</t>
        </is>
      </c>
      <c r="AS1236">
        <f>HYPERLINK("https://creighton-primo.hosted.exlibrisgroup.com/primo-explore/search?tab=default_tab&amp;search_scope=EVERYTHING&amp;vid=01CRU&amp;lang=en_US&amp;offset=0&amp;query=any,contains,991004831729702656","Catalog Record")</f>
        <v/>
      </c>
      <c r="AT1236">
        <f>HYPERLINK("http://www.worldcat.org/oclc/5411549","WorldCat Record")</f>
        <v/>
      </c>
      <c r="AU1236" t="inlineStr">
        <is>
          <t>795769812:eng</t>
        </is>
      </c>
      <c r="AV1236" t="inlineStr">
        <is>
          <t>5411549</t>
        </is>
      </c>
      <c r="AW1236" t="inlineStr">
        <is>
          <t>991004831729702656</t>
        </is>
      </c>
      <c r="AX1236" t="inlineStr">
        <is>
          <t>991004831729702656</t>
        </is>
      </c>
      <c r="AY1236" t="inlineStr">
        <is>
          <t>2256408810002656</t>
        </is>
      </c>
      <c r="AZ1236" t="inlineStr">
        <is>
          <t>BOOK</t>
        </is>
      </c>
      <c r="BB1236" t="inlineStr">
        <is>
          <t>9780262070751</t>
        </is>
      </c>
      <c r="BC1236" t="inlineStr">
        <is>
          <t>32285001642437</t>
        </is>
      </c>
      <c r="BD1236" t="inlineStr">
        <is>
          <t>893782707</t>
        </is>
      </c>
    </row>
    <row r="1237">
      <c r="A1237" t="inlineStr">
        <is>
          <t>No</t>
        </is>
      </c>
      <c r="B1237" t="inlineStr">
        <is>
          <t>QH541.15.S95 E26 1996</t>
        </is>
      </c>
      <c r="C1237" t="inlineStr">
        <is>
          <t>0                      QH 0541150S  95                 E  26          1996</t>
        </is>
      </c>
      <c r="D1237" t="inlineStr">
        <is>
          <t>Ecological census techniques : a handbook / edited by William J. Sutherland.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L1237" t="inlineStr">
        <is>
          <t>Cambridge [England] ; New York, NY, USA : Cambridge University Press, c1996.</t>
        </is>
      </c>
      <c r="M1237" t="inlineStr">
        <is>
          <t>1996</t>
        </is>
      </c>
      <c r="O1237" t="inlineStr">
        <is>
          <t>eng</t>
        </is>
      </c>
      <c r="P1237" t="inlineStr">
        <is>
          <t>enk</t>
        </is>
      </c>
      <c r="R1237" t="inlineStr">
        <is>
          <t xml:space="preserve">QH </t>
        </is>
      </c>
      <c r="S1237" t="n">
        <v>3</v>
      </c>
      <c r="T1237" t="n">
        <v>3</v>
      </c>
      <c r="U1237" t="inlineStr">
        <is>
          <t>2004-03-25</t>
        </is>
      </c>
      <c r="V1237" t="inlineStr">
        <is>
          <t>2004-03-25</t>
        </is>
      </c>
      <c r="W1237" t="inlineStr">
        <is>
          <t>1996-06-13</t>
        </is>
      </c>
      <c r="X1237" t="inlineStr">
        <is>
          <t>1996-06-13</t>
        </is>
      </c>
      <c r="Y1237" t="n">
        <v>584</v>
      </c>
      <c r="Z1237" t="n">
        <v>363</v>
      </c>
      <c r="AA1237" t="n">
        <v>507</v>
      </c>
      <c r="AB1237" t="n">
        <v>5</v>
      </c>
      <c r="AC1237" t="n">
        <v>5</v>
      </c>
      <c r="AD1237" t="n">
        <v>16</v>
      </c>
      <c r="AE1237" t="n">
        <v>22</v>
      </c>
      <c r="AF1237" t="n">
        <v>5</v>
      </c>
      <c r="AG1237" t="n">
        <v>8</v>
      </c>
      <c r="AH1237" t="n">
        <v>3</v>
      </c>
      <c r="AI1237" t="n">
        <v>5</v>
      </c>
      <c r="AJ1237" t="n">
        <v>7</v>
      </c>
      <c r="AK1237" t="n">
        <v>10</v>
      </c>
      <c r="AL1237" t="n">
        <v>4</v>
      </c>
      <c r="AM1237" t="n">
        <v>4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No</t>
        </is>
      </c>
      <c r="AS1237">
        <f>HYPERLINK("https://creighton-primo.hosted.exlibrisgroup.com/primo-explore/search?tab=default_tab&amp;search_scope=EVERYTHING&amp;vid=01CRU&amp;lang=en_US&amp;offset=0&amp;query=any,contains,991002533959702656","Catalog Record")</f>
        <v/>
      </c>
      <c r="AT1237">
        <f>HYPERLINK("http://www.worldcat.org/oclc/32924282","WorldCat Record")</f>
        <v/>
      </c>
      <c r="AU1237" t="inlineStr">
        <is>
          <t>865441848:eng</t>
        </is>
      </c>
      <c r="AV1237" t="inlineStr">
        <is>
          <t>32924282</t>
        </is>
      </c>
      <c r="AW1237" t="inlineStr">
        <is>
          <t>991002533959702656</t>
        </is>
      </c>
      <c r="AX1237" t="inlineStr">
        <is>
          <t>991002533959702656</t>
        </is>
      </c>
      <c r="AY1237" t="inlineStr">
        <is>
          <t>2262221400002656</t>
        </is>
      </c>
      <c r="AZ1237" t="inlineStr">
        <is>
          <t>BOOK</t>
        </is>
      </c>
      <c r="BB1237" t="inlineStr">
        <is>
          <t>9780521472449</t>
        </is>
      </c>
      <c r="BC1237" t="inlineStr">
        <is>
          <t>32285002192788</t>
        </is>
      </c>
      <c r="BD1237" t="inlineStr">
        <is>
          <t>893804715</t>
        </is>
      </c>
    </row>
    <row r="1238">
      <c r="A1238" t="inlineStr">
        <is>
          <t>No</t>
        </is>
      </c>
      <c r="B1238" t="inlineStr">
        <is>
          <t>QH541.2 .A44 1993</t>
        </is>
      </c>
      <c r="C1238" t="inlineStr">
        <is>
          <t>0                      QH 0541200A  44          1993</t>
        </is>
      </c>
      <c r="D1238" t="inlineStr">
        <is>
          <t>Life under glass : the inside story of Biosphere 2 / Abigail Alling and Mark Nelson with Sally Silverstone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Alling, Abigail.</t>
        </is>
      </c>
      <c r="L1238" t="inlineStr">
        <is>
          <t>Oracle, AZ : Biosphere Press, c1993</t>
        </is>
      </c>
      <c r="M1238" t="inlineStr">
        <is>
          <t>1993</t>
        </is>
      </c>
      <c r="O1238" t="inlineStr">
        <is>
          <t>eng</t>
        </is>
      </c>
      <c r="P1238" t="inlineStr">
        <is>
          <t>azu</t>
        </is>
      </c>
      <c r="R1238" t="inlineStr">
        <is>
          <t xml:space="preserve">QH </t>
        </is>
      </c>
      <c r="S1238" t="n">
        <v>5</v>
      </c>
      <c r="T1238" t="n">
        <v>5</v>
      </c>
      <c r="U1238" t="inlineStr">
        <is>
          <t>2003-04-07</t>
        </is>
      </c>
      <c r="V1238" t="inlineStr">
        <is>
          <t>2003-04-07</t>
        </is>
      </c>
      <c r="W1238" t="inlineStr">
        <is>
          <t>1994-01-20</t>
        </is>
      </c>
      <c r="X1238" t="inlineStr">
        <is>
          <t>1994-01-20</t>
        </is>
      </c>
      <c r="Y1238" t="n">
        <v>216</v>
      </c>
      <c r="Z1238" t="n">
        <v>198</v>
      </c>
      <c r="AA1238" t="n">
        <v>199</v>
      </c>
      <c r="AB1238" t="n">
        <v>1</v>
      </c>
      <c r="AC1238" t="n">
        <v>1</v>
      </c>
      <c r="AD1238" t="n">
        <v>3</v>
      </c>
      <c r="AE1238" t="n">
        <v>3</v>
      </c>
      <c r="AF1238" t="n">
        <v>1</v>
      </c>
      <c r="AG1238" t="n">
        <v>1</v>
      </c>
      <c r="AH1238" t="n">
        <v>1</v>
      </c>
      <c r="AI1238" t="n">
        <v>1</v>
      </c>
      <c r="AJ1238" t="n">
        <v>2</v>
      </c>
      <c r="AK1238" t="n">
        <v>2</v>
      </c>
      <c r="AL1238" t="n">
        <v>0</v>
      </c>
      <c r="AM1238" t="n">
        <v>0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HYPERLINK("https://creighton-primo.hosted.exlibrisgroup.com/primo-explore/search?tab=default_tab&amp;search_scope=EVERYTHING&amp;vid=01CRU&amp;lang=en_US&amp;offset=0&amp;query=any,contains,991002266899702656","Catalog Record")</f>
        <v/>
      </c>
      <c r="AT1238">
        <f>HYPERLINK("http://www.worldcat.org/oclc/29398508","WorldCat Record")</f>
        <v/>
      </c>
      <c r="AU1238" t="inlineStr">
        <is>
          <t>1083309902:eng</t>
        </is>
      </c>
      <c r="AV1238" t="inlineStr">
        <is>
          <t>29398508</t>
        </is>
      </c>
      <c r="AW1238" t="inlineStr">
        <is>
          <t>991002266899702656</t>
        </is>
      </c>
      <c r="AX1238" t="inlineStr">
        <is>
          <t>991002266899702656</t>
        </is>
      </c>
      <c r="AY1238" t="inlineStr">
        <is>
          <t>2269607110002656</t>
        </is>
      </c>
      <c r="AZ1238" t="inlineStr">
        <is>
          <t>BOOK</t>
        </is>
      </c>
      <c r="BB1238" t="inlineStr">
        <is>
          <t>9781882428076</t>
        </is>
      </c>
      <c r="BC1238" t="inlineStr">
        <is>
          <t>32285001832541</t>
        </is>
      </c>
      <c r="BD1238" t="inlineStr">
        <is>
          <t>893257091</t>
        </is>
      </c>
    </row>
    <row r="1239">
      <c r="A1239" t="inlineStr">
        <is>
          <t>No</t>
        </is>
      </c>
      <c r="B1239" t="inlineStr">
        <is>
          <t>QH541.2 .E238 2005</t>
        </is>
      </c>
      <c r="C1239" t="inlineStr">
        <is>
          <t>0                      QH 0541200E  238         2005</t>
        </is>
      </c>
      <c r="D1239" t="inlineStr">
        <is>
          <t>Ecological literacy : educating our children for a sustainable world / edited by Michael K. Stone and Zenobia Barlow ; foreword by David W. Orr ; preface by Fritjof Capra.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San Francisco : Sierra Club Books ; Berkeley : Distributed by University of California Press, c2005.</t>
        </is>
      </c>
      <c r="M1239" t="inlineStr">
        <is>
          <t>2005</t>
        </is>
      </c>
      <c r="N1239" t="inlineStr">
        <is>
          <t>1st ed.</t>
        </is>
      </c>
      <c r="O1239" t="inlineStr">
        <is>
          <t>eng</t>
        </is>
      </c>
      <c r="P1239" t="inlineStr">
        <is>
          <t>cau</t>
        </is>
      </c>
      <c r="Q1239" t="inlineStr">
        <is>
          <t>The bioneers series</t>
        </is>
      </c>
      <c r="R1239" t="inlineStr">
        <is>
          <t xml:space="preserve">QH </t>
        </is>
      </c>
      <c r="S1239" t="n">
        <v>1</v>
      </c>
      <c r="T1239" t="n">
        <v>1</v>
      </c>
      <c r="U1239" t="inlineStr">
        <is>
          <t>2005-11-08</t>
        </is>
      </c>
      <c r="V1239" t="inlineStr">
        <is>
          <t>2005-11-08</t>
        </is>
      </c>
      <c r="W1239" t="inlineStr">
        <is>
          <t>2005-11-08</t>
        </is>
      </c>
      <c r="X1239" t="inlineStr">
        <is>
          <t>2005-11-08</t>
        </is>
      </c>
      <c r="Y1239" t="n">
        <v>755</v>
      </c>
      <c r="Z1239" t="n">
        <v>636</v>
      </c>
      <c r="AA1239" t="n">
        <v>652</v>
      </c>
      <c r="AB1239" t="n">
        <v>2</v>
      </c>
      <c r="AC1239" t="n">
        <v>2</v>
      </c>
      <c r="AD1239" t="n">
        <v>16</v>
      </c>
      <c r="AE1239" t="n">
        <v>16</v>
      </c>
      <c r="AF1239" t="n">
        <v>7</v>
      </c>
      <c r="AG1239" t="n">
        <v>7</v>
      </c>
      <c r="AH1239" t="n">
        <v>3</v>
      </c>
      <c r="AI1239" t="n">
        <v>3</v>
      </c>
      <c r="AJ1239" t="n">
        <v>9</v>
      </c>
      <c r="AK1239" t="n">
        <v>9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HYPERLINK("https://creighton-primo.hosted.exlibrisgroup.com/primo-explore/search?tab=default_tab&amp;search_scope=EVERYTHING&amp;vid=01CRU&amp;lang=en_US&amp;offset=0&amp;query=any,contains,991004662839702656","Catalog Record")</f>
        <v/>
      </c>
      <c r="AT1239">
        <f>HYPERLINK("http://www.worldcat.org/oclc/60644837","WorldCat Record")</f>
        <v/>
      </c>
      <c r="AU1239" t="inlineStr">
        <is>
          <t>865373579:eng</t>
        </is>
      </c>
      <c r="AV1239" t="inlineStr">
        <is>
          <t>60644837</t>
        </is>
      </c>
      <c r="AW1239" t="inlineStr">
        <is>
          <t>991004662839702656</t>
        </is>
      </c>
      <c r="AX1239" t="inlineStr">
        <is>
          <t>991004662839702656</t>
        </is>
      </c>
      <c r="AY1239" t="inlineStr">
        <is>
          <t>2266920690002656</t>
        </is>
      </c>
      <c r="AZ1239" t="inlineStr">
        <is>
          <t>BOOK</t>
        </is>
      </c>
      <c r="BB1239" t="inlineStr">
        <is>
          <t>9781578051533</t>
        </is>
      </c>
      <c r="BC1239" t="inlineStr">
        <is>
          <t>32285005145056</t>
        </is>
      </c>
      <c r="BD1239" t="inlineStr">
        <is>
          <t>893901494</t>
        </is>
      </c>
    </row>
    <row r="1240">
      <c r="A1240" t="inlineStr">
        <is>
          <t>No</t>
        </is>
      </c>
      <c r="B1240" t="inlineStr">
        <is>
          <t>QH541.2 .K374 2006</t>
        </is>
      </c>
      <c r="C1240" t="inlineStr">
        <is>
          <t>0                      QH 0541200K  374         2006</t>
        </is>
      </c>
      <c r="D1240" t="inlineStr">
        <is>
          <t>How to do ecology : a concise handbook / Richard Karban and Mikaela Huntzinger.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Karban, Richard.</t>
        </is>
      </c>
      <c r="L1240" t="inlineStr">
        <is>
          <t>Princeton : Princeton University Press, c2006.</t>
        </is>
      </c>
      <c r="M1240" t="inlineStr">
        <is>
          <t>2006</t>
        </is>
      </c>
      <c r="O1240" t="inlineStr">
        <is>
          <t>eng</t>
        </is>
      </c>
      <c r="P1240" t="inlineStr">
        <is>
          <t>nju</t>
        </is>
      </c>
      <c r="R1240" t="inlineStr">
        <is>
          <t xml:space="preserve">QH </t>
        </is>
      </c>
      <c r="S1240" t="n">
        <v>1</v>
      </c>
      <c r="T1240" t="n">
        <v>1</v>
      </c>
      <c r="U1240" t="inlineStr">
        <is>
          <t>2006-10-23</t>
        </is>
      </c>
      <c r="V1240" t="inlineStr">
        <is>
          <t>2006-10-23</t>
        </is>
      </c>
      <c r="W1240" t="inlineStr">
        <is>
          <t>2006-10-23</t>
        </is>
      </c>
      <c r="X1240" t="inlineStr">
        <is>
          <t>2006-10-23</t>
        </is>
      </c>
      <c r="Y1240" t="n">
        <v>729</v>
      </c>
      <c r="Z1240" t="n">
        <v>602</v>
      </c>
      <c r="AA1240" t="n">
        <v>872</v>
      </c>
      <c r="AB1240" t="n">
        <v>6</v>
      </c>
      <c r="AC1240" t="n">
        <v>7</v>
      </c>
      <c r="AD1240" t="n">
        <v>27</v>
      </c>
      <c r="AE1240" t="n">
        <v>41</v>
      </c>
      <c r="AF1240" t="n">
        <v>13</v>
      </c>
      <c r="AG1240" t="n">
        <v>18</v>
      </c>
      <c r="AH1240" t="n">
        <v>2</v>
      </c>
      <c r="AI1240" t="n">
        <v>7</v>
      </c>
      <c r="AJ1240" t="n">
        <v>12</v>
      </c>
      <c r="AK1240" t="n">
        <v>18</v>
      </c>
      <c r="AL1240" t="n">
        <v>5</v>
      </c>
      <c r="AM1240" t="n">
        <v>6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Yes</t>
        </is>
      </c>
      <c r="AR1240">
        <f>HYPERLINK("http://catalog.hathitrust.org/Record/005266722","HathiTrust Record")</f>
        <v/>
      </c>
      <c r="AS1240">
        <f>HYPERLINK("https://creighton-primo.hosted.exlibrisgroup.com/primo-explore/search?tab=default_tab&amp;search_scope=EVERYTHING&amp;vid=01CRU&amp;lang=en_US&amp;offset=0&amp;query=any,contains,991004932099702656","Catalog Record")</f>
        <v/>
      </c>
      <c r="AT1240">
        <f>HYPERLINK("http://www.worldcat.org/oclc/68192482","WorldCat Record")</f>
        <v/>
      </c>
      <c r="AU1240" t="inlineStr">
        <is>
          <t>892551983:eng</t>
        </is>
      </c>
      <c r="AV1240" t="inlineStr">
        <is>
          <t>68192482</t>
        </is>
      </c>
      <c r="AW1240" t="inlineStr">
        <is>
          <t>991004932099702656</t>
        </is>
      </c>
      <c r="AX1240" t="inlineStr">
        <is>
          <t>991004932099702656</t>
        </is>
      </c>
      <c r="AY1240" t="inlineStr">
        <is>
          <t>2271539920002656</t>
        </is>
      </c>
      <c r="AZ1240" t="inlineStr">
        <is>
          <t>BOOK</t>
        </is>
      </c>
      <c r="BB1240" t="inlineStr">
        <is>
          <t>9780691125763</t>
        </is>
      </c>
      <c r="BC1240" t="inlineStr">
        <is>
          <t>32285005231559</t>
        </is>
      </c>
      <c r="BD1240" t="inlineStr">
        <is>
          <t>893319787</t>
        </is>
      </c>
    </row>
    <row r="1241">
      <c r="A1241" t="inlineStr">
        <is>
          <t>No</t>
        </is>
      </c>
      <c r="B1241" t="inlineStr">
        <is>
          <t>QH541.2 .M39 2000</t>
        </is>
      </c>
      <c r="C1241" t="inlineStr">
        <is>
          <t>0                      QH 0541200M  39          2000</t>
        </is>
      </c>
      <c r="D1241" t="inlineStr">
        <is>
          <t>Multivariate statistics for wildlife and ecology research / Kevin McGarigal, Sam Cushman, Susan Stafford.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McGarigal, Kevin.</t>
        </is>
      </c>
      <c r="L1241" t="inlineStr">
        <is>
          <t>New York : Springer, c2000.</t>
        </is>
      </c>
      <c r="M1241" t="inlineStr">
        <is>
          <t>2000</t>
        </is>
      </c>
      <c r="O1241" t="inlineStr">
        <is>
          <t>eng</t>
        </is>
      </c>
      <c r="P1241" t="inlineStr">
        <is>
          <t>nyu</t>
        </is>
      </c>
      <c r="R1241" t="inlineStr">
        <is>
          <t xml:space="preserve">QH </t>
        </is>
      </c>
      <c r="S1241" t="n">
        <v>1</v>
      </c>
      <c r="T1241" t="n">
        <v>1</v>
      </c>
      <c r="U1241" t="inlineStr">
        <is>
          <t>2009-03-05</t>
        </is>
      </c>
      <c r="V1241" t="inlineStr">
        <is>
          <t>2009-03-05</t>
        </is>
      </c>
      <c r="W1241" t="inlineStr">
        <is>
          <t>2001-10-31</t>
        </is>
      </c>
      <c r="X1241" t="inlineStr">
        <is>
          <t>2001-10-31</t>
        </is>
      </c>
      <c r="Y1241" t="n">
        <v>504</v>
      </c>
      <c r="Z1241" t="n">
        <v>334</v>
      </c>
      <c r="AA1241" t="n">
        <v>364</v>
      </c>
      <c r="AB1241" t="n">
        <v>3</v>
      </c>
      <c r="AC1241" t="n">
        <v>3</v>
      </c>
      <c r="AD1241" t="n">
        <v>11</v>
      </c>
      <c r="AE1241" t="n">
        <v>12</v>
      </c>
      <c r="AF1241" t="n">
        <v>4</v>
      </c>
      <c r="AG1241" t="n">
        <v>5</v>
      </c>
      <c r="AH1241" t="n">
        <v>2</v>
      </c>
      <c r="AI1241" t="n">
        <v>2</v>
      </c>
      <c r="AJ1241" t="n">
        <v>7</v>
      </c>
      <c r="AK1241" t="n">
        <v>8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No</t>
        </is>
      </c>
      <c r="AS1241">
        <f>HYPERLINK("https://creighton-primo.hosted.exlibrisgroup.com/primo-explore/search?tab=default_tab&amp;search_scope=EVERYTHING&amp;vid=01CRU&amp;lang=en_US&amp;offset=0&amp;query=any,contains,991003629029702656","Catalog Record")</f>
        <v/>
      </c>
      <c r="AT1241">
        <f>HYPERLINK("http://www.worldcat.org/oclc/41467791","WorldCat Record")</f>
        <v/>
      </c>
      <c r="AU1241" t="inlineStr">
        <is>
          <t>26892058:eng</t>
        </is>
      </c>
      <c r="AV1241" t="inlineStr">
        <is>
          <t>41467791</t>
        </is>
      </c>
      <c r="AW1241" t="inlineStr">
        <is>
          <t>991003629029702656</t>
        </is>
      </c>
      <c r="AX1241" t="inlineStr">
        <is>
          <t>991003629029702656</t>
        </is>
      </c>
      <c r="AY1241" t="inlineStr">
        <is>
          <t>2271696890002656</t>
        </is>
      </c>
      <c r="AZ1241" t="inlineStr">
        <is>
          <t>BOOK</t>
        </is>
      </c>
      <c r="BB1241" t="inlineStr">
        <is>
          <t>9780387986425</t>
        </is>
      </c>
      <c r="BC1241" t="inlineStr">
        <is>
          <t>32285004417399</t>
        </is>
      </c>
      <c r="BD1241" t="inlineStr">
        <is>
          <t>893410483</t>
        </is>
      </c>
    </row>
    <row r="1242">
      <c r="A1242" t="inlineStr">
        <is>
          <t>No</t>
        </is>
      </c>
      <c r="B1242" t="inlineStr">
        <is>
          <t>QH541.2 .W55 1987</t>
        </is>
      </c>
      <c r="C1242" t="inlineStr">
        <is>
          <t>0                      QH 0541200W  55          1987</t>
        </is>
      </c>
      <c r="D1242" t="inlineStr">
        <is>
          <t>Techniques and fieldwork in ecology / Gareth Williams.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Williams, Gareth (Gareth M.)</t>
        </is>
      </c>
      <c r="L1242" t="inlineStr">
        <is>
          <t>London : Bell &amp; Hyman, c1987.</t>
        </is>
      </c>
      <c r="M1242" t="inlineStr">
        <is>
          <t>1987</t>
        </is>
      </c>
      <c r="O1242" t="inlineStr">
        <is>
          <t>eng</t>
        </is>
      </c>
      <c r="P1242" t="inlineStr">
        <is>
          <t>enk</t>
        </is>
      </c>
      <c r="R1242" t="inlineStr">
        <is>
          <t xml:space="preserve">QH </t>
        </is>
      </c>
      <c r="S1242" t="n">
        <v>5</v>
      </c>
      <c r="T1242" t="n">
        <v>5</v>
      </c>
      <c r="U1242" t="inlineStr">
        <is>
          <t>1998-05-01</t>
        </is>
      </c>
      <c r="V1242" t="inlineStr">
        <is>
          <t>1998-05-01</t>
        </is>
      </c>
      <c r="W1242" t="inlineStr">
        <is>
          <t>1992-11-17</t>
        </is>
      </c>
      <c r="X1242" t="inlineStr">
        <is>
          <t>1992-11-17</t>
        </is>
      </c>
      <c r="Y1242" t="n">
        <v>102</v>
      </c>
      <c r="Z1242" t="n">
        <v>10</v>
      </c>
      <c r="AA1242" t="n">
        <v>15</v>
      </c>
      <c r="AB1242" t="n">
        <v>1</v>
      </c>
      <c r="AC1242" t="n">
        <v>1</v>
      </c>
      <c r="AD1242" t="n">
        <v>0</v>
      </c>
      <c r="AE1242" t="n">
        <v>0</v>
      </c>
      <c r="AF1242" t="n">
        <v>0</v>
      </c>
      <c r="AG1242" t="n">
        <v>0</v>
      </c>
      <c r="AH1242" t="n">
        <v>0</v>
      </c>
      <c r="AI1242" t="n">
        <v>0</v>
      </c>
      <c r="AJ1242" t="n">
        <v>0</v>
      </c>
      <c r="AK1242" t="n">
        <v>0</v>
      </c>
      <c r="AL1242" t="n">
        <v>0</v>
      </c>
      <c r="AM1242" t="n">
        <v>0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HYPERLINK("https://creighton-primo.hosted.exlibrisgroup.com/primo-explore/search?tab=default_tab&amp;search_scope=EVERYTHING&amp;vid=01CRU&amp;lang=en_US&amp;offset=0&amp;query=any,contains,991000926879702656","Catalog Record")</f>
        <v/>
      </c>
      <c r="AT1242">
        <f>HYPERLINK("http://www.worldcat.org/oclc/14240995","WorldCat Record")</f>
        <v/>
      </c>
      <c r="AU1242" t="inlineStr">
        <is>
          <t>193675850:eng</t>
        </is>
      </c>
      <c r="AV1242" t="inlineStr">
        <is>
          <t>14240995</t>
        </is>
      </c>
      <c r="AW1242" t="inlineStr">
        <is>
          <t>991000926879702656</t>
        </is>
      </c>
      <c r="AX1242" t="inlineStr">
        <is>
          <t>991000926879702656</t>
        </is>
      </c>
      <c r="AY1242" t="inlineStr">
        <is>
          <t>2258906630002656</t>
        </is>
      </c>
      <c r="AZ1242" t="inlineStr">
        <is>
          <t>BOOK</t>
        </is>
      </c>
      <c r="BB1242" t="inlineStr">
        <is>
          <t>9780713527308</t>
        </is>
      </c>
      <c r="BC1242" t="inlineStr">
        <is>
          <t>32285001405603</t>
        </is>
      </c>
      <c r="BD1242" t="inlineStr">
        <is>
          <t>893715023</t>
        </is>
      </c>
    </row>
    <row r="1243">
      <c r="A1243" t="inlineStr">
        <is>
          <t>No</t>
        </is>
      </c>
      <c r="B1243" t="inlineStr">
        <is>
          <t>QH541.26 .M58 1992</t>
        </is>
      </c>
      <c r="C1243" t="inlineStr">
        <is>
          <t>0                      QH 0541260M  58          1992</t>
        </is>
      </c>
      <c r="D1243" t="inlineStr">
        <is>
          <t>The state of nature : ecology, community, and American social thought, 1900-1950 / Gregg Mitman.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Mitman, Gregg.</t>
        </is>
      </c>
      <c r="L1243" t="inlineStr">
        <is>
          <t>Chicago : University of Chicago Press, 1992.</t>
        </is>
      </c>
      <c r="M1243" t="inlineStr">
        <is>
          <t>1992</t>
        </is>
      </c>
      <c r="O1243" t="inlineStr">
        <is>
          <t>eng</t>
        </is>
      </c>
      <c r="P1243" t="inlineStr">
        <is>
          <t>ilu</t>
        </is>
      </c>
      <c r="Q1243" t="inlineStr">
        <is>
          <t>Science and its conceptual foundations</t>
        </is>
      </c>
      <c r="R1243" t="inlineStr">
        <is>
          <t xml:space="preserve">QH </t>
        </is>
      </c>
      <c r="S1243" t="n">
        <v>4</v>
      </c>
      <c r="T1243" t="n">
        <v>4</v>
      </c>
      <c r="U1243" t="inlineStr">
        <is>
          <t>1998-03-31</t>
        </is>
      </c>
      <c r="V1243" t="inlineStr">
        <is>
          <t>1998-03-31</t>
        </is>
      </c>
      <c r="W1243" t="inlineStr">
        <is>
          <t>1996-06-12</t>
        </is>
      </c>
      <c r="X1243" t="inlineStr">
        <is>
          <t>1996-06-12</t>
        </is>
      </c>
      <c r="Y1243" t="n">
        <v>396</v>
      </c>
      <c r="Z1243" t="n">
        <v>308</v>
      </c>
      <c r="AA1243" t="n">
        <v>308</v>
      </c>
      <c r="AB1243" t="n">
        <v>3</v>
      </c>
      <c r="AC1243" t="n">
        <v>3</v>
      </c>
      <c r="AD1243" t="n">
        <v>18</v>
      </c>
      <c r="AE1243" t="n">
        <v>18</v>
      </c>
      <c r="AF1243" t="n">
        <v>4</v>
      </c>
      <c r="AG1243" t="n">
        <v>4</v>
      </c>
      <c r="AH1243" t="n">
        <v>5</v>
      </c>
      <c r="AI1243" t="n">
        <v>5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HYPERLINK("https://creighton-primo.hosted.exlibrisgroup.com/primo-explore/search?tab=default_tab&amp;search_scope=EVERYTHING&amp;vid=01CRU&amp;lang=en_US&amp;offset=0&amp;query=any,contains,991001979499702656","Catalog Record")</f>
        <v/>
      </c>
      <c r="AT1243">
        <f>HYPERLINK("http://www.worldcat.org/oclc/25130594","WorldCat Record")</f>
        <v/>
      </c>
      <c r="AU1243" t="inlineStr">
        <is>
          <t>20950318:eng</t>
        </is>
      </c>
      <c r="AV1243" t="inlineStr">
        <is>
          <t>25130594</t>
        </is>
      </c>
      <c r="AW1243" t="inlineStr">
        <is>
          <t>991001979499702656</t>
        </is>
      </c>
      <c r="AX1243" t="inlineStr">
        <is>
          <t>991001979499702656</t>
        </is>
      </c>
      <c r="AY1243" t="inlineStr">
        <is>
          <t>2263012830002656</t>
        </is>
      </c>
      <c r="AZ1243" t="inlineStr">
        <is>
          <t>BOOK</t>
        </is>
      </c>
      <c r="BB1243" t="inlineStr">
        <is>
          <t>9780226532363</t>
        </is>
      </c>
      <c r="BC1243" t="inlineStr">
        <is>
          <t>32285002191954</t>
        </is>
      </c>
      <c r="BD1243" t="inlineStr">
        <is>
          <t>893232435</t>
        </is>
      </c>
    </row>
    <row r="1244">
      <c r="A1244" t="inlineStr">
        <is>
          <t>No</t>
        </is>
      </c>
      <c r="B1244" t="inlineStr">
        <is>
          <t>QH541.28 .S68 1987</t>
        </is>
      </c>
      <c r="C1244" t="inlineStr">
        <is>
          <t>0                      QH 0541280S  68          1987</t>
        </is>
      </c>
      <c r="D1244" t="inlineStr">
        <is>
          <t>Ecological methods : with particular reference to the study of insect populations / T.R.E. Southwood.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Southwood, Richard, Sir.</t>
        </is>
      </c>
      <c r="L1244" t="inlineStr">
        <is>
          <t>London ; New York : Chapman and Hall, 1987, c1978.</t>
        </is>
      </c>
      <c r="M1244" t="inlineStr">
        <is>
          <t>1987</t>
        </is>
      </c>
      <c r="N1244" t="inlineStr">
        <is>
          <t>2nd. ed, rev.</t>
        </is>
      </c>
      <c r="O1244" t="inlineStr">
        <is>
          <t>eng</t>
        </is>
      </c>
      <c r="P1244" t="inlineStr">
        <is>
          <t>enk</t>
        </is>
      </c>
      <c r="R1244" t="inlineStr">
        <is>
          <t xml:space="preserve">QH </t>
        </is>
      </c>
      <c r="S1244" t="n">
        <v>3</v>
      </c>
      <c r="T1244" t="n">
        <v>3</v>
      </c>
      <c r="U1244" t="inlineStr">
        <is>
          <t>1998-01-23</t>
        </is>
      </c>
      <c r="V1244" t="inlineStr">
        <is>
          <t>1998-01-23</t>
        </is>
      </c>
      <c r="W1244" t="inlineStr">
        <is>
          <t>1993-04-30</t>
        </is>
      </c>
      <c r="X1244" t="inlineStr">
        <is>
          <t>1993-04-30</t>
        </is>
      </c>
      <c r="Y1244" t="n">
        <v>147</v>
      </c>
      <c r="Z1244" t="n">
        <v>99</v>
      </c>
      <c r="AA1244" t="n">
        <v>755</v>
      </c>
      <c r="AB1244" t="n">
        <v>1</v>
      </c>
      <c r="AC1244" t="n">
        <v>9</v>
      </c>
      <c r="AD1244" t="n">
        <v>0</v>
      </c>
      <c r="AE1244" t="n">
        <v>26</v>
      </c>
      <c r="AF1244" t="n">
        <v>0</v>
      </c>
      <c r="AG1244" t="n">
        <v>9</v>
      </c>
      <c r="AH1244" t="n">
        <v>0</v>
      </c>
      <c r="AI1244" t="n">
        <v>2</v>
      </c>
      <c r="AJ1244" t="n">
        <v>0</v>
      </c>
      <c r="AK1244" t="n">
        <v>11</v>
      </c>
      <c r="AL1244" t="n">
        <v>0</v>
      </c>
      <c r="AM1244" t="n">
        <v>8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HYPERLINK("https://creighton-primo.hosted.exlibrisgroup.com/primo-explore/search?tab=default_tab&amp;search_scope=EVERYTHING&amp;vid=01CRU&amp;lang=en_US&amp;offset=0&amp;query=any,contains,991001281329702656","Catalog Record")</f>
        <v/>
      </c>
      <c r="AT1244">
        <f>HYPERLINK("http://www.worldcat.org/oclc/17918207","WorldCat Record")</f>
        <v/>
      </c>
      <c r="AU1244" t="inlineStr">
        <is>
          <t>32607362:eng</t>
        </is>
      </c>
      <c r="AV1244" t="inlineStr">
        <is>
          <t>17918207</t>
        </is>
      </c>
      <c r="AW1244" t="inlineStr">
        <is>
          <t>991001281329702656</t>
        </is>
      </c>
      <c r="AX1244" t="inlineStr">
        <is>
          <t>991001281329702656</t>
        </is>
      </c>
      <c r="AY1244" t="inlineStr">
        <is>
          <t>2270599610002656</t>
        </is>
      </c>
      <c r="AZ1244" t="inlineStr">
        <is>
          <t>BOOK</t>
        </is>
      </c>
      <c r="BB1244" t="inlineStr">
        <is>
          <t>9780412307102</t>
        </is>
      </c>
      <c r="BC1244" t="inlineStr">
        <is>
          <t>32285001642486</t>
        </is>
      </c>
      <c r="BD1244" t="inlineStr">
        <is>
          <t>893426488</t>
        </is>
      </c>
    </row>
    <row r="1245">
      <c r="A1245" t="inlineStr">
        <is>
          <t>No</t>
        </is>
      </c>
      <c r="B1245" t="inlineStr">
        <is>
          <t>QH541.28 H46 2003</t>
        </is>
      </c>
      <c r="C1245" t="inlineStr">
        <is>
          <t>0                      QH 0541280H  46          2003</t>
        </is>
      </c>
      <c r="D1245" t="inlineStr">
        <is>
          <t>Practical methods in ecology / P.A. Henderson.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Henderson, P. A.</t>
        </is>
      </c>
      <c r="L1245" t="inlineStr">
        <is>
          <t>Malden, MA : Blackwell Pub., 2003.</t>
        </is>
      </c>
      <c r="M1245" t="inlineStr">
        <is>
          <t>2003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QH </t>
        </is>
      </c>
      <c r="S1245" t="n">
        <v>1</v>
      </c>
      <c r="T1245" t="n">
        <v>1</v>
      </c>
      <c r="U1245" t="inlineStr">
        <is>
          <t>2005-03-29</t>
        </is>
      </c>
      <c r="V1245" t="inlineStr">
        <is>
          <t>2005-03-29</t>
        </is>
      </c>
      <c r="W1245" t="inlineStr">
        <is>
          <t>2005-03-29</t>
        </is>
      </c>
      <c r="X1245" t="inlineStr">
        <is>
          <t>2005-03-29</t>
        </is>
      </c>
      <c r="Y1245" t="n">
        <v>516</v>
      </c>
      <c r="Z1245" t="n">
        <v>366</v>
      </c>
      <c r="AA1245" t="n">
        <v>396</v>
      </c>
      <c r="AB1245" t="n">
        <v>3</v>
      </c>
      <c r="AC1245" t="n">
        <v>3</v>
      </c>
      <c r="AD1245" t="n">
        <v>15</v>
      </c>
      <c r="AE1245" t="n">
        <v>15</v>
      </c>
      <c r="AF1245" t="n">
        <v>7</v>
      </c>
      <c r="AG1245" t="n">
        <v>7</v>
      </c>
      <c r="AH1245" t="n">
        <v>4</v>
      </c>
      <c r="AI1245" t="n">
        <v>4</v>
      </c>
      <c r="AJ1245" t="n">
        <v>6</v>
      </c>
      <c r="AK1245" t="n">
        <v>6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HYPERLINK("https://creighton-primo.hosted.exlibrisgroup.com/primo-explore/search?tab=default_tab&amp;search_scope=EVERYTHING&amp;vid=01CRU&amp;lang=en_US&amp;offset=0&amp;query=any,contains,991004488749702656","Catalog Record")</f>
        <v/>
      </c>
      <c r="AT1245">
        <f>HYPERLINK("http://www.worldcat.org/oclc/50091601","WorldCat Record")</f>
        <v/>
      </c>
      <c r="AU1245" t="inlineStr">
        <is>
          <t>6573874:eng</t>
        </is>
      </c>
      <c r="AV1245" t="inlineStr">
        <is>
          <t>50091601</t>
        </is>
      </c>
      <c r="AW1245" t="inlineStr">
        <is>
          <t>991004488749702656</t>
        </is>
      </c>
      <c r="AX1245" t="inlineStr">
        <is>
          <t>991004488749702656</t>
        </is>
      </c>
      <c r="AY1245" t="inlineStr">
        <is>
          <t>2263317570002656</t>
        </is>
      </c>
      <c r="AZ1245" t="inlineStr">
        <is>
          <t>BOOK</t>
        </is>
      </c>
      <c r="BB1245" t="inlineStr">
        <is>
          <t>9781405102445</t>
        </is>
      </c>
      <c r="BC1245" t="inlineStr">
        <is>
          <t>32285005044754</t>
        </is>
      </c>
      <c r="BD1245" t="inlineStr">
        <is>
          <t>893417680</t>
        </is>
      </c>
    </row>
    <row r="1246">
      <c r="A1246" t="inlineStr">
        <is>
          <t>No</t>
        </is>
      </c>
      <c r="B1246" t="inlineStr">
        <is>
          <t>QH541.3 .E44</t>
        </is>
      </c>
      <c r="C1246" t="inlineStr">
        <is>
          <t>0                      QH 0541300E  44</t>
        </is>
      </c>
      <c r="D1246" t="inlineStr">
        <is>
          <t>Integrated experimental ecology; methods and results of ecosystem research in the German Solling project. Edited by H. Ellenberg.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Ellenberg, Heinz, 1913-</t>
        </is>
      </c>
      <c r="L1246" t="inlineStr">
        <is>
          <t>Berlin, New York, Springer, 1971.</t>
        </is>
      </c>
      <c r="M1246" t="inlineStr">
        <is>
          <t>1971</t>
        </is>
      </c>
      <c r="O1246" t="inlineStr">
        <is>
          <t>eng</t>
        </is>
      </c>
      <c r="P1246" t="inlineStr">
        <is>
          <t xml:space="preserve">gw </t>
        </is>
      </c>
      <c r="Q1246" t="inlineStr">
        <is>
          <t>Ecological studies ; v. 2</t>
        </is>
      </c>
      <c r="R1246" t="inlineStr">
        <is>
          <t xml:space="preserve">QH </t>
        </is>
      </c>
      <c r="S1246" t="n">
        <v>1</v>
      </c>
      <c r="T1246" t="n">
        <v>1</v>
      </c>
      <c r="U1246" t="inlineStr">
        <is>
          <t>2001-09-30</t>
        </is>
      </c>
      <c r="V1246" t="inlineStr">
        <is>
          <t>2001-09-30</t>
        </is>
      </c>
      <c r="W1246" t="inlineStr">
        <is>
          <t>1997-07-03</t>
        </is>
      </c>
      <c r="X1246" t="inlineStr">
        <is>
          <t>1997-07-03</t>
        </is>
      </c>
      <c r="Y1246" t="n">
        <v>466</v>
      </c>
      <c r="Z1246" t="n">
        <v>333</v>
      </c>
      <c r="AA1246" t="n">
        <v>344</v>
      </c>
      <c r="AB1246" t="n">
        <v>3</v>
      </c>
      <c r="AC1246" t="n">
        <v>3</v>
      </c>
      <c r="AD1246" t="n">
        <v>14</v>
      </c>
      <c r="AE1246" t="n">
        <v>14</v>
      </c>
      <c r="AF1246" t="n">
        <v>4</v>
      </c>
      <c r="AG1246" t="n">
        <v>4</v>
      </c>
      <c r="AH1246" t="n">
        <v>3</v>
      </c>
      <c r="AI1246" t="n">
        <v>3</v>
      </c>
      <c r="AJ1246" t="n">
        <v>9</v>
      </c>
      <c r="AK1246" t="n">
        <v>9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HYPERLINK("http://catalog.hathitrust.org/Record/001492761","HathiTrust Record")</f>
        <v/>
      </c>
      <c r="AS1246">
        <f>HYPERLINK("https://creighton-primo.hosted.exlibrisgroup.com/primo-explore/search?tab=default_tab&amp;search_scope=EVERYTHING&amp;vid=01CRU&amp;lang=en_US&amp;offset=0&amp;query=any,contains,991000805399702656","Catalog Record")</f>
        <v/>
      </c>
      <c r="AT1246">
        <f>HYPERLINK("http://www.worldcat.org/oclc/140560","WorldCat Record")</f>
        <v/>
      </c>
      <c r="AU1246" t="inlineStr">
        <is>
          <t>807612158:eng</t>
        </is>
      </c>
      <c r="AV1246" t="inlineStr">
        <is>
          <t>140560</t>
        </is>
      </c>
      <c r="AW1246" t="inlineStr">
        <is>
          <t>991000805399702656</t>
        </is>
      </c>
      <c r="AX1246" t="inlineStr">
        <is>
          <t>991000805399702656</t>
        </is>
      </c>
      <c r="AY1246" t="inlineStr">
        <is>
          <t>2255776210002656</t>
        </is>
      </c>
      <c r="AZ1246" t="inlineStr">
        <is>
          <t>BOOK</t>
        </is>
      </c>
      <c r="BB1246" t="inlineStr">
        <is>
          <t>9780387050744</t>
        </is>
      </c>
      <c r="BC1246" t="inlineStr">
        <is>
          <t>32285002913456</t>
        </is>
      </c>
      <c r="BD1246" t="inlineStr">
        <is>
          <t>893225327</t>
        </is>
      </c>
    </row>
    <row r="1247">
      <c r="A1247" t="inlineStr">
        <is>
          <t>No</t>
        </is>
      </c>
      <c r="B1247" t="inlineStr">
        <is>
          <t>QH541.3 .L5</t>
        </is>
      </c>
      <c r="C1247" t="inlineStr">
        <is>
          <t>0                      QH 0541300L  5</t>
        </is>
      </c>
      <c r="D1247" t="inlineStr">
        <is>
          <t>Primary productivity of the biosphere / edited by Helmut Lieth and Robert H. Whittaker.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Lieth, Helmut.</t>
        </is>
      </c>
      <c r="L1247" t="inlineStr">
        <is>
          <t>New York : Springer-Verlag, 1975.</t>
        </is>
      </c>
      <c r="M1247" t="inlineStr">
        <is>
          <t>1975</t>
        </is>
      </c>
      <c r="O1247" t="inlineStr">
        <is>
          <t>eng</t>
        </is>
      </c>
      <c r="P1247" t="inlineStr">
        <is>
          <t>nyu</t>
        </is>
      </c>
      <c r="Q1247" t="inlineStr">
        <is>
          <t>Ecological studies ; v. 14</t>
        </is>
      </c>
      <c r="R1247" t="inlineStr">
        <is>
          <t xml:space="preserve">QH </t>
        </is>
      </c>
      <c r="S1247" t="n">
        <v>1</v>
      </c>
      <c r="T1247" t="n">
        <v>1</v>
      </c>
      <c r="U1247" t="inlineStr">
        <is>
          <t>2007-07-24</t>
        </is>
      </c>
      <c r="V1247" t="inlineStr">
        <is>
          <t>2007-07-24</t>
        </is>
      </c>
      <c r="W1247" t="inlineStr">
        <is>
          <t>1992-03-09</t>
        </is>
      </c>
      <c r="X1247" t="inlineStr">
        <is>
          <t>1992-03-09</t>
        </is>
      </c>
      <c r="Y1247" t="n">
        <v>532</v>
      </c>
      <c r="Z1247" t="n">
        <v>366</v>
      </c>
      <c r="AA1247" t="n">
        <v>374</v>
      </c>
      <c r="AB1247" t="n">
        <v>2</v>
      </c>
      <c r="AC1247" t="n">
        <v>2</v>
      </c>
      <c r="AD1247" t="n">
        <v>10</v>
      </c>
      <c r="AE1247" t="n">
        <v>10</v>
      </c>
      <c r="AF1247" t="n">
        <v>3</v>
      </c>
      <c r="AG1247" t="n">
        <v>3</v>
      </c>
      <c r="AH1247" t="n">
        <v>3</v>
      </c>
      <c r="AI1247" t="n">
        <v>3</v>
      </c>
      <c r="AJ1247" t="n">
        <v>5</v>
      </c>
      <c r="AK1247" t="n">
        <v>5</v>
      </c>
      <c r="AL1247" t="n">
        <v>1</v>
      </c>
      <c r="AM1247" t="n">
        <v>1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HYPERLINK("http://catalog.hathitrust.org/Record/000031284","HathiTrust Record")</f>
        <v/>
      </c>
      <c r="AS1247">
        <f>HYPERLINK("https://creighton-primo.hosted.exlibrisgroup.com/primo-explore/search?tab=default_tab&amp;search_scope=EVERYTHING&amp;vid=01CRU&amp;lang=en_US&amp;offset=0&amp;query=any,contains,991003532819702656","Catalog Record")</f>
        <v/>
      </c>
      <c r="AT1247">
        <f>HYPERLINK("http://www.worldcat.org/oclc/1095037","WorldCat Record")</f>
        <v/>
      </c>
      <c r="AU1247" t="inlineStr">
        <is>
          <t>347046024:eng</t>
        </is>
      </c>
      <c r="AV1247" t="inlineStr">
        <is>
          <t>1095037</t>
        </is>
      </c>
      <c r="AW1247" t="inlineStr">
        <is>
          <t>991003532819702656</t>
        </is>
      </c>
      <c r="AX1247" t="inlineStr">
        <is>
          <t>991003532819702656</t>
        </is>
      </c>
      <c r="AY1247" t="inlineStr">
        <is>
          <t>2268072560002656</t>
        </is>
      </c>
      <c r="AZ1247" t="inlineStr">
        <is>
          <t>BOOK</t>
        </is>
      </c>
      <c r="BB1247" t="inlineStr">
        <is>
          <t>9780387070834</t>
        </is>
      </c>
      <c r="BC1247" t="inlineStr">
        <is>
          <t>32285000993211</t>
        </is>
      </c>
      <c r="BD1247" t="inlineStr">
        <is>
          <t>893799843</t>
        </is>
      </c>
    </row>
    <row r="1248">
      <c r="A1248" t="inlineStr">
        <is>
          <t>No</t>
        </is>
      </c>
      <c r="B1248" t="inlineStr">
        <is>
          <t>QH541.3 .P37</t>
        </is>
      </c>
      <c r="C1248" t="inlineStr">
        <is>
          <t>0                      QH 0541300P  37</t>
        </is>
      </c>
      <c r="D1248" t="inlineStr">
        <is>
          <t>Patterns of primary production in the biosphere / edited by Helmut F. H. Lieth.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L1248" t="inlineStr">
        <is>
          <t>Stroudsburg, Pa. : Dowden, Hutchinson &amp; Ross ; New York : distributed by Academic Press, c1978.</t>
        </is>
      </c>
      <c r="M1248" t="inlineStr">
        <is>
          <t>1978</t>
        </is>
      </c>
      <c r="O1248" t="inlineStr">
        <is>
          <t>eng</t>
        </is>
      </c>
      <c r="P1248" t="inlineStr">
        <is>
          <t>pau</t>
        </is>
      </c>
      <c r="Q1248" t="inlineStr">
        <is>
          <t>Benchmark papers in ecology ; 8</t>
        </is>
      </c>
      <c r="R1248" t="inlineStr">
        <is>
          <t xml:space="preserve">QH </t>
        </is>
      </c>
      <c r="S1248" t="n">
        <v>5</v>
      </c>
      <c r="T1248" t="n">
        <v>5</v>
      </c>
      <c r="U1248" t="inlineStr">
        <is>
          <t>1995-11-26</t>
        </is>
      </c>
      <c r="V1248" t="inlineStr">
        <is>
          <t>1995-11-26</t>
        </is>
      </c>
      <c r="W1248" t="inlineStr">
        <is>
          <t>1993-04-30</t>
        </is>
      </c>
      <c r="X1248" t="inlineStr">
        <is>
          <t>1993-04-30</t>
        </is>
      </c>
      <c r="Y1248" t="n">
        <v>379</v>
      </c>
      <c r="Z1248" t="n">
        <v>283</v>
      </c>
      <c r="AA1248" t="n">
        <v>285</v>
      </c>
      <c r="AB1248" t="n">
        <v>3</v>
      </c>
      <c r="AC1248" t="n">
        <v>3</v>
      </c>
      <c r="AD1248" t="n">
        <v>5</v>
      </c>
      <c r="AE1248" t="n">
        <v>5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HYPERLINK("http://catalog.hathitrust.org/Record/000160613","HathiTrust Record")</f>
        <v/>
      </c>
      <c r="AS1248">
        <f>HYPERLINK("https://creighton-primo.hosted.exlibrisgroup.com/primo-explore/search?tab=default_tab&amp;search_scope=EVERYTHING&amp;vid=01CRU&amp;lang=en_US&amp;offset=0&amp;query=any,contains,991004550349702656","Catalog Record")</f>
        <v/>
      </c>
      <c r="AT1248">
        <f>HYPERLINK("http://www.worldcat.org/oclc/3933390","WorldCat Record")</f>
        <v/>
      </c>
      <c r="AU1248" t="inlineStr">
        <is>
          <t>13687990:eng</t>
        </is>
      </c>
      <c r="AV1248" t="inlineStr">
        <is>
          <t>3933390</t>
        </is>
      </c>
      <c r="AW1248" t="inlineStr">
        <is>
          <t>991004550349702656</t>
        </is>
      </c>
      <c r="AX1248" t="inlineStr">
        <is>
          <t>991004550349702656</t>
        </is>
      </c>
      <c r="AY1248" t="inlineStr">
        <is>
          <t>2266497600002656</t>
        </is>
      </c>
      <c r="AZ1248" t="inlineStr">
        <is>
          <t>BOOK</t>
        </is>
      </c>
      <c r="BB1248" t="inlineStr">
        <is>
          <t>9780879333270</t>
        </is>
      </c>
      <c r="BC1248" t="inlineStr">
        <is>
          <t>32285001642494</t>
        </is>
      </c>
      <c r="BD1248" t="inlineStr">
        <is>
          <t>893782369</t>
        </is>
      </c>
    </row>
    <row r="1249">
      <c r="A1249" t="inlineStr">
        <is>
          <t>No</t>
        </is>
      </c>
      <c r="B1249" t="inlineStr">
        <is>
          <t>QH541.5.C3 C84 1982</t>
        </is>
      </c>
      <c r="C1249" t="inlineStr">
        <is>
          <t>0                      QH 0541500C  3                  C  84          1982</t>
        </is>
      </c>
      <c r="D1249" t="inlineStr">
        <is>
          <t>Cave life : evolution and ecology / David C. Culver.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K1249" t="inlineStr">
        <is>
          <t>Culver, David C., 1944-</t>
        </is>
      </c>
      <c r="L1249" t="inlineStr">
        <is>
          <t>Cambridge, Mass. : Harvard University Press, 1982.</t>
        </is>
      </c>
      <c r="M1249" t="inlineStr">
        <is>
          <t>1982</t>
        </is>
      </c>
      <c r="O1249" t="inlineStr">
        <is>
          <t>eng</t>
        </is>
      </c>
      <c r="P1249" t="inlineStr">
        <is>
          <t>mau</t>
        </is>
      </c>
      <c r="R1249" t="inlineStr">
        <is>
          <t xml:space="preserve">QH </t>
        </is>
      </c>
      <c r="S1249" t="n">
        <v>7</v>
      </c>
      <c r="T1249" t="n">
        <v>7</v>
      </c>
      <c r="U1249" t="inlineStr">
        <is>
          <t>1995-02-04</t>
        </is>
      </c>
      <c r="V1249" t="inlineStr">
        <is>
          <t>1995-02-04</t>
        </is>
      </c>
      <c r="W1249" t="inlineStr">
        <is>
          <t>1993-04-30</t>
        </is>
      </c>
      <c r="X1249" t="inlineStr">
        <is>
          <t>1993-04-30</t>
        </is>
      </c>
      <c r="Y1249" t="n">
        <v>424</v>
      </c>
      <c r="Z1249" t="n">
        <v>339</v>
      </c>
      <c r="AA1249" t="n">
        <v>348</v>
      </c>
      <c r="AB1249" t="n">
        <v>3</v>
      </c>
      <c r="AC1249" t="n">
        <v>3</v>
      </c>
      <c r="AD1249" t="n">
        <v>9</v>
      </c>
      <c r="AE1249" t="n">
        <v>9</v>
      </c>
      <c r="AF1249" t="n">
        <v>2</v>
      </c>
      <c r="AG1249" t="n">
        <v>2</v>
      </c>
      <c r="AH1249" t="n">
        <v>3</v>
      </c>
      <c r="AI1249" t="n">
        <v>3</v>
      </c>
      <c r="AJ1249" t="n">
        <v>4</v>
      </c>
      <c r="AK1249" t="n">
        <v>4</v>
      </c>
      <c r="AL1249" t="n">
        <v>2</v>
      </c>
      <c r="AM1249" t="n">
        <v>2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Yes</t>
        </is>
      </c>
      <c r="AR1249">
        <f>HYPERLINK("http://catalog.hathitrust.org/Record/000322021","HathiTrust Record")</f>
        <v/>
      </c>
      <c r="AS1249">
        <f>HYPERLINK("https://creighton-primo.hosted.exlibrisgroup.com/primo-explore/search?tab=default_tab&amp;search_scope=EVERYTHING&amp;vid=01CRU&amp;lang=en_US&amp;offset=0&amp;query=any,contains,991005212169702656","Catalog Record")</f>
        <v/>
      </c>
      <c r="AT1249">
        <f>HYPERLINK("http://www.worldcat.org/oclc/8170121","WorldCat Record")</f>
        <v/>
      </c>
      <c r="AU1249" t="inlineStr">
        <is>
          <t>889835328:eng</t>
        </is>
      </c>
      <c r="AV1249" t="inlineStr">
        <is>
          <t>8170121</t>
        </is>
      </c>
      <c r="AW1249" t="inlineStr">
        <is>
          <t>991005212169702656</t>
        </is>
      </c>
      <c r="AX1249" t="inlineStr">
        <is>
          <t>991005212169702656</t>
        </is>
      </c>
      <c r="AY1249" t="inlineStr">
        <is>
          <t>2256638890002656</t>
        </is>
      </c>
      <c r="AZ1249" t="inlineStr">
        <is>
          <t>BOOK</t>
        </is>
      </c>
      <c r="BB1249" t="inlineStr">
        <is>
          <t>9780674104358</t>
        </is>
      </c>
      <c r="BC1249" t="inlineStr">
        <is>
          <t>32285001642502</t>
        </is>
      </c>
      <c r="BD1249" t="inlineStr">
        <is>
          <t>893350919</t>
        </is>
      </c>
    </row>
    <row r="1250">
      <c r="A1250" t="inlineStr">
        <is>
          <t>No</t>
        </is>
      </c>
      <c r="B1250" t="inlineStr">
        <is>
          <t>QH541.5.C6 W56 2008</t>
        </is>
      </c>
      <c r="C1250" t="inlineStr">
        <is>
          <t>0                      QH 0541500C  6                  W  56          2008</t>
        </is>
      </c>
      <c r="D1250" t="inlineStr">
        <is>
          <t>Central Park in the dark : more mysteries of urban wildlife / Marie Winn.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Winn, Marie.</t>
        </is>
      </c>
      <c r="L1250" t="inlineStr">
        <is>
          <t>New York : Farrar, Straus and Giroux, 2008.</t>
        </is>
      </c>
      <c r="M1250" t="inlineStr">
        <is>
          <t>2008</t>
        </is>
      </c>
      <c r="N1250" t="inlineStr">
        <is>
          <t>1st ed.</t>
        </is>
      </c>
      <c r="O1250" t="inlineStr">
        <is>
          <t>eng</t>
        </is>
      </c>
      <c r="P1250" t="inlineStr">
        <is>
          <t>nyu</t>
        </is>
      </c>
      <c r="R1250" t="inlineStr">
        <is>
          <t xml:space="preserve">QH </t>
        </is>
      </c>
      <c r="S1250" t="n">
        <v>1</v>
      </c>
      <c r="T1250" t="n">
        <v>1</v>
      </c>
      <c r="U1250" t="inlineStr">
        <is>
          <t>2008-09-29</t>
        </is>
      </c>
      <c r="V1250" t="inlineStr">
        <is>
          <t>2008-09-29</t>
        </is>
      </c>
      <c r="W1250" t="inlineStr">
        <is>
          <t>2008-09-29</t>
        </is>
      </c>
      <c r="X1250" t="inlineStr">
        <is>
          <t>2008-09-29</t>
        </is>
      </c>
      <c r="Y1250" t="n">
        <v>470</v>
      </c>
      <c r="Z1250" t="n">
        <v>450</v>
      </c>
      <c r="AA1250" t="n">
        <v>478</v>
      </c>
      <c r="AB1250" t="n">
        <v>5</v>
      </c>
      <c r="AC1250" t="n">
        <v>5</v>
      </c>
      <c r="AD1250" t="n">
        <v>8</v>
      </c>
      <c r="AE1250" t="n">
        <v>9</v>
      </c>
      <c r="AF1250" t="n">
        <v>2</v>
      </c>
      <c r="AG1250" t="n">
        <v>2</v>
      </c>
      <c r="AH1250" t="n">
        <v>1</v>
      </c>
      <c r="AI1250" t="n">
        <v>2</v>
      </c>
      <c r="AJ1250" t="n">
        <v>4</v>
      </c>
      <c r="AK1250" t="n">
        <v>5</v>
      </c>
      <c r="AL1250" t="n">
        <v>2</v>
      </c>
      <c r="AM1250" t="n">
        <v>2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HYPERLINK("https://creighton-primo.hosted.exlibrisgroup.com/primo-explore/search?tab=default_tab&amp;search_scope=EVERYTHING&amp;vid=01CRU&amp;lang=en_US&amp;offset=0&amp;query=any,contains,991005266969702656","Catalog Record")</f>
        <v/>
      </c>
      <c r="AT1250">
        <f>HYPERLINK("http://www.worldcat.org/oclc/180752033","WorldCat Record")</f>
        <v/>
      </c>
      <c r="AU1250" t="inlineStr">
        <is>
          <t>116293820:eng</t>
        </is>
      </c>
      <c r="AV1250" t="inlineStr">
        <is>
          <t>180752033</t>
        </is>
      </c>
      <c r="AW1250" t="inlineStr">
        <is>
          <t>991005266969702656</t>
        </is>
      </c>
      <c r="AX1250" t="inlineStr">
        <is>
          <t>991005266969702656</t>
        </is>
      </c>
      <c r="AY1250" t="inlineStr">
        <is>
          <t>2264753530002656</t>
        </is>
      </c>
      <c r="AZ1250" t="inlineStr">
        <is>
          <t>BOOK</t>
        </is>
      </c>
      <c r="BB1250" t="inlineStr">
        <is>
          <t>9780374120115</t>
        </is>
      </c>
      <c r="BC1250" t="inlineStr">
        <is>
          <t>32285005460794</t>
        </is>
      </c>
      <c r="BD1250" t="inlineStr">
        <is>
          <t>893437432</t>
        </is>
      </c>
    </row>
    <row r="1251">
      <c r="A1251" t="inlineStr">
        <is>
          <t>No</t>
        </is>
      </c>
      <c r="B1251" t="inlineStr">
        <is>
          <t>QH541.5.C65 A58 1998</t>
        </is>
      </c>
      <c r="C1251" t="inlineStr">
        <is>
          <t>0                      QH 0541500C  65                 A  58          1998</t>
        </is>
      </c>
      <c r="D1251" t="inlineStr">
        <is>
          <t>Coastal ecosystem processes / Daniel M. Alongi.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Alongi, D. M. (Daniel M.)</t>
        </is>
      </c>
      <c r="L1251" t="inlineStr">
        <is>
          <t>Boca Raton : CRC Press, c1998.</t>
        </is>
      </c>
      <c r="M1251" t="inlineStr">
        <is>
          <t>1998</t>
        </is>
      </c>
      <c r="O1251" t="inlineStr">
        <is>
          <t>eng</t>
        </is>
      </c>
      <c r="P1251" t="inlineStr">
        <is>
          <t>flu</t>
        </is>
      </c>
      <c r="Q1251" t="inlineStr">
        <is>
          <t>Marine science series</t>
        </is>
      </c>
      <c r="R1251" t="inlineStr">
        <is>
          <t xml:space="preserve">QH </t>
        </is>
      </c>
      <c r="S1251" t="n">
        <v>6</v>
      </c>
      <c r="T1251" t="n">
        <v>6</v>
      </c>
      <c r="U1251" t="inlineStr">
        <is>
          <t>2010-03-01</t>
        </is>
      </c>
      <c r="V1251" t="inlineStr">
        <is>
          <t>2010-03-01</t>
        </is>
      </c>
      <c r="W1251" t="inlineStr">
        <is>
          <t>1999-03-25</t>
        </is>
      </c>
      <c r="X1251" t="inlineStr">
        <is>
          <t>1999-03-25</t>
        </is>
      </c>
      <c r="Y1251" t="n">
        <v>506</v>
      </c>
      <c r="Z1251" t="n">
        <v>376</v>
      </c>
      <c r="AA1251" t="n">
        <v>390</v>
      </c>
      <c r="AB1251" t="n">
        <v>1</v>
      </c>
      <c r="AC1251" t="n">
        <v>1</v>
      </c>
      <c r="AD1251" t="n">
        <v>11</v>
      </c>
      <c r="AE1251" t="n">
        <v>11</v>
      </c>
      <c r="AF1251" t="n">
        <v>5</v>
      </c>
      <c r="AG1251" t="n">
        <v>5</v>
      </c>
      <c r="AH1251" t="n">
        <v>1</v>
      </c>
      <c r="AI1251" t="n">
        <v>1</v>
      </c>
      <c r="AJ1251" t="n">
        <v>7</v>
      </c>
      <c r="AK1251" t="n">
        <v>7</v>
      </c>
      <c r="AL1251" t="n">
        <v>0</v>
      </c>
      <c r="AM1251" t="n">
        <v>0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HYPERLINK("https://creighton-primo.hosted.exlibrisgroup.com/primo-explore/search?tab=default_tab&amp;search_scope=EVERYTHING&amp;vid=01CRU&amp;lang=en_US&amp;offset=0&amp;query=any,contains,991002844569702656","Catalog Record")</f>
        <v/>
      </c>
      <c r="AT1251">
        <f>HYPERLINK("http://www.worldcat.org/oclc/37475161","WorldCat Record")</f>
        <v/>
      </c>
      <c r="AU1251" t="inlineStr">
        <is>
          <t>635359:eng</t>
        </is>
      </c>
      <c r="AV1251" t="inlineStr">
        <is>
          <t>37475161</t>
        </is>
      </c>
      <c r="AW1251" t="inlineStr">
        <is>
          <t>991002844569702656</t>
        </is>
      </c>
      <c r="AX1251" t="inlineStr">
        <is>
          <t>991002844569702656</t>
        </is>
      </c>
      <c r="AY1251" t="inlineStr">
        <is>
          <t>2259962250002656</t>
        </is>
      </c>
      <c r="AZ1251" t="inlineStr">
        <is>
          <t>BOOK</t>
        </is>
      </c>
      <c r="BB1251" t="inlineStr">
        <is>
          <t>9780849384264</t>
        </is>
      </c>
      <c r="BC1251" t="inlineStr">
        <is>
          <t>32285003546198</t>
        </is>
      </c>
      <c r="BD1251" t="inlineStr">
        <is>
          <t>893627330</t>
        </is>
      </c>
    </row>
    <row r="1252">
      <c r="A1252" t="inlineStr">
        <is>
          <t>No</t>
        </is>
      </c>
      <c r="B1252" t="inlineStr">
        <is>
          <t>QH541.5.C65 W38 2009</t>
        </is>
      </c>
      <c r="C1252" t="inlineStr">
        <is>
          <t>0                      QH 0541500C  65                 W  38          2009</t>
        </is>
      </c>
      <c r="D1252" t="inlineStr">
        <is>
          <t>Watersheds, bays, and bounded seas : the science and management of semi-enclosed marine systems / edited by Edward R. Urban, Jr. ... [et al.].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L1252" t="inlineStr">
        <is>
          <t>Washington : Island Press, c2009.</t>
        </is>
      </c>
      <c r="M1252" t="inlineStr">
        <is>
          <t>2009</t>
        </is>
      </c>
      <c r="O1252" t="inlineStr">
        <is>
          <t>eng</t>
        </is>
      </c>
      <c r="P1252" t="inlineStr">
        <is>
          <t>dcu</t>
        </is>
      </c>
      <c r="Q1252" t="inlineStr">
        <is>
          <t>SCOPE series ; 70</t>
        </is>
      </c>
      <c r="R1252" t="inlineStr">
        <is>
          <t xml:space="preserve">QH </t>
        </is>
      </c>
      <c r="S1252" t="n">
        <v>1</v>
      </c>
      <c r="T1252" t="n">
        <v>1</v>
      </c>
      <c r="U1252" t="inlineStr">
        <is>
          <t>2009-03-24</t>
        </is>
      </c>
      <c r="V1252" t="inlineStr">
        <is>
          <t>2009-03-24</t>
        </is>
      </c>
      <c r="W1252" t="inlineStr">
        <is>
          <t>2009-03-24</t>
        </is>
      </c>
      <c r="X1252" t="inlineStr">
        <is>
          <t>2009-03-24</t>
        </is>
      </c>
      <c r="Y1252" t="n">
        <v>282</v>
      </c>
      <c r="Z1252" t="n">
        <v>210</v>
      </c>
      <c r="AA1252" t="n">
        <v>212</v>
      </c>
      <c r="AB1252" t="n">
        <v>1</v>
      </c>
      <c r="AC1252" t="n">
        <v>1</v>
      </c>
      <c r="AD1252" t="n">
        <v>11</v>
      </c>
      <c r="AE1252" t="n">
        <v>11</v>
      </c>
      <c r="AF1252" t="n">
        <v>4</v>
      </c>
      <c r="AG1252" t="n">
        <v>4</v>
      </c>
      <c r="AH1252" t="n">
        <v>4</v>
      </c>
      <c r="AI1252" t="n">
        <v>4</v>
      </c>
      <c r="AJ1252" t="n">
        <v>6</v>
      </c>
      <c r="AK1252" t="n">
        <v>6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HYPERLINK("http://catalog.hathitrust.org/Record/005927327","HathiTrust Record")</f>
        <v/>
      </c>
      <c r="AS1252">
        <f>HYPERLINK("https://creighton-primo.hosted.exlibrisgroup.com/primo-explore/search?tab=default_tab&amp;search_scope=EVERYTHING&amp;vid=01CRU&amp;lang=en_US&amp;offset=0&amp;query=any,contains,991005301609702656","Catalog Record")</f>
        <v/>
      </c>
      <c r="AT1252">
        <f>HYPERLINK("http://www.worldcat.org/oclc/232786288","WorldCat Record")</f>
        <v/>
      </c>
      <c r="AU1252" t="inlineStr">
        <is>
          <t>375433605:eng</t>
        </is>
      </c>
      <c r="AV1252" t="inlineStr">
        <is>
          <t>232786288</t>
        </is>
      </c>
      <c r="AW1252" t="inlineStr">
        <is>
          <t>991005301609702656</t>
        </is>
      </c>
      <c r="AX1252" t="inlineStr">
        <is>
          <t>991005301609702656</t>
        </is>
      </c>
      <c r="AY1252" t="inlineStr">
        <is>
          <t>2260692920002656</t>
        </is>
      </c>
      <c r="AZ1252" t="inlineStr">
        <is>
          <t>BOOK</t>
        </is>
      </c>
      <c r="BB1252" t="inlineStr">
        <is>
          <t>9781597265027</t>
        </is>
      </c>
      <c r="BC1252" t="inlineStr">
        <is>
          <t>32285005509921</t>
        </is>
      </c>
      <c r="BD1252" t="inlineStr">
        <is>
          <t>893613479</t>
        </is>
      </c>
    </row>
    <row r="1253">
      <c r="A1253" t="inlineStr">
        <is>
          <t>No</t>
        </is>
      </c>
      <c r="B1253" t="inlineStr">
        <is>
          <t>QH541.5.C7 C613</t>
        </is>
      </c>
      <c r="C1253" t="inlineStr">
        <is>
          <t>0                      QH 0541500C  7                  C  613</t>
        </is>
      </c>
      <c r="D1253" t="inlineStr">
        <is>
          <t>Life and death in a coral sea / [by] Jacques-Yves Cousteau with Philippe Diolé. Translated from the French by J. F. Bernard.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Cousteau, Jacques, 1910-1997.</t>
        </is>
      </c>
      <c r="L1253" t="inlineStr">
        <is>
          <t>Garden City, N.Y. : Doubleday, 1971.</t>
        </is>
      </c>
      <c r="M1253" t="inlineStr">
        <is>
          <t>1971</t>
        </is>
      </c>
      <c r="O1253" t="inlineStr">
        <is>
          <t>eng</t>
        </is>
      </c>
      <c r="P1253" t="inlineStr">
        <is>
          <t>nyu</t>
        </is>
      </c>
      <c r="Q1253" t="inlineStr">
        <is>
          <t>The Undersea discoveries of Jacques-Yves Cousteau</t>
        </is>
      </c>
      <c r="R1253" t="inlineStr">
        <is>
          <t xml:space="preserve">QH </t>
        </is>
      </c>
      <c r="S1253" t="n">
        <v>28</v>
      </c>
      <c r="T1253" t="n">
        <v>28</v>
      </c>
      <c r="U1253" t="inlineStr">
        <is>
          <t>2002-10-01</t>
        </is>
      </c>
      <c r="V1253" t="inlineStr">
        <is>
          <t>2002-10-01</t>
        </is>
      </c>
      <c r="W1253" t="inlineStr">
        <is>
          <t>1993-12-28</t>
        </is>
      </c>
      <c r="X1253" t="inlineStr">
        <is>
          <t>1993-12-28</t>
        </is>
      </c>
      <c r="Y1253" t="n">
        <v>1746</v>
      </c>
      <c r="Z1253" t="n">
        <v>1685</v>
      </c>
      <c r="AA1253" t="n">
        <v>1756</v>
      </c>
      <c r="AB1253" t="n">
        <v>18</v>
      </c>
      <c r="AC1253" t="n">
        <v>19</v>
      </c>
      <c r="AD1253" t="n">
        <v>26</v>
      </c>
      <c r="AE1253" t="n">
        <v>28</v>
      </c>
      <c r="AF1253" t="n">
        <v>14</v>
      </c>
      <c r="AG1253" t="n">
        <v>14</v>
      </c>
      <c r="AH1253" t="n">
        <v>3</v>
      </c>
      <c r="AI1253" t="n">
        <v>3</v>
      </c>
      <c r="AJ1253" t="n">
        <v>7</v>
      </c>
      <c r="AK1253" t="n">
        <v>8</v>
      </c>
      <c r="AL1253" t="n">
        <v>8</v>
      </c>
      <c r="AM1253" t="n">
        <v>9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HYPERLINK("http://catalog.hathitrust.org/Record/001492767","HathiTrust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HYPERLINK("https://creighton-primo.hosted.exlibrisgroup.com/primo-explore/search?tab=default_tab&amp;search_scope=EVERYTHING&amp;vid=01CRU&amp;lang=en_US&amp;offset=0&amp;query=any,contains,991000822409702656","Catalog Record")</f>
        <v/>
      </c>
      <c r="AT1253">
        <f>HYPERLINK("http://www.worldcat.org/oclc/145498","WorldCat Record")</f>
        <v/>
      </c>
      <c r="AU1253" t="inlineStr">
        <is>
          <t>3902737596:eng</t>
        </is>
      </c>
      <c r="AV1253" t="inlineStr">
        <is>
          <t>145498</t>
        </is>
      </c>
      <c r="AW1253" t="inlineStr">
        <is>
          <t>991000822409702656</t>
        </is>
      </c>
      <c r="AX1253" t="inlineStr">
        <is>
          <t>991000822409702656</t>
        </is>
      </c>
      <c r="AY1253" t="inlineStr">
        <is>
          <t>2258145310002656</t>
        </is>
      </c>
      <c r="AZ1253" t="inlineStr">
        <is>
          <t>BOOK</t>
        </is>
      </c>
      <c r="BC1253" t="inlineStr">
        <is>
          <t>32285001827350</t>
        </is>
      </c>
      <c r="BD1253" t="inlineStr">
        <is>
          <t>893690070</t>
        </is>
      </c>
    </row>
    <row r="1254">
      <c r="A1254" t="inlineStr">
        <is>
          <t>No</t>
        </is>
      </c>
      <c r="B1254" t="inlineStr">
        <is>
          <t>QH541.5.D35 V34 2000</t>
        </is>
      </c>
      <c r="C1254" t="inlineStr">
        <is>
          <t>0                      QH 0541500D  35                 V  34          2000</t>
        </is>
      </c>
      <c r="D1254" t="inlineStr">
        <is>
          <t>The ecology of deep-sea hydrothermal vents / Cindy Lee Van Dover.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Van Dover, Cindy.</t>
        </is>
      </c>
      <c r="L1254" t="inlineStr">
        <is>
          <t>Princeton, N.J. : Princeton University Press, c2000.</t>
        </is>
      </c>
      <c r="M1254" t="inlineStr">
        <is>
          <t>2000</t>
        </is>
      </c>
      <c r="O1254" t="inlineStr">
        <is>
          <t>eng</t>
        </is>
      </c>
      <c r="P1254" t="inlineStr">
        <is>
          <t>nju</t>
        </is>
      </c>
      <c r="R1254" t="inlineStr">
        <is>
          <t xml:space="preserve">QH </t>
        </is>
      </c>
      <c r="S1254" t="n">
        <v>8</v>
      </c>
      <c r="T1254" t="n">
        <v>8</v>
      </c>
      <c r="U1254" t="inlineStr">
        <is>
          <t>2008-01-30</t>
        </is>
      </c>
      <c r="V1254" t="inlineStr">
        <is>
          <t>2008-01-30</t>
        </is>
      </c>
      <c r="W1254" t="inlineStr">
        <is>
          <t>2001-11-20</t>
        </is>
      </c>
      <c r="X1254" t="inlineStr">
        <is>
          <t>2001-11-20</t>
        </is>
      </c>
      <c r="Y1254" t="n">
        <v>718</v>
      </c>
      <c r="Z1254" t="n">
        <v>588</v>
      </c>
      <c r="AA1254" t="n">
        <v>592</v>
      </c>
      <c r="AB1254" t="n">
        <v>5</v>
      </c>
      <c r="AC1254" t="n">
        <v>5</v>
      </c>
      <c r="AD1254" t="n">
        <v>30</v>
      </c>
      <c r="AE1254" t="n">
        <v>30</v>
      </c>
      <c r="AF1254" t="n">
        <v>13</v>
      </c>
      <c r="AG1254" t="n">
        <v>13</v>
      </c>
      <c r="AH1254" t="n">
        <v>5</v>
      </c>
      <c r="AI1254" t="n">
        <v>5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HYPERLINK("https://creighton-primo.hosted.exlibrisgroup.com/primo-explore/search?tab=default_tab&amp;search_scope=EVERYTHING&amp;vid=01CRU&amp;lang=en_US&amp;offset=0&amp;query=any,contains,991003656579702656","Catalog Record")</f>
        <v/>
      </c>
      <c r="AT1254">
        <f>HYPERLINK("http://www.worldcat.org/oclc/41548235","WorldCat Record")</f>
        <v/>
      </c>
      <c r="AU1254" t="inlineStr">
        <is>
          <t>892198:eng</t>
        </is>
      </c>
      <c r="AV1254" t="inlineStr">
        <is>
          <t>41548235</t>
        </is>
      </c>
      <c r="AW1254" t="inlineStr">
        <is>
          <t>991003656579702656</t>
        </is>
      </c>
      <c r="AX1254" t="inlineStr">
        <is>
          <t>991003656579702656</t>
        </is>
      </c>
      <c r="AY1254" t="inlineStr">
        <is>
          <t>2257508140002656</t>
        </is>
      </c>
      <c r="AZ1254" t="inlineStr">
        <is>
          <t>BOOK</t>
        </is>
      </c>
      <c r="BB1254" t="inlineStr">
        <is>
          <t>9780691049298</t>
        </is>
      </c>
      <c r="BC1254" t="inlineStr">
        <is>
          <t>32285004413125</t>
        </is>
      </c>
      <c r="BD1254" t="inlineStr">
        <is>
          <t>893228282</t>
        </is>
      </c>
    </row>
    <row r="1255">
      <c r="A1255" t="inlineStr">
        <is>
          <t>No</t>
        </is>
      </c>
      <c r="B1255" t="inlineStr">
        <is>
          <t>QH541.5.D4 W37</t>
        </is>
      </c>
      <c r="C1255" t="inlineStr">
        <is>
          <t>0                      QH 0541500D  4                  W  37</t>
        </is>
      </c>
      <c r="D1255" t="inlineStr">
        <is>
          <t>Water in desert ecosystems / edited by Daniel D. Evans, John L. Thames.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L1255" t="inlineStr">
        <is>
          <t>Stroudsburg, Pa. : Dowden, Hutchinson &amp; Ross ; [New York] : distributed world wide by Academic Press, c1981.</t>
        </is>
      </c>
      <c r="M1255" t="inlineStr">
        <is>
          <t>1981</t>
        </is>
      </c>
      <c r="O1255" t="inlineStr">
        <is>
          <t>eng</t>
        </is>
      </c>
      <c r="P1255" t="inlineStr">
        <is>
          <t>pau</t>
        </is>
      </c>
      <c r="Q1255" t="inlineStr">
        <is>
          <t>US/IBP synthesis series ; 11</t>
        </is>
      </c>
      <c r="R1255" t="inlineStr">
        <is>
          <t xml:space="preserve">QH </t>
        </is>
      </c>
      <c r="S1255" t="n">
        <v>5</v>
      </c>
      <c r="T1255" t="n">
        <v>5</v>
      </c>
      <c r="U1255" t="inlineStr">
        <is>
          <t>2002-10-28</t>
        </is>
      </c>
      <c r="V1255" t="inlineStr">
        <is>
          <t>2002-10-28</t>
        </is>
      </c>
      <c r="W1255" t="inlineStr">
        <is>
          <t>1993-04-30</t>
        </is>
      </c>
      <c r="X1255" t="inlineStr">
        <is>
          <t>1993-04-30</t>
        </is>
      </c>
      <c r="Y1255" t="n">
        <v>371</v>
      </c>
      <c r="Z1255" t="n">
        <v>276</v>
      </c>
      <c r="AA1255" t="n">
        <v>284</v>
      </c>
      <c r="AB1255" t="n">
        <v>4</v>
      </c>
      <c r="AC1255" t="n">
        <v>4</v>
      </c>
      <c r="AD1255" t="n">
        <v>9</v>
      </c>
      <c r="AE1255" t="n">
        <v>9</v>
      </c>
      <c r="AF1255" t="n">
        <v>2</v>
      </c>
      <c r="AG1255" t="n">
        <v>2</v>
      </c>
      <c r="AH1255" t="n">
        <v>3</v>
      </c>
      <c r="AI1255" t="n">
        <v>3</v>
      </c>
      <c r="AJ1255" t="n">
        <v>3</v>
      </c>
      <c r="AK1255" t="n">
        <v>3</v>
      </c>
      <c r="AL1255" t="n">
        <v>3</v>
      </c>
      <c r="AM1255" t="n">
        <v>3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HYPERLINK("http://catalog.hathitrust.org/Record/000204189","HathiTrust Record")</f>
        <v/>
      </c>
      <c r="AS1255">
        <f>HYPERLINK("https://creighton-primo.hosted.exlibrisgroup.com/primo-explore/search?tab=default_tab&amp;search_scope=EVERYTHING&amp;vid=01CRU&amp;lang=en_US&amp;offset=0&amp;query=any,contains,991004845369702656","Catalog Record")</f>
        <v/>
      </c>
      <c r="AT1255">
        <f>HYPERLINK("http://www.worldcat.org/oclc/5564012","WorldCat Record")</f>
        <v/>
      </c>
      <c r="AU1255" t="inlineStr">
        <is>
          <t>355995758:eng</t>
        </is>
      </c>
      <c r="AV1255" t="inlineStr">
        <is>
          <t>5564012</t>
        </is>
      </c>
      <c r="AW1255" t="inlineStr">
        <is>
          <t>991004845369702656</t>
        </is>
      </c>
      <c r="AX1255" t="inlineStr">
        <is>
          <t>991004845369702656</t>
        </is>
      </c>
      <c r="AY1255" t="inlineStr">
        <is>
          <t>2267864280002656</t>
        </is>
      </c>
      <c r="AZ1255" t="inlineStr">
        <is>
          <t>BOOK</t>
        </is>
      </c>
      <c r="BB1255" t="inlineStr">
        <is>
          <t>9780879333652</t>
        </is>
      </c>
      <c r="BC1255" t="inlineStr">
        <is>
          <t>32285001642528</t>
        </is>
      </c>
      <c r="BD1255" t="inlineStr">
        <is>
          <t>893612841</t>
        </is>
      </c>
    </row>
    <row r="1256">
      <c r="A1256" t="inlineStr">
        <is>
          <t>No</t>
        </is>
      </c>
      <c r="B1256" t="inlineStr">
        <is>
          <t>QH541.5.E8 E86 2005</t>
        </is>
      </c>
      <c r="C1256" t="inlineStr">
        <is>
          <t>0                      QH 0541500E  8                  E  86          2005</t>
        </is>
      </c>
      <c r="D1256" t="inlineStr">
        <is>
          <t>Estuarine indicators / edited by Stephen A. Bortone.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L1256" t="inlineStr">
        <is>
          <t>Boca Raton : CRC Press, c2005.</t>
        </is>
      </c>
      <c r="M1256" t="inlineStr">
        <is>
          <t>2005</t>
        </is>
      </c>
      <c r="O1256" t="inlineStr">
        <is>
          <t>eng</t>
        </is>
      </c>
      <c r="P1256" t="inlineStr">
        <is>
          <t>flu</t>
        </is>
      </c>
      <c r="Q1256" t="inlineStr">
        <is>
          <t>Marine science series</t>
        </is>
      </c>
      <c r="R1256" t="inlineStr">
        <is>
          <t xml:space="preserve">QH </t>
        </is>
      </c>
      <c r="S1256" t="n">
        <v>1</v>
      </c>
      <c r="T1256" t="n">
        <v>1</v>
      </c>
      <c r="U1256" t="inlineStr">
        <is>
          <t>2005-04-11</t>
        </is>
      </c>
      <c r="V1256" t="inlineStr">
        <is>
          <t>2005-04-11</t>
        </is>
      </c>
      <c r="W1256" t="inlineStr">
        <is>
          <t>2005-04-11</t>
        </is>
      </c>
      <c r="X1256" t="inlineStr">
        <is>
          <t>2005-04-11</t>
        </is>
      </c>
      <c r="Y1256" t="n">
        <v>255</v>
      </c>
      <c r="Z1256" t="n">
        <v>158</v>
      </c>
      <c r="AA1256" t="n">
        <v>211</v>
      </c>
      <c r="AB1256" t="n">
        <v>2</v>
      </c>
      <c r="AC1256" t="n">
        <v>2</v>
      </c>
      <c r="AD1256" t="n">
        <v>4</v>
      </c>
      <c r="AE1256" t="n">
        <v>4</v>
      </c>
      <c r="AF1256" t="n">
        <v>0</v>
      </c>
      <c r="AG1256" t="n">
        <v>0</v>
      </c>
      <c r="AH1256" t="n">
        <v>3</v>
      </c>
      <c r="AI1256" t="n">
        <v>3</v>
      </c>
      <c r="AJ1256" t="n">
        <v>0</v>
      </c>
      <c r="AK1256" t="n">
        <v>0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HYPERLINK("https://creighton-primo.hosted.exlibrisgroup.com/primo-explore/search?tab=default_tab&amp;search_scope=EVERYTHING&amp;vid=01CRU&amp;lang=en_US&amp;offset=0&amp;query=any,contains,991004495119702656","Catalog Record")</f>
        <v/>
      </c>
      <c r="AT1256">
        <f>HYPERLINK("http://www.worldcat.org/oclc/55887352","WorldCat Record")</f>
        <v/>
      </c>
      <c r="AU1256" t="inlineStr">
        <is>
          <t>766868987:eng</t>
        </is>
      </c>
      <c r="AV1256" t="inlineStr">
        <is>
          <t>55887352</t>
        </is>
      </c>
      <c r="AW1256" t="inlineStr">
        <is>
          <t>991004495119702656</t>
        </is>
      </c>
      <c r="AX1256" t="inlineStr">
        <is>
          <t>991004495119702656</t>
        </is>
      </c>
      <c r="AY1256" t="inlineStr">
        <is>
          <t>2265666090002656</t>
        </is>
      </c>
      <c r="AZ1256" t="inlineStr">
        <is>
          <t>BOOK</t>
        </is>
      </c>
      <c r="BB1256" t="inlineStr">
        <is>
          <t>9780849328220</t>
        </is>
      </c>
      <c r="BC1256" t="inlineStr">
        <is>
          <t>32285005049480</t>
        </is>
      </c>
      <c r="BD1256" t="inlineStr">
        <is>
          <t>893417690</t>
        </is>
      </c>
    </row>
    <row r="1257">
      <c r="A1257" t="inlineStr">
        <is>
          <t>No</t>
        </is>
      </c>
      <c r="B1257" t="inlineStr">
        <is>
          <t>QH541.5.E8 I56 1983</t>
        </is>
      </c>
      <c r="C1257" t="inlineStr">
        <is>
          <t>0                      QH 0541500E  8                  I  56          1983</t>
        </is>
      </c>
      <c r="D1257" t="inlineStr">
        <is>
          <t>The estuary as a filter / edited by Victor S. Kennedy.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International Estuarine Research Conference (7th : 1983 : Virginia Beach, Va.)</t>
        </is>
      </c>
      <c r="L1257" t="inlineStr">
        <is>
          <t>Orlando : Academic Press,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flu</t>
        </is>
      </c>
      <c r="R1257" t="inlineStr">
        <is>
          <t xml:space="preserve">QH </t>
        </is>
      </c>
      <c r="S1257" t="n">
        <v>3</v>
      </c>
      <c r="T1257" t="n">
        <v>3</v>
      </c>
      <c r="U1257" t="inlineStr">
        <is>
          <t>1996-09-12</t>
        </is>
      </c>
      <c r="V1257" t="inlineStr">
        <is>
          <t>1996-09-12</t>
        </is>
      </c>
      <c r="W1257" t="inlineStr">
        <is>
          <t>1993-04-30</t>
        </is>
      </c>
      <c r="X1257" t="inlineStr">
        <is>
          <t>1993-04-30</t>
        </is>
      </c>
      <c r="Y1257" t="n">
        <v>378</v>
      </c>
      <c r="Z1257" t="n">
        <v>283</v>
      </c>
      <c r="AA1257" t="n">
        <v>326</v>
      </c>
      <c r="AB1257" t="n">
        <v>2</v>
      </c>
      <c r="AC1257" t="n">
        <v>3</v>
      </c>
      <c r="AD1257" t="n">
        <v>6</v>
      </c>
      <c r="AE1257" t="n">
        <v>9</v>
      </c>
      <c r="AF1257" t="n">
        <v>2</v>
      </c>
      <c r="AG1257" t="n">
        <v>3</v>
      </c>
      <c r="AH1257" t="n">
        <v>2</v>
      </c>
      <c r="AI1257" t="n">
        <v>3</v>
      </c>
      <c r="AJ1257" t="n">
        <v>3</v>
      </c>
      <c r="AK1257" t="n">
        <v>3</v>
      </c>
      <c r="AL1257" t="n">
        <v>1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HYPERLINK("http://catalog.hathitrust.org/Record/000379283","HathiTrust Record")</f>
        <v/>
      </c>
      <c r="AS1257">
        <f>HYPERLINK("https://creighton-primo.hosted.exlibrisgroup.com/primo-explore/search?tab=default_tab&amp;search_scope=EVERYTHING&amp;vid=01CRU&amp;lang=en_US&amp;offset=0&amp;query=any,contains,991000523289702656","Catalog Record")</f>
        <v/>
      </c>
      <c r="AT1257">
        <f>HYPERLINK("http://www.worldcat.org/oclc/11346429","WorldCat Record")</f>
        <v/>
      </c>
      <c r="AU1257" t="inlineStr">
        <is>
          <t>361736521:eng</t>
        </is>
      </c>
      <c r="AV1257" t="inlineStr">
        <is>
          <t>11346429</t>
        </is>
      </c>
      <c r="AW1257" t="inlineStr">
        <is>
          <t>991000523289702656</t>
        </is>
      </c>
      <c r="AX1257" t="inlineStr">
        <is>
          <t>991000523289702656</t>
        </is>
      </c>
      <c r="AY1257" t="inlineStr">
        <is>
          <t>2262947490002656</t>
        </is>
      </c>
      <c r="AZ1257" t="inlineStr">
        <is>
          <t>BOOK</t>
        </is>
      </c>
      <c r="BB1257" t="inlineStr">
        <is>
          <t>9780124050709</t>
        </is>
      </c>
      <c r="BC1257" t="inlineStr">
        <is>
          <t>32285001642544</t>
        </is>
      </c>
      <c r="BD1257" t="inlineStr">
        <is>
          <t>893407271</t>
        </is>
      </c>
    </row>
    <row r="1258">
      <c r="A1258" t="inlineStr">
        <is>
          <t>No</t>
        </is>
      </c>
      <c r="B1258" t="inlineStr">
        <is>
          <t>QH541.5.E8 M32</t>
        </is>
      </c>
      <c r="C1258" t="inlineStr">
        <is>
          <t>0                      QH 0541500E  8                  M  32</t>
        </is>
      </c>
      <c r="D1258" t="inlineStr">
        <is>
          <t>The estuarine ecosystem / Donald S. McLusky.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McLusky, Donald Samuel.</t>
        </is>
      </c>
      <c r="L1258" t="inlineStr">
        <is>
          <t>New York : Wiley, 1981.</t>
        </is>
      </c>
      <c r="M1258" t="inlineStr">
        <is>
          <t>1981</t>
        </is>
      </c>
      <c r="O1258" t="inlineStr">
        <is>
          <t>eng</t>
        </is>
      </c>
      <c r="P1258" t="inlineStr">
        <is>
          <t>nyu</t>
        </is>
      </c>
      <c r="Q1258" t="inlineStr">
        <is>
          <t>Tertiary level biology</t>
        </is>
      </c>
      <c r="R1258" t="inlineStr">
        <is>
          <t xml:space="preserve">QH </t>
        </is>
      </c>
      <c r="S1258" t="n">
        <v>4</v>
      </c>
      <c r="T1258" t="n">
        <v>4</v>
      </c>
      <c r="U1258" t="inlineStr">
        <is>
          <t>1999-11-04</t>
        </is>
      </c>
      <c r="V1258" t="inlineStr">
        <is>
          <t>1999-11-04</t>
        </is>
      </c>
      <c r="W1258" t="inlineStr">
        <is>
          <t>1993-04-30</t>
        </is>
      </c>
      <c r="X1258" t="inlineStr">
        <is>
          <t>1993-04-30</t>
        </is>
      </c>
      <c r="Y1258" t="n">
        <v>364</v>
      </c>
      <c r="Z1258" t="n">
        <v>337</v>
      </c>
      <c r="AA1258" t="n">
        <v>591</v>
      </c>
      <c r="AB1258" t="n">
        <v>2</v>
      </c>
      <c r="AC1258" t="n">
        <v>3</v>
      </c>
      <c r="AD1258" t="n">
        <v>6</v>
      </c>
      <c r="AE1258" t="n">
        <v>21</v>
      </c>
      <c r="AF1258" t="n">
        <v>1</v>
      </c>
      <c r="AG1258" t="n">
        <v>8</v>
      </c>
      <c r="AH1258" t="n">
        <v>3</v>
      </c>
      <c r="AI1258" t="n">
        <v>7</v>
      </c>
      <c r="AJ1258" t="n">
        <v>3</v>
      </c>
      <c r="AK1258" t="n">
        <v>11</v>
      </c>
      <c r="AL1258" t="n">
        <v>1</v>
      </c>
      <c r="AM1258" t="n">
        <v>2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HYPERLINK("http://catalog.hathitrust.org/Record/000223426","HathiTrust Record")</f>
        <v/>
      </c>
      <c r="AS1258">
        <f>HYPERLINK("https://creighton-primo.hosted.exlibrisgroup.com/primo-explore/search?tab=default_tab&amp;search_scope=EVERYTHING&amp;vid=01CRU&amp;lang=en_US&amp;offset=0&amp;query=any,contains,991005089409702656","Catalog Record")</f>
        <v/>
      </c>
      <c r="AT1258">
        <f>HYPERLINK("http://www.worldcat.org/oclc/7206158","WorldCat Record")</f>
        <v/>
      </c>
      <c r="AU1258" t="inlineStr">
        <is>
          <t>21733936:eng</t>
        </is>
      </c>
      <c r="AV1258" t="inlineStr">
        <is>
          <t>7206158</t>
        </is>
      </c>
      <c r="AW1258" t="inlineStr">
        <is>
          <t>991005089409702656</t>
        </is>
      </c>
      <c r="AX1258" t="inlineStr">
        <is>
          <t>991005089409702656</t>
        </is>
      </c>
      <c r="AY1258" t="inlineStr">
        <is>
          <t>2265981270002656</t>
        </is>
      </c>
      <c r="AZ1258" t="inlineStr">
        <is>
          <t>BOOK</t>
        </is>
      </c>
      <c r="BB1258" t="inlineStr">
        <is>
          <t>9780470271278</t>
        </is>
      </c>
      <c r="BC1258" t="inlineStr">
        <is>
          <t>32285001642551</t>
        </is>
      </c>
      <c r="BD1258" t="inlineStr">
        <is>
          <t>893625428</t>
        </is>
      </c>
    </row>
    <row r="1259">
      <c r="A1259" t="inlineStr">
        <is>
          <t>No</t>
        </is>
      </c>
      <c r="B1259" t="inlineStr">
        <is>
          <t>QH541.5.F6 H5</t>
        </is>
      </c>
      <c r="C1259" t="inlineStr">
        <is>
          <t>0                      QH 0541500F  6                  H  5</t>
        </is>
      </c>
      <c r="D1259" t="inlineStr">
        <is>
          <t>Vertebrate ecology and zoogeography of the Missouri River Valley in North Dakota / by Edmund Arthur Hibbard.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Hibbard, Edmund Arthur.</t>
        </is>
      </c>
      <c r="M1259" t="inlineStr">
        <is>
          <t>1972</t>
        </is>
      </c>
      <c r="O1259" t="inlineStr">
        <is>
          <t>eng</t>
        </is>
      </c>
      <c r="P1259" t="inlineStr">
        <is>
          <t xml:space="preserve">xx </t>
        </is>
      </c>
      <c r="R1259" t="inlineStr">
        <is>
          <t xml:space="preserve">QH </t>
        </is>
      </c>
      <c r="S1259" t="n">
        <v>1</v>
      </c>
      <c r="T1259" t="n">
        <v>1</v>
      </c>
      <c r="U1259" t="inlineStr">
        <is>
          <t>2003-06-02</t>
        </is>
      </c>
      <c r="V1259" t="inlineStr">
        <is>
          <t>2003-06-02</t>
        </is>
      </c>
      <c r="W1259" t="inlineStr">
        <is>
          <t>1997-07-03</t>
        </is>
      </c>
      <c r="X1259" t="inlineStr">
        <is>
          <t>1997-07-03</t>
        </is>
      </c>
      <c r="Y1259" t="n">
        <v>4</v>
      </c>
      <c r="Z1259" t="n">
        <v>4</v>
      </c>
      <c r="AA1259" t="n">
        <v>8</v>
      </c>
      <c r="AB1259" t="n">
        <v>1</v>
      </c>
      <c r="AC1259" t="n">
        <v>1</v>
      </c>
      <c r="AD1259" t="n">
        <v>0</v>
      </c>
      <c r="AE1259" t="n">
        <v>0</v>
      </c>
      <c r="AF1259" t="n">
        <v>0</v>
      </c>
      <c r="AG1259" t="n">
        <v>0</v>
      </c>
      <c r="AH1259" t="n">
        <v>0</v>
      </c>
      <c r="AI1259" t="n">
        <v>0</v>
      </c>
      <c r="AJ1259" t="n">
        <v>0</v>
      </c>
      <c r="AK1259" t="n">
        <v>0</v>
      </c>
      <c r="AL1259" t="n">
        <v>0</v>
      </c>
      <c r="AM1259" t="n">
        <v>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HYPERLINK("https://creighton-primo.hosted.exlibrisgroup.com/primo-explore/search?tab=default_tab&amp;search_scope=EVERYTHING&amp;vid=01CRU&amp;lang=en_US&amp;offset=0&amp;query=any,contains,991000245389702656","Catalog Record")</f>
        <v/>
      </c>
      <c r="AT1259">
        <f>HYPERLINK("http://www.worldcat.org/oclc/9698336","WorldCat Record")</f>
        <v/>
      </c>
      <c r="AU1259" t="inlineStr">
        <is>
          <t>21805628:eng</t>
        </is>
      </c>
      <c r="AV1259" t="inlineStr">
        <is>
          <t>9698336</t>
        </is>
      </c>
      <c r="AW1259" t="inlineStr">
        <is>
          <t>991000245389702656</t>
        </is>
      </c>
      <c r="AX1259" t="inlineStr">
        <is>
          <t>991000245389702656</t>
        </is>
      </c>
      <c r="AY1259" t="inlineStr">
        <is>
          <t>2266171670002656</t>
        </is>
      </c>
      <c r="AZ1259" t="inlineStr">
        <is>
          <t>BOOK</t>
        </is>
      </c>
      <c r="BC1259" t="inlineStr">
        <is>
          <t>32285002913522</t>
        </is>
      </c>
      <c r="BD1259" t="inlineStr">
        <is>
          <t>893784087</t>
        </is>
      </c>
    </row>
    <row r="1260">
      <c r="A1260" t="inlineStr">
        <is>
          <t>No</t>
        </is>
      </c>
      <c r="B1260" t="inlineStr">
        <is>
          <t>QH541.5.F6 M37 1989</t>
        </is>
      </c>
      <c r="C1260" t="inlineStr">
        <is>
          <t>0                      QH 0541500F  6                  M  37          1989</t>
        </is>
      </c>
      <c r="D1260" t="inlineStr">
        <is>
          <t>Forest primeval : the natural history of an ancient forest / Chris Maser.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Maser, Chris.</t>
        </is>
      </c>
      <c r="L1260" t="inlineStr">
        <is>
          <t>San Francisco : Sierra Club Books, c1989.</t>
        </is>
      </c>
      <c r="M1260" t="inlineStr">
        <is>
          <t>1989</t>
        </is>
      </c>
      <c r="O1260" t="inlineStr">
        <is>
          <t>eng</t>
        </is>
      </c>
      <c r="P1260" t="inlineStr">
        <is>
          <t>cau</t>
        </is>
      </c>
      <c r="R1260" t="inlineStr">
        <is>
          <t xml:space="preserve">QH </t>
        </is>
      </c>
      <c r="S1260" t="n">
        <v>1</v>
      </c>
      <c r="T1260" t="n">
        <v>1</v>
      </c>
      <c r="U1260" t="inlineStr">
        <is>
          <t>2008-05-20</t>
        </is>
      </c>
      <c r="V1260" t="inlineStr">
        <is>
          <t>2008-05-20</t>
        </is>
      </c>
      <c r="W1260" t="inlineStr">
        <is>
          <t>2008-05-20</t>
        </is>
      </c>
      <c r="X1260" t="inlineStr">
        <is>
          <t>2008-05-20</t>
        </is>
      </c>
      <c r="Y1260" t="n">
        <v>735</v>
      </c>
      <c r="Z1260" t="n">
        <v>668</v>
      </c>
      <c r="AA1260" t="n">
        <v>769</v>
      </c>
      <c r="AB1260" t="n">
        <v>5</v>
      </c>
      <c r="AC1260" t="n">
        <v>5</v>
      </c>
      <c r="AD1260" t="n">
        <v>12</v>
      </c>
      <c r="AE1260" t="n">
        <v>15</v>
      </c>
      <c r="AF1260" t="n">
        <v>2</v>
      </c>
      <c r="AG1260" t="n">
        <v>4</v>
      </c>
      <c r="AH1260" t="n">
        <v>4</v>
      </c>
      <c r="AI1260" t="n">
        <v>4</v>
      </c>
      <c r="AJ1260" t="n">
        <v>3</v>
      </c>
      <c r="AK1260" t="n">
        <v>6</v>
      </c>
      <c r="AL1260" t="n">
        <v>3</v>
      </c>
      <c r="AM1260" t="n">
        <v>3</v>
      </c>
      <c r="AN1260" t="n">
        <v>1</v>
      </c>
      <c r="AO1260" t="n">
        <v>1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HYPERLINK("http://catalog.hathitrust.org/Record/001550644","HathiTrust Record")</f>
        <v/>
      </c>
      <c r="AS1260">
        <f>HYPERLINK("https://creighton-primo.hosted.exlibrisgroup.com/primo-explore/search?tab=default_tab&amp;search_scope=EVERYTHING&amp;vid=01CRU&amp;lang=en_US&amp;offset=0&amp;query=any,contains,991005223699702656","Catalog Record")</f>
        <v/>
      </c>
      <c r="AT1260">
        <f>HYPERLINK("http://www.worldcat.org/oclc/19590089","WorldCat Record")</f>
        <v/>
      </c>
      <c r="AU1260" t="inlineStr">
        <is>
          <t>21800108:eng</t>
        </is>
      </c>
      <c r="AV1260" t="inlineStr">
        <is>
          <t>19590089</t>
        </is>
      </c>
      <c r="AW1260" t="inlineStr">
        <is>
          <t>991005223699702656</t>
        </is>
      </c>
      <c r="AX1260" t="inlineStr">
        <is>
          <t>991005223699702656</t>
        </is>
      </c>
      <c r="AY1260" t="inlineStr">
        <is>
          <t>2267526370002656</t>
        </is>
      </c>
      <c r="AZ1260" t="inlineStr">
        <is>
          <t>BOOK</t>
        </is>
      </c>
      <c r="BB1260" t="inlineStr">
        <is>
          <t>9780871566836</t>
        </is>
      </c>
      <c r="BC1260" t="inlineStr">
        <is>
          <t>32285005409874</t>
        </is>
      </c>
      <c r="BD1260" t="inlineStr">
        <is>
          <t>893424761</t>
        </is>
      </c>
    </row>
    <row r="1261">
      <c r="A1261" t="inlineStr">
        <is>
          <t>No</t>
        </is>
      </c>
      <c r="B1261" t="inlineStr">
        <is>
          <t>QH541.5.F7 A27 1996</t>
        </is>
      </c>
      <c r="C1261" t="inlineStr">
        <is>
          <t>0                      QH 0541500F  7                  A  27          1996</t>
        </is>
      </c>
      <c r="D1261" t="inlineStr">
        <is>
          <t>Imperiled waters, impoverished future : the decline of freshwater ecosystems / Janet N. Abramovitz ; Anjali Acharaya, staff researcher ; Jane A. Peterson, editor.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Abramovitz, Janet N.</t>
        </is>
      </c>
      <c r="L1261" t="inlineStr">
        <is>
          <t>Washington, D.C. : Worldwatch Institute, c1996.</t>
        </is>
      </c>
      <c r="M1261" t="inlineStr">
        <is>
          <t>1996</t>
        </is>
      </c>
      <c r="O1261" t="inlineStr">
        <is>
          <t>eng</t>
        </is>
      </c>
      <c r="P1261" t="inlineStr">
        <is>
          <t>dcu</t>
        </is>
      </c>
      <c r="Q1261" t="inlineStr">
        <is>
          <t>Worldwatch paper ; 128</t>
        </is>
      </c>
      <c r="R1261" t="inlineStr">
        <is>
          <t xml:space="preserve">QH </t>
        </is>
      </c>
      <c r="S1261" t="n">
        <v>8</v>
      </c>
      <c r="T1261" t="n">
        <v>8</v>
      </c>
      <c r="U1261" t="inlineStr">
        <is>
          <t>2005-12-16</t>
        </is>
      </c>
      <c r="V1261" t="inlineStr">
        <is>
          <t>2005-12-16</t>
        </is>
      </c>
      <c r="W1261" t="inlineStr">
        <is>
          <t>1996-05-16</t>
        </is>
      </c>
      <c r="X1261" t="inlineStr">
        <is>
          <t>1996-05-16</t>
        </is>
      </c>
      <c r="Y1261" t="n">
        <v>612</v>
      </c>
      <c r="Z1261" t="n">
        <v>522</v>
      </c>
      <c r="AA1261" t="n">
        <v>530</v>
      </c>
      <c r="AB1261" t="n">
        <v>4</v>
      </c>
      <c r="AC1261" t="n">
        <v>4</v>
      </c>
      <c r="AD1261" t="n">
        <v>26</v>
      </c>
      <c r="AE1261" t="n">
        <v>26</v>
      </c>
      <c r="AF1261" t="n">
        <v>6</v>
      </c>
      <c r="AG1261" t="n">
        <v>6</v>
      </c>
      <c r="AH1261" t="n">
        <v>3</v>
      </c>
      <c r="AI1261" t="n">
        <v>3</v>
      </c>
      <c r="AJ1261" t="n">
        <v>11</v>
      </c>
      <c r="AK1261" t="n">
        <v>11</v>
      </c>
      <c r="AL1261" t="n">
        <v>3</v>
      </c>
      <c r="AM1261" t="n">
        <v>3</v>
      </c>
      <c r="AN1261" t="n">
        <v>6</v>
      </c>
      <c r="AO1261" t="n">
        <v>6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HYPERLINK("http://catalog.hathitrust.org/Record/003076181","HathiTrust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HYPERLINK("https://creighton-primo.hosted.exlibrisgroup.com/primo-explore/search?tab=default_tab&amp;search_scope=EVERYTHING&amp;vid=01CRU&amp;lang=en_US&amp;offset=0&amp;query=any,contains,991002631709702656","Catalog Record")</f>
        <v/>
      </c>
      <c r="AT1261">
        <f>HYPERLINK("http://www.worldcat.org/oclc/34501931","WorldCat Record")</f>
        <v/>
      </c>
      <c r="AU1261" t="inlineStr">
        <is>
          <t>235018772:eng</t>
        </is>
      </c>
      <c r="AV1261" t="inlineStr">
        <is>
          <t>34501931</t>
        </is>
      </c>
      <c r="AW1261" t="inlineStr">
        <is>
          <t>991002631709702656</t>
        </is>
      </c>
      <c r="AX1261" t="inlineStr">
        <is>
          <t>991002631709702656</t>
        </is>
      </c>
      <c r="AY1261" t="inlineStr">
        <is>
          <t>2255137890002656</t>
        </is>
      </c>
      <c r="AZ1261" t="inlineStr">
        <is>
          <t>BOOK</t>
        </is>
      </c>
      <c r="BB1261" t="inlineStr">
        <is>
          <t>9781878071309</t>
        </is>
      </c>
      <c r="BC1261" t="inlineStr">
        <is>
          <t>32285002168895</t>
        </is>
      </c>
      <c r="BD1261" t="inlineStr">
        <is>
          <t>893427803</t>
        </is>
      </c>
    </row>
    <row r="1262">
      <c r="A1262" t="inlineStr">
        <is>
          <t>No</t>
        </is>
      </c>
      <c r="B1262" t="inlineStr">
        <is>
          <t>QH541.5.F7 B7 1971b</t>
        </is>
      </c>
      <c r="C1262" t="inlineStr">
        <is>
          <t>0                      QH 0541500F  7                  B  7           1971b</t>
        </is>
      </c>
      <c r="D1262" t="inlineStr">
        <is>
          <t>Ecology of fresh water.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Leadley Brown, Alison.</t>
        </is>
      </c>
      <c r="L1262" t="inlineStr">
        <is>
          <t>Cambridge, Mass., Harvard University Press, 1971.</t>
        </is>
      </c>
      <c r="M1262" t="inlineStr">
        <is>
          <t>1971</t>
        </is>
      </c>
      <c r="O1262" t="inlineStr">
        <is>
          <t>eng</t>
        </is>
      </c>
      <c r="P1262" t="inlineStr">
        <is>
          <t>mau</t>
        </is>
      </c>
      <c r="R1262" t="inlineStr">
        <is>
          <t xml:space="preserve">QH </t>
        </is>
      </c>
      <c r="S1262" t="n">
        <v>17</v>
      </c>
      <c r="T1262" t="n">
        <v>17</v>
      </c>
      <c r="U1262" t="inlineStr">
        <is>
          <t>2003-03-27</t>
        </is>
      </c>
      <c r="V1262" t="inlineStr">
        <is>
          <t>2003-03-27</t>
        </is>
      </c>
      <c r="W1262" t="inlineStr">
        <is>
          <t>1991-12-10</t>
        </is>
      </c>
      <c r="X1262" t="inlineStr">
        <is>
          <t>1991-12-10</t>
        </is>
      </c>
      <c r="Y1262" t="n">
        <v>686</v>
      </c>
      <c r="Z1262" t="n">
        <v>643</v>
      </c>
      <c r="AA1262" t="n">
        <v>688</v>
      </c>
      <c r="AB1262" t="n">
        <v>7</v>
      </c>
      <c r="AC1262" t="n">
        <v>8</v>
      </c>
      <c r="AD1262" t="n">
        <v>23</v>
      </c>
      <c r="AE1262" t="n">
        <v>25</v>
      </c>
      <c r="AF1262" t="n">
        <v>9</v>
      </c>
      <c r="AG1262" t="n">
        <v>9</v>
      </c>
      <c r="AH1262" t="n">
        <v>4</v>
      </c>
      <c r="AI1262" t="n">
        <v>4</v>
      </c>
      <c r="AJ1262" t="n">
        <v>9</v>
      </c>
      <c r="AK1262" t="n">
        <v>10</v>
      </c>
      <c r="AL1262" t="n">
        <v>6</v>
      </c>
      <c r="AM1262" t="n">
        <v>7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HYPERLINK("http://catalog.hathitrust.org/Record/001492778","HathiTrust Record")</f>
        <v/>
      </c>
      <c r="AS1262">
        <f>HYPERLINK("https://creighton-primo.hosted.exlibrisgroup.com/primo-explore/search?tab=default_tab&amp;search_scope=EVERYTHING&amp;vid=01CRU&amp;lang=en_US&amp;offset=0&amp;query=any,contains,991001229669702656","Catalog Record")</f>
        <v/>
      </c>
      <c r="AT1262">
        <f>HYPERLINK("http://www.worldcat.org/oclc/202403","WorldCat Record")</f>
        <v/>
      </c>
      <c r="AU1262" t="inlineStr">
        <is>
          <t>180953:eng</t>
        </is>
      </c>
      <c r="AV1262" t="inlineStr">
        <is>
          <t>202403</t>
        </is>
      </c>
      <c r="AW1262" t="inlineStr">
        <is>
          <t>991001229669702656</t>
        </is>
      </c>
      <c r="AX1262" t="inlineStr">
        <is>
          <t>991001229669702656</t>
        </is>
      </c>
      <c r="AY1262" t="inlineStr">
        <is>
          <t>2258840980002656</t>
        </is>
      </c>
      <c r="AZ1262" t="inlineStr">
        <is>
          <t>BOOK</t>
        </is>
      </c>
      <c r="BB1262" t="inlineStr">
        <is>
          <t>9780674224476</t>
        </is>
      </c>
      <c r="BC1262" t="inlineStr">
        <is>
          <t>32285000839273</t>
        </is>
      </c>
      <c r="BD1262" t="inlineStr">
        <is>
          <t>893809001</t>
        </is>
      </c>
    </row>
    <row r="1263">
      <c r="A1263" t="inlineStr">
        <is>
          <t>No</t>
        </is>
      </c>
      <c r="B1263" t="inlineStr">
        <is>
          <t>QH541.5.F7 F86</t>
        </is>
      </c>
      <c r="C1263" t="inlineStr">
        <is>
          <t>0                      QH 0541500F  7                  F  86</t>
        </is>
      </c>
      <c r="D1263" t="inlineStr">
        <is>
          <t>The Functioning of freshwater ecosystems / edited by E. D. Le Cren and R. H. Lowe-McConnell.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L1263" t="inlineStr">
        <is>
          <t>Cambridge [Eng.] ; New York : Cambridge University Press, 1980.</t>
        </is>
      </c>
      <c r="M1263" t="inlineStr">
        <is>
          <t>1979</t>
        </is>
      </c>
      <c r="O1263" t="inlineStr">
        <is>
          <t>eng</t>
        </is>
      </c>
      <c r="P1263" t="inlineStr">
        <is>
          <t>enk</t>
        </is>
      </c>
      <c r="Q1263" t="inlineStr">
        <is>
          <t>International Biological Programme ; 22</t>
        </is>
      </c>
      <c r="R1263" t="inlineStr">
        <is>
          <t xml:space="preserve">QH </t>
        </is>
      </c>
      <c r="S1263" t="n">
        <v>15</v>
      </c>
      <c r="T1263" t="n">
        <v>15</v>
      </c>
      <c r="U1263" t="inlineStr">
        <is>
          <t>1999-11-04</t>
        </is>
      </c>
      <c r="V1263" t="inlineStr">
        <is>
          <t>1999-11-04</t>
        </is>
      </c>
      <c r="W1263" t="inlineStr">
        <is>
          <t>1991-11-13</t>
        </is>
      </c>
      <c r="X1263" t="inlineStr">
        <is>
          <t>1991-11-13</t>
        </is>
      </c>
      <c r="Y1263" t="n">
        <v>389</v>
      </c>
      <c r="Z1263" t="n">
        <v>250</v>
      </c>
      <c r="AA1263" t="n">
        <v>259</v>
      </c>
      <c r="AB1263" t="n">
        <v>2</v>
      </c>
      <c r="AC1263" t="n">
        <v>2</v>
      </c>
      <c r="AD1263" t="n">
        <v>7</v>
      </c>
      <c r="AE1263" t="n">
        <v>8</v>
      </c>
      <c r="AF1263" t="n">
        <v>4</v>
      </c>
      <c r="AG1263" t="n">
        <v>4</v>
      </c>
      <c r="AH1263" t="n">
        <v>1</v>
      </c>
      <c r="AI1263" t="n">
        <v>2</v>
      </c>
      <c r="AJ1263" t="n">
        <v>3</v>
      </c>
      <c r="AK1263" t="n">
        <v>3</v>
      </c>
      <c r="AL1263" t="n">
        <v>1</v>
      </c>
      <c r="AM1263" t="n">
        <v>1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No</t>
        </is>
      </c>
      <c r="AS1263">
        <f>HYPERLINK("https://creighton-primo.hosted.exlibrisgroup.com/primo-explore/search?tab=default_tab&amp;search_scope=EVERYTHING&amp;vid=01CRU&amp;lang=en_US&amp;offset=0&amp;query=any,contains,991004740789702656","Catalog Record")</f>
        <v/>
      </c>
      <c r="AT1263">
        <f>HYPERLINK("http://www.worldcat.org/oclc/4883359","WorldCat Record")</f>
        <v/>
      </c>
      <c r="AU1263" t="inlineStr">
        <is>
          <t>909333909:eng</t>
        </is>
      </c>
      <c r="AV1263" t="inlineStr">
        <is>
          <t>4883359</t>
        </is>
      </c>
      <c r="AW1263" t="inlineStr">
        <is>
          <t>991004740789702656</t>
        </is>
      </c>
      <c r="AX1263" t="inlineStr">
        <is>
          <t>991004740789702656</t>
        </is>
      </c>
      <c r="AY1263" t="inlineStr">
        <is>
          <t>2264119030002656</t>
        </is>
      </c>
      <c r="AZ1263" t="inlineStr">
        <is>
          <t>BOOK</t>
        </is>
      </c>
      <c r="BB1263" t="inlineStr">
        <is>
          <t>9780521225076</t>
        </is>
      </c>
      <c r="BC1263" t="inlineStr">
        <is>
          <t>32285000824341</t>
        </is>
      </c>
      <c r="BD1263" t="inlineStr">
        <is>
          <t>893331990</t>
        </is>
      </c>
    </row>
    <row r="1264">
      <c r="A1264" t="inlineStr">
        <is>
          <t>No</t>
        </is>
      </c>
      <c r="B1264" t="inlineStr">
        <is>
          <t>QH541.5.F7 G57 1992</t>
        </is>
      </c>
      <c r="C1264" t="inlineStr">
        <is>
          <t>0                      QH 0541500F  7                  G  57          1992</t>
        </is>
      </c>
      <c r="D1264" t="inlineStr">
        <is>
          <t>Global climate change and freshwater ecosystems / Penelope Firth, Stuart G. Fisher, editors.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L1264" t="inlineStr">
        <is>
          <t>New York : Springer-Verlag, c1992.</t>
        </is>
      </c>
      <c r="M1264" t="inlineStr">
        <is>
          <t>1992</t>
        </is>
      </c>
      <c r="O1264" t="inlineStr">
        <is>
          <t>eng</t>
        </is>
      </c>
      <c r="P1264" t="inlineStr">
        <is>
          <t>nyu</t>
        </is>
      </c>
      <c r="R1264" t="inlineStr">
        <is>
          <t xml:space="preserve">QH </t>
        </is>
      </c>
      <c r="S1264" t="n">
        <v>17</v>
      </c>
      <c r="T1264" t="n">
        <v>17</v>
      </c>
      <c r="U1264" t="inlineStr">
        <is>
          <t>2001-04-11</t>
        </is>
      </c>
      <c r="V1264" t="inlineStr">
        <is>
          <t>2001-04-11</t>
        </is>
      </c>
      <c r="W1264" t="inlineStr">
        <is>
          <t>1993-03-24</t>
        </is>
      </c>
      <c r="X1264" t="inlineStr">
        <is>
          <t>1993-03-24</t>
        </is>
      </c>
      <c r="Y1264" t="n">
        <v>238</v>
      </c>
      <c r="Z1264" t="n">
        <v>156</v>
      </c>
      <c r="AA1264" t="n">
        <v>176</v>
      </c>
      <c r="AB1264" t="n">
        <v>2</v>
      </c>
      <c r="AC1264" t="n">
        <v>2</v>
      </c>
      <c r="AD1264" t="n">
        <v>3</v>
      </c>
      <c r="AE1264" t="n">
        <v>3</v>
      </c>
      <c r="AF1264" t="n">
        <v>0</v>
      </c>
      <c r="AG1264" t="n">
        <v>0</v>
      </c>
      <c r="AH1264" t="n">
        <v>1</v>
      </c>
      <c r="AI1264" t="n">
        <v>1</v>
      </c>
      <c r="AJ1264" t="n">
        <v>1</v>
      </c>
      <c r="AK1264" t="n">
        <v>1</v>
      </c>
      <c r="AL1264" t="n">
        <v>1</v>
      </c>
      <c r="AM1264" t="n">
        <v>1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HYPERLINK("http://catalog.hathitrust.org/Record/002521853","HathiTrust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HYPERLINK("https://creighton-primo.hosted.exlibrisgroup.com/primo-explore/search?tab=default_tab&amp;search_scope=EVERYTHING&amp;vid=01CRU&amp;lang=en_US&amp;offset=0&amp;query=any,contains,991001900209702656","Catalog Record")</f>
        <v/>
      </c>
      <c r="AT1264">
        <f>HYPERLINK("http://www.worldcat.org/oclc/24009497","WorldCat Record")</f>
        <v/>
      </c>
      <c r="AU1264" t="inlineStr">
        <is>
          <t>358391790:eng</t>
        </is>
      </c>
      <c r="AV1264" t="inlineStr">
        <is>
          <t>24009497</t>
        </is>
      </c>
      <c r="AW1264" t="inlineStr">
        <is>
          <t>991001900209702656</t>
        </is>
      </c>
      <c r="AX1264" t="inlineStr">
        <is>
          <t>991001900209702656</t>
        </is>
      </c>
      <c r="AY1264" t="inlineStr">
        <is>
          <t>2264232180002656</t>
        </is>
      </c>
      <c r="AZ1264" t="inlineStr">
        <is>
          <t>BOOK</t>
        </is>
      </c>
      <c r="BB1264" t="inlineStr">
        <is>
          <t>9783540976400</t>
        </is>
      </c>
      <c r="BC1264" t="inlineStr">
        <is>
          <t>32285001498335</t>
        </is>
      </c>
      <c r="BD1264" t="inlineStr">
        <is>
          <t>893691007</t>
        </is>
      </c>
    </row>
    <row r="1265">
      <c r="A1265" t="inlineStr">
        <is>
          <t>No</t>
        </is>
      </c>
      <c r="B1265" t="inlineStr">
        <is>
          <t>QH541.5.F7 M3 1963</t>
        </is>
      </c>
      <c r="C1265" t="inlineStr">
        <is>
          <t>0                      QH 0541500F  7                  M  3           1963</t>
        </is>
      </c>
      <c r="D1265" t="inlineStr">
        <is>
          <t>Freshwater ecology.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Macan, T. T. (Thomas Townley)</t>
        </is>
      </c>
      <c r="L1265" t="inlineStr">
        <is>
          <t>[London] Longman [1963]</t>
        </is>
      </c>
      <c r="M1265" t="inlineStr">
        <is>
          <t>1963</t>
        </is>
      </c>
      <c r="O1265" t="inlineStr">
        <is>
          <t>eng</t>
        </is>
      </c>
      <c r="P1265" t="inlineStr">
        <is>
          <t xml:space="preserve">xx </t>
        </is>
      </c>
      <c r="R1265" t="inlineStr">
        <is>
          <t xml:space="preserve">QH </t>
        </is>
      </c>
      <c r="S1265" t="n">
        <v>62</v>
      </c>
      <c r="T1265" t="n">
        <v>62</v>
      </c>
      <c r="U1265" t="inlineStr">
        <is>
          <t>2003-03-27</t>
        </is>
      </c>
      <c r="V1265" t="inlineStr">
        <is>
          <t>2003-03-27</t>
        </is>
      </c>
      <c r="W1265" t="inlineStr">
        <is>
          <t>1991-10-02</t>
        </is>
      </c>
      <c r="X1265" t="inlineStr">
        <is>
          <t>1991-10-02</t>
        </is>
      </c>
      <c r="Y1265" t="n">
        <v>212</v>
      </c>
      <c r="Z1265" t="n">
        <v>100</v>
      </c>
      <c r="AA1265" t="n">
        <v>847</v>
      </c>
      <c r="AB1265" t="n">
        <v>1</v>
      </c>
      <c r="AC1265" t="n">
        <v>7</v>
      </c>
      <c r="AD1265" t="n">
        <v>6</v>
      </c>
      <c r="AE1265" t="n">
        <v>34</v>
      </c>
      <c r="AF1265" t="n">
        <v>2</v>
      </c>
      <c r="AG1265" t="n">
        <v>15</v>
      </c>
      <c r="AH1265" t="n">
        <v>2</v>
      </c>
      <c r="AI1265" t="n">
        <v>6</v>
      </c>
      <c r="AJ1265" t="n">
        <v>5</v>
      </c>
      <c r="AK1265" t="n">
        <v>16</v>
      </c>
      <c r="AL1265" t="n">
        <v>0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HYPERLINK("https://creighton-primo.hosted.exlibrisgroup.com/primo-explore/search?tab=default_tab&amp;search_scope=EVERYTHING&amp;vid=01CRU&amp;lang=en_US&amp;offset=0&amp;query=any,contains,991001208909702656","Catalog Record")</f>
        <v/>
      </c>
      <c r="AT1265">
        <f>HYPERLINK("http://www.worldcat.org/oclc/192793","WorldCat Record")</f>
        <v/>
      </c>
      <c r="AU1265" t="inlineStr">
        <is>
          <t>1355063:eng</t>
        </is>
      </c>
      <c r="AV1265" t="inlineStr">
        <is>
          <t>192793</t>
        </is>
      </c>
      <c r="AW1265" t="inlineStr">
        <is>
          <t>991001208909702656</t>
        </is>
      </c>
      <c r="AX1265" t="inlineStr">
        <is>
          <t>991001208909702656</t>
        </is>
      </c>
      <c r="AY1265" t="inlineStr">
        <is>
          <t>2256339920002656</t>
        </is>
      </c>
      <c r="AZ1265" t="inlineStr">
        <is>
          <t>BOOK</t>
        </is>
      </c>
      <c r="BC1265" t="inlineStr">
        <is>
          <t>32285000716505</t>
        </is>
      </c>
      <c r="BD1265" t="inlineStr">
        <is>
          <t>893340245</t>
        </is>
      </c>
    </row>
    <row r="1266">
      <c r="A1266" t="inlineStr">
        <is>
          <t>No</t>
        </is>
      </c>
      <c r="B1266" t="inlineStr">
        <is>
          <t>QH541.5.F7 M67 1988</t>
        </is>
      </c>
      <c r="C1266" t="inlineStr">
        <is>
          <t>0                      QH 0541500F  7                  M  67          1988</t>
        </is>
      </c>
      <c r="D1266" t="inlineStr">
        <is>
          <t>Ecology of fresh waters : man and medium / Brian Moss.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Moss, Brian.</t>
        </is>
      </c>
      <c r="L1266" t="inlineStr">
        <is>
          <t>Oxford ; Boston : Blackwell Scientific Publications, 1988.</t>
        </is>
      </c>
      <c r="M1266" t="inlineStr">
        <is>
          <t>1988</t>
        </is>
      </c>
      <c r="N1266" t="inlineStr">
        <is>
          <t>2nd ed.</t>
        </is>
      </c>
      <c r="O1266" t="inlineStr">
        <is>
          <t>eng</t>
        </is>
      </c>
      <c r="P1266" t="inlineStr">
        <is>
          <t>enk</t>
        </is>
      </c>
      <c r="R1266" t="inlineStr">
        <is>
          <t xml:space="preserve">QH </t>
        </is>
      </c>
      <c r="S1266" t="n">
        <v>108</v>
      </c>
      <c r="T1266" t="n">
        <v>108</v>
      </c>
      <c r="U1266" t="inlineStr">
        <is>
          <t>1999-11-04</t>
        </is>
      </c>
      <c r="V1266" t="inlineStr">
        <is>
          <t>1999-11-04</t>
        </is>
      </c>
      <c r="W1266" t="inlineStr">
        <is>
          <t>1990-04-17</t>
        </is>
      </c>
      <c r="X1266" t="inlineStr">
        <is>
          <t>1990-04-17</t>
        </is>
      </c>
      <c r="Y1266" t="n">
        <v>367</v>
      </c>
      <c r="Z1266" t="n">
        <v>214</v>
      </c>
      <c r="AA1266" t="n">
        <v>747</v>
      </c>
      <c r="AB1266" t="n">
        <v>4</v>
      </c>
      <c r="AC1266" t="n">
        <v>5</v>
      </c>
      <c r="AD1266" t="n">
        <v>11</v>
      </c>
      <c r="AE1266" t="n">
        <v>20</v>
      </c>
      <c r="AF1266" t="n">
        <v>4</v>
      </c>
      <c r="AG1266" t="n">
        <v>10</v>
      </c>
      <c r="AH1266" t="n">
        <v>2</v>
      </c>
      <c r="AI1266" t="n">
        <v>4</v>
      </c>
      <c r="AJ1266" t="n">
        <v>6</v>
      </c>
      <c r="AK1266" t="n">
        <v>9</v>
      </c>
      <c r="AL1266" t="n">
        <v>3</v>
      </c>
      <c r="AM1266" t="n">
        <v>4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HYPERLINK("https://creighton-primo.hosted.exlibrisgroup.com/primo-explore/search?tab=default_tab&amp;search_scope=EVERYTHING&amp;vid=01CRU&amp;lang=en_US&amp;offset=0&amp;query=any,contains,991001240799702656","Catalog Record")</f>
        <v/>
      </c>
      <c r="AT1266">
        <f>HYPERLINK("http://www.worldcat.org/oclc/17619543","WorldCat Record")</f>
        <v/>
      </c>
      <c r="AU1266" t="inlineStr">
        <is>
          <t>4918261853:eng</t>
        </is>
      </c>
      <c r="AV1266" t="inlineStr">
        <is>
          <t>17619543</t>
        </is>
      </c>
      <c r="AW1266" t="inlineStr">
        <is>
          <t>991001240799702656</t>
        </is>
      </c>
      <c r="AX1266" t="inlineStr">
        <is>
          <t>991001240799702656</t>
        </is>
      </c>
      <c r="AY1266" t="inlineStr">
        <is>
          <t>2257711320002656</t>
        </is>
      </c>
      <c r="AZ1266" t="inlineStr">
        <is>
          <t>BOOK</t>
        </is>
      </c>
      <c r="BB1266" t="inlineStr">
        <is>
          <t>9780632016426</t>
        </is>
      </c>
      <c r="BC1266" t="inlineStr">
        <is>
          <t>32285000103316</t>
        </is>
      </c>
      <c r="BD1266" t="inlineStr">
        <is>
          <t>893503235</t>
        </is>
      </c>
    </row>
    <row r="1267">
      <c r="A1267" t="inlineStr">
        <is>
          <t>No</t>
        </is>
      </c>
      <c r="B1267" t="inlineStr">
        <is>
          <t>QH541.5.F7 P85 2005</t>
        </is>
      </c>
      <c r="C1267" t="inlineStr">
        <is>
          <t>0                      QH 0541500F  7                  P  85          2005</t>
        </is>
      </c>
      <c r="D1267" t="inlineStr">
        <is>
          <t>Liquid assets : the critical need to safeguard freshwater ecosystems / Sandra Postel ; Lisa Mastny, editor.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Postel, Sandra.</t>
        </is>
      </c>
      <c r="L1267" t="inlineStr">
        <is>
          <t>Washington, D.C. : Worldwatch Institute, c2005.</t>
        </is>
      </c>
      <c r="M1267" t="inlineStr">
        <is>
          <t>2005</t>
        </is>
      </c>
      <c r="O1267" t="inlineStr">
        <is>
          <t>eng</t>
        </is>
      </c>
      <c r="P1267" t="inlineStr">
        <is>
          <t>dcu</t>
        </is>
      </c>
      <c r="Q1267" t="inlineStr">
        <is>
          <t>State of the world library</t>
        </is>
      </c>
      <c r="R1267" t="inlineStr">
        <is>
          <t xml:space="preserve">QH </t>
        </is>
      </c>
      <c r="S1267" t="n">
        <v>2</v>
      </c>
      <c r="T1267" t="n">
        <v>2</v>
      </c>
      <c r="U1267" t="inlineStr">
        <is>
          <t>2005-10-31</t>
        </is>
      </c>
      <c r="V1267" t="inlineStr">
        <is>
          <t>2005-10-31</t>
        </is>
      </c>
      <c r="W1267" t="inlineStr">
        <is>
          <t>2005-10-31</t>
        </is>
      </c>
      <c r="X1267" t="inlineStr">
        <is>
          <t>2005-10-31</t>
        </is>
      </c>
      <c r="Y1267" t="n">
        <v>506</v>
      </c>
      <c r="Z1267" t="n">
        <v>428</v>
      </c>
      <c r="AA1267" t="n">
        <v>435</v>
      </c>
      <c r="AB1267" t="n">
        <v>7</v>
      </c>
      <c r="AC1267" t="n">
        <v>7</v>
      </c>
      <c r="AD1267" t="n">
        <v>21</v>
      </c>
      <c r="AE1267" t="n">
        <v>21</v>
      </c>
      <c r="AF1267" t="n">
        <v>7</v>
      </c>
      <c r="AG1267" t="n">
        <v>7</v>
      </c>
      <c r="AH1267" t="n">
        <v>4</v>
      </c>
      <c r="AI1267" t="n">
        <v>4</v>
      </c>
      <c r="AJ1267" t="n">
        <v>10</v>
      </c>
      <c r="AK1267" t="n">
        <v>10</v>
      </c>
      <c r="AL1267" t="n">
        <v>5</v>
      </c>
      <c r="AM1267" t="n">
        <v>5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HYPERLINK("http://catalog.hathitrust.org/Record/005072064","HathiTrust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HYPERLINK("https://creighton-primo.hosted.exlibrisgroup.com/primo-explore/search?tab=default_tab&amp;search_scope=EVERYTHING&amp;vid=01CRU&amp;lang=en_US&amp;offset=0&amp;query=any,contains,991004680369702656","Catalog Record")</f>
        <v/>
      </c>
      <c r="AT1267">
        <f>HYPERLINK("http://www.worldcat.org/oclc/61172821","WorldCat Record")</f>
        <v/>
      </c>
      <c r="AU1267" t="inlineStr">
        <is>
          <t>978153:eng</t>
        </is>
      </c>
      <c r="AV1267" t="inlineStr">
        <is>
          <t>61172821</t>
        </is>
      </c>
      <c r="AW1267" t="inlineStr">
        <is>
          <t>991004680369702656</t>
        </is>
      </c>
      <c r="AX1267" t="inlineStr">
        <is>
          <t>991004680369702656</t>
        </is>
      </c>
      <c r="AY1267" t="inlineStr">
        <is>
          <t>2272758790002656</t>
        </is>
      </c>
      <c r="AZ1267" t="inlineStr">
        <is>
          <t>BOOK</t>
        </is>
      </c>
      <c r="BB1267" t="inlineStr">
        <is>
          <t>9781878071767</t>
        </is>
      </c>
      <c r="BC1267" t="inlineStr">
        <is>
          <t>32285005143358</t>
        </is>
      </c>
      <c r="BD1267" t="inlineStr">
        <is>
          <t>893260040</t>
        </is>
      </c>
    </row>
    <row r="1268">
      <c r="A1268" t="inlineStr">
        <is>
          <t>No</t>
        </is>
      </c>
      <c r="B1268" t="inlineStr">
        <is>
          <t>QH541.5.F7 R4</t>
        </is>
      </c>
      <c r="C1268" t="inlineStr">
        <is>
          <t>0                      QH 0541500F  7                  R  4</t>
        </is>
      </c>
      <c r="D1268" t="inlineStr">
        <is>
          <t>Ecology of inland waters and estuaries.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Reid, George Kell.</t>
        </is>
      </c>
      <c r="L1268" t="inlineStr">
        <is>
          <t>New York, Reinhold [1961]</t>
        </is>
      </c>
      <c r="M1268" t="inlineStr">
        <is>
          <t>1961</t>
        </is>
      </c>
      <c r="O1268" t="inlineStr">
        <is>
          <t>eng</t>
        </is>
      </c>
      <c r="P1268" t="inlineStr">
        <is>
          <t>nyu</t>
        </is>
      </c>
      <c r="Q1268" t="inlineStr">
        <is>
          <t>Reinhold books in the biological sciences</t>
        </is>
      </c>
      <c r="R1268" t="inlineStr">
        <is>
          <t xml:space="preserve">QH </t>
        </is>
      </c>
      <c r="S1268" t="n">
        <v>99</v>
      </c>
      <c r="T1268" t="n">
        <v>99</v>
      </c>
      <c r="U1268" t="inlineStr">
        <is>
          <t>1999-11-04</t>
        </is>
      </c>
      <c r="V1268" t="inlineStr">
        <is>
          <t>1999-11-04</t>
        </is>
      </c>
      <c r="W1268" t="inlineStr">
        <is>
          <t>1991-10-02</t>
        </is>
      </c>
      <c r="X1268" t="inlineStr">
        <is>
          <t>1991-10-02</t>
        </is>
      </c>
      <c r="Y1268" t="n">
        <v>993</v>
      </c>
      <c r="Z1268" t="n">
        <v>833</v>
      </c>
      <c r="AA1268" t="n">
        <v>1076</v>
      </c>
      <c r="AB1268" t="n">
        <v>6</v>
      </c>
      <c r="AC1268" t="n">
        <v>7</v>
      </c>
      <c r="AD1268" t="n">
        <v>26</v>
      </c>
      <c r="AE1268" t="n">
        <v>33</v>
      </c>
      <c r="AF1268" t="n">
        <v>11</v>
      </c>
      <c r="AG1268" t="n">
        <v>15</v>
      </c>
      <c r="AH1268" t="n">
        <v>3</v>
      </c>
      <c r="AI1268" t="n">
        <v>6</v>
      </c>
      <c r="AJ1268" t="n">
        <v>13</v>
      </c>
      <c r="AK1268" t="n">
        <v>16</v>
      </c>
      <c r="AL1268" t="n">
        <v>4</v>
      </c>
      <c r="AM1268" t="n">
        <v>5</v>
      </c>
      <c r="AN1268" t="n">
        <v>0</v>
      </c>
      <c r="AO1268" t="n">
        <v>0</v>
      </c>
      <c r="AP1268" t="inlineStr">
        <is>
          <t>Yes</t>
        </is>
      </c>
      <c r="AQ1268" t="inlineStr">
        <is>
          <t>No</t>
        </is>
      </c>
      <c r="AR1268">
        <f>HYPERLINK("http://catalog.hathitrust.org/Record/001492781","HathiTrust Record")</f>
        <v/>
      </c>
      <c r="AS1268">
        <f>HYPERLINK("https://creighton-primo.hosted.exlibrisgroup.com/primo-explore/search?tab=default_tab&amp;search_scope=EVERYTHING&amp;vid=01CRU&amp;lang=en_US&amp;offset=0&amp;query=any,contains,991002144239702656","Catalog Record")</f>
        <v/>
      </c>
      <c r="AT1268">
        <f>HYPERLINK("http://www.worldcat.org/oclc/271205","WorldCat Record")</f>
        <v/>
      </c>
      <c r="AU1268" t="inlineStr">
        <is>
          <t>1399677:eng</t>
        </is>
      </c>
      <c r="AV1268" t="inlineStr">
        <is>
          <t>271205</t>
        </is>
      </c>
      <c r="AW1268" t="inlineStr">
        <is>
          <t>991002144239702656</t>
        </is>
      </c>
      <c r="AX1268" t="inlineStr">
        <is>
          <t>991002144239702656</t>
        </is>
      </c>
      <c r="AY1268" t="inlineStr">
        <is>
          <t>2261940020002656</t>
        </is>
      </c>
      <c r="AZ1268" t="inlineStr">
        <is>
          <t>BOOK</t>
        </is>
      </c>
      <c r="BC1268" t="inlineStr">
        <is>
          <t>32285000716430</t>
        </is>
      </c>
      <c r="BD1268" t="inlineStr">
        <is>
          <t>893534871</t>
        </is>
      </c>
    </row>
    <row r="1269">
      <c r="A1269" t="inlineStr">
        <is>
          <t>No</t>
        </is>
      </c>
      <c r="B1269" t="inlineStr">
        <is>
          <t>QH541.5.F7 S7313 1985</t>
        </is>
      </c>
      <c r="C1269" t="inlineStr">
        <is>
          <t>0                      QH 0541500F  7                  S  7313        1985</t>
        </is>
      </c>
      <c r="D1269" t="inlineStr">
        <is>
          <t>Freshwater ecosystems : modelling and simulation / Milan Straškraba, Albrecht H. Gnauck.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Straškraba, Milan.</t>
        </is>
      </c>
      <c r="L1269" t="inlineStr">
        <is>
          <t>Amsterdam ; New York : Elsevier, 1985.</t>
        </is>
      </c>
      <c r="M1269" t="inlineStr">
        <is>
          <t>1985</t>
        </is>
      </c>
      <c r="O1269" t="inlineStr">
        <is>
          <t>eng</t>
        </is>
      </c>
      <c r="P1269" t="inlineStr">
        <is>
          <t xml:space="preserve">ne </t>
        </is>
      </c>
      <c r="Q1269" t="inlineStr">
        <is>
          <t>Developments in environmental modelling ; 8</t>
        </is>
      </c>
      <c r="R1269" t="inlineStr">
        <is>
          <t xml:space="preserve">QH </t>
        </is>
      </c>
      <c r="S1269" t="n">
        <v>8</v>
      </c>
      <c r="T1269" t="n">
        <v>8</v>
      </c>
      <c r="U1269" t="inlineStr">
        <is>
          <t>1999-11-04</t>
        </is>
      </c>
      <c r="V1269" t="inlineStr">
        <is>
          <t>1999-11-04</t>
        </is>
      </c>
      <c r="W1269" t="inlineStr">
        <is>
          <t>1993-04-30</t>
        </is>
      </c>
      <c r="X1269" t="inlineStr">
        <is>
          <t>1993-04-30</t>
        </is>
      </c>
      <c r="Y1269" t="n">
        <v>251</v>
      </c>
      <c r="Z1269" t="n">
        <v>157</v>
      </c>
      <c r="AA1269" t="n">
        <v>201</v>
      </c>
      <c r="AB1269" t="n">
        <v>2</v>
      </c>
      <c r="AC1269" t="n">
        <v>3</v>
      </c>
      <c r="AD1269" t="n">
        <v>2</v>
      </c>
      <c r="AE1269" t="n">
        <v>6</v>
      </c>
      <c r="AF1269" t="n">
        <v>0</v>
      </c>
      <c r="AG1269" t="n">
        <v>2</v>
      </c>
      <c r="AH1269" t="n">
        <v>1</v>
      </c>
      <c r="AI1269" t="n">
        <v>3</v>
      </c>
      <c r="AJ1269" t="n">
        <v>1</v>
      </c>
      <c r="AK1269" t="n">
        <v>1</v>
      </c>
      <c r="AL1269" t="n">
        <v>1</v>
      </c>
      <c r="AM1269" t="n">
        <v>2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HYPERLINK("http://catalog.hathitrust.org/Record/000419364","HathiTrust Record")</f>
        <v/>
      </c>
      <c r="AS1269">
        <f>HYPERLINK("https://creighton-primo.hosted.exlibrisgroup.com/primo-explore/search?tab=default_tab&amp;search_scope=EVERYTHING&amp;vid=01CRU&amp;lang=en_US&amp;offset=0&amp;query=any,contains,991000583639702656","Catalog Record")</f>
        <v/>
      </c>
      <c r="AT1269">
        <f>HYPERLINK("http://www.worldcat.org/oclc/11755239","WorldCat Record")</f>
        <v/>
      </c>
      <c r="AU1269" t="inlineStr">
        <is>
          <t>4299044:eng</t>
        </is>
      </c>
      <c r="AV1269" t="inlineStr">
        <is>
          <t>11755239</t>
        </is>
      </c>
      <c r="AW1269" t="inlineStr">
        <is>
          <t>991000583639702656</t>
        </is>
      </c>
      <c r="AX1269" t="inlineStr">
        <is>
          <t>991000583639702656</t>
        </is>
      </c>
      <c r="AY1269" t="inlineStr">
        <is>
          <t>2270652210002656</t>
        </is>
      </c>
      <c r="AZ1269" t="inlineStr">
        <is>
          <t>BOOK</t>
        </is>
      </c>
      <c r="BB1269" t="inlineStr">
        <is>
          <t>9780444995674</t>
        </is>
      </c>
      <c r="BC1269" t="inlineStr">
        <is>
          <t>32285001642569</t>
        </is>
      </c>
      <c r="BD1269" t="inlineStr">
        <is>
          <t>893432085</t>
        </is>
      </c>
    </row>
    <row r="1270">
      <c r="A1270" t="inlineStr">
        <is>
          <t>No</t>
        </is>
      </c>
      <c r="B1270" t="inlineStr">
        <is>
          <t>QH541.5.F7 Z37</t>
        </is>
      </c>
      <c r="C1270" t="inlineStr">
        <is>
          <t>0                      QH 0541500F  7                  Z  37</t>
        </is>
      </c>
      <c r="D1270" t="inlineStr">
        <is>
          <t>Predation and freshwater communities / Thomas M. Zaret.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Zaret, Thomas M., 1945-</t>
        </is>
      </c>
      <c r="L1270" t="inlineStr">
        <is>
          <t>New Haven : Yale University Press, c1980.</t>
        </is>
      </c>
      <c r="M1270" t="inlineStr">
        <is>
          <t>1980</t>
        </is>
      </c>
      <c r="O1270" t="inlineStr">
        <is>
          <t>eng</t>
        </is>
      </c>
      <c r="P1270" t="inlineStr">
        <is>
          <t>ctu</t>
        </is>
      </c>
      <c r="R1270" t="inlineStr">
        <is>
          <t xml:space="preserve">QH </t>
        </is>
      </c>
      <c r="S1270" t="n">
        <v>2</v>
      </c>
      <c r="T1270" t="n">
        <v>2</v>
      </c>
      <c r="U1270" t="inlineStr">
        <is>
          <t>2008-02-23</t>
        </is>
      </c>
      <c r="V1270" t="inlineStr">
        <is>
          <t>2008-02-23</t>
        </is>
      </c>
      <c r="W1270" t="inlineStr">
        <is>
          <t>1993-04-30</t>
        </is>
      </c>
      <c r="X1270" t="inlineStr">
        <is>
          <t>1993-04-30</t>
        </is>
      </c>
      <c r="Y1270" t="n">
        <v>461</v>
      </c>
      <c r="Z1270" t="n">
        <v>366</v>
      </c>
      <c r="AA1270" t="n">
        <v>368</v>
      </c>
      <c r="AB1270" t="n">
        <v>3</v>
      </c>
      <c r="AC1270" t="n">
        <v>3</v>
      </c>
      <c r="AD1270" t="n">
        <v>13</v>
      </c>
      <c r="AE1270" t="n">
        <v>13</v>
      </c>
      <c r="AF1270" t="n">
        <v>3</v>
      </c>
      <c r="AG1270" t="n">
        <v>3</v>
      </c>
      <c r="AH1270" t="n">
        <v>5</v>
      </c>
      <c r="AI1270" t="n">
        <v>5</v>
      </c>
      <c r="AJ1270" t="n">
        <v>6</v>
      </c>
      <c r="AK1270" t="n">
        <v>6</v>
      </c>
      <c r="AL1270" t="n">
        <v>2</v>
      </c>
      <c r="AM1270" t="n">
        <v>2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HYPERLINK("http://catalog.hathitrust.org/Record/000099069","HathiTrust Record")</f>
        <v/>
      </c>
      <c r="AS1270">
        <f>HYPERLINK("https://creighton-primo.hosted.exlibrisgroup.com/primo-explore/search?tab=default_tab&amp;search_scope=EVERYTHING&amp;vid=01CRU&amp;lang=en_US&amp;offset=0&amp;query=any,contains,991004985919702656","Catalog Record")</f>
        <v/>
      </c>
      <c r="AT1270">
        <f>HYPERLINK("http://www.worldcat.org/oclc/6448256","WorldCat Record")</f>
        <v/>
      </c>
      <c r="AU1270" t="inlineStr">
        <is>
          <t>22634568:eng</t>
        </is>
      </c>
      <c r="AV1270" t="inlineStr">
        <is>
          <t>6448256</t>
        </is>
      </c>
      <c r="AW1270" t="inlineStr">
        <is>
          <t>991004985919702656</t>
        </is>
      </c>
      <c r="AX1270" t="inlineStr">
        <is>
          <t>991004985919702656</t>
        </is>
      </c>
      <c r="AY1270" t="inlineStr">
        <is>
          <t>2269825020002656</t>
        </is>
      </c>
      <c r="AZ1270" t="inlineStr">
        <is>
          <t>BOOK</t>
        </is>
      </c>
      <c r="BB1270" t="inlineStr">
        <is>
          <t>9780300023497</t>
        </is>
      </c>
      <c r="BC1270" t="inlineStr">
        <is>
          <t>32285001642577</t>
        </is>
      </c>
      <c r="BD1270" t="inlineStr">
        <is>
          <t>893507456</t>
        </is>
      </c>
    </row>
    <row r="1271">
      <c r="A1271" t="inlineStr">
        <is>
          <t>No</t>
        </is>
      </c>
      <c r="B1271" t="inlineStr">
        <is>
          <t>QH541.5.G37 S74 1993</t>
        </is>
      </c>
      <c r="C1271" t="inlineStr">
        <is>
          <t>0                      QH 0541500G  37                 S  74          1993</t>
        </is>
      </c>
      <c r="D1271" t="inlineStr">
        <is>
          <t>Noah's garden : restoring the ecology of our own back yards / Sara Stein ; with illustrations by the author.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Stein, Sara Bonnett.</t>
        </is>
      </c>
      <c r="L1271" t="inlineStr">
        <is>
          <t>Boston : Houghton Mifflin, 1993.</t>
        </is>
      </c>
      <c r="M1271" t="inlineStr">
        <is>
          <t>1993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QH </t>
        </is>
      </c>
      <c r="S1271" t="n">
        <v>10</v>
      </c>
      <c r="T1271" t="n">
        <v>10</v>
      </c>
      <c r="U1271" t="inlineStr">
        <is>
          <t>2005-09-27</t>
        </is>
      </c>
      <c r="V1271" t="inlineStr">
        <is>
          <t>2005-09-27</t>
        </is>
      </c>
      <c r="W1271" t="inlineStr">
        <is>
          <t>1993-07-22</t>
        </is>
      </c>
      <c r="X1271" t="inlineStr">
        <is>
          <t>1993-07-22</t>
        </is>
      </c>
      <c r="Y1271" t="n">
        <v>842</v>
      </c>
      <c r="Z1271" t="n">
        <v>795</v>
      </c>
      <c r="AA1271" t="n">
        <v>801</v>
      </c>
      <c r="AB1271" t="n">
        <v>3</v>
      </c>
      <c r="AC1271" t="n">
        <v>3</v>
      </c>
      <c r="AD1271" t="n">
        <v>6</v>
      </c>
      <c r="AE1271" t="n">
        <v>6</v>
      </c>
      <c r="AF1271" t="n">
        <v>4</v>
      </c>
      <c r="AG1271" t="n">
        <v>4</v>
      </c>
      <c r="AH1271" t="n">
        <v>1</v>
      </c>
      <c r="AI1271" t="n">
        <v>1</v>
      </c>
      <c r="AJ1271" t="n">
        <v>2</v>
      </c>
      <c r="AK1271" t="n">
        <v>2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HYPERLINK("http://catalog.hathitrust.org/Record/007550904","HathiTrust Record")</f>
        <v/>
      </c>
      <c r="AS1271">
        <f>HYPERLINK("https://creighton-primo.hosted.exlibrisgroup.com/primo-explore/search?tab=default_tab&amp;search_scope=EVERYTHING&amp;vid=01CRU&amp;lang=en_US&amp;offset=0&amp;query=any,contains,991002142249702656","Catalog Record")</f>
        <v/>
      </c>
      <c r="AT1271">
        <f>HYPERLINK("http://www.worldcat.org/oclc/27434860","WorldCat Record")</f>
        <v/>
      </c>
      <c r="AU1271" t="inlineStr">
        <is>
          <t>1779793582:eng</t>
        </is>
      </c>
      <c r="AV1271" t="inlineStr">
        <is>
          <t>27434860</t>
        </is>
      </c>
      <c r="AW1271" t="inlineStr">
        <is>
          <t>991002142249702656</t>
        </is>
      </c>
      <c r="AX1271" t="inlineStr">
        <is>
          <t>991002142249702656</t>
        </is>
      </c>
      <c r="AY1271" t="inlineStr">
        <is>
          <t>2255931240002656</t>
        </is>
      </c>
      <c r="AZ1271" t="inlineStr">
        <is>
          <t>BOOK</t>
        </is>
      </c>
      <c r="BB1271" t="inlineStr">
        <is>
          <t>9780395653739</t>
        </is>
      </c>
      <c r="BC1271" t="inlineStr">
        <is>
          <t>32285001703627</t>
        </is>
      </c>
      <c r="BD1271" t="inlineStr">
        <is>
          <t>893322608</t>
        </is>
      </c>
    </row>
    <row r="1272">
      <c r="A1272" t="inlineStr">
        <is>
          <t>No</t>
        </is>
      </c>
      <c r="B1272" t="inlineStr">
        <is>
          <t>QH541.5.I8 G67 1979</t>
        </is>
      </c>
      <c r="C1272" t="inlineStr">
        <is>
          <t>0                      QH 0541500I  8                  G  67          1979</t>
        </is>
      </c>
      <c r="D1272" t="inlineStr">
        <is>
          <t>Island ecology / M. L. Gorman.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Gorman, M. L. (Martyn L.)</t>
        </is>
      </c>
      <c r="L1272" t="inlineStr">
        <is>
          <t>London : Chapman and Hall ; New York : Halsted Press, 1979.</t>
        </is>
      </c>
      <c r="M1272" t="inlineStr">
        <is>
          <t>1979</t>
        </is>
      </c>
      <c r="O1272" t="inlineStr">
        <is>
          <t>eng</t>
        </is>
      </c>
      <c r="P1272" t="inlineStr">
        <is>
          <t>enk</t>
        </is>
      </c>
      <c r="Q1272" t="inlineStr">
        <is>
          <t>Outline studies in ecology</t>
        </is>
      </c>
      <c r="R1272" t="inlineStr">
        <is>
          <t xml:space="preserve">QH </t>
        </is>
      </c>
      <c r="S1272" t="n">
        <v>5</v>
      </c>
      <c r="T1272" t="n">
        <v>5</v>
      </c>
      <c r="U1272" t="inlineStr">
        <is>
          <t>2007-02-06</t>
        </is>
      </c>
      <c r="V1272" t="inlineStr">
        <is>
          <t>2007-02-06</t>
        </is>
      </c>
      <c r="W1272" t="inlineStr">
        <is>
          <t>1995-03-17</t>
        </is>
      </c>
      <c r="X1272" t="inlineStr">
        <is>
          <t>1995-03-17</t>
        </is>
      </c>
      <c r="Y1272" t="n">
        <v>347</v>
      </c>
      <c r="Z1272" t="n">
        <v>177</v>
      </c>
      <c r="AA1272" t="n">
        <v>191</v>
      </c>
      <c r="AB1272" t="n">
        <v>2</v>
      </c>
      <c r="AC1272" t="n">
        <v>2</v>
      </c>
      <c r="AD1272" t="n">
        <v>2</v>
      </c>
      <c r="AE1272" t="n">
        <v>3</v>
      </c>
      <c r="AF1272" t="n">
        <v>0</v>
      </c>
      <c r="AG1272" t="n">
        <v>1</v>
      </c>
      <c r="AH1272" t="n">
        <v>1</v>
      </c>
      <c r="AI1272" t="n">
        <v>1</v>
      </c>
      <c r="AJ1272" t="n">
        <v>1</v>
      </c>
      <c r="AK1272" t="n">
        <v>2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HYPERLINK("http://catalog.hathitrust.org/Record/007159643","HathiTrust Record")</f>
        <v/>
      </c>
      <c r="AS1272">
        <f>HYPERLINK("https://creighton-primo.hosted.exlibrisgroup.com/primo-explore/search?tab=default_tab&amp;search_scope=EVERYTHING&amp;vid=01CRU&amp;lang=en_US&amp;offset=0&amp;query=any,contains,991004914889702656","Catalog Record")</f>
        <v/>
      </c>
      <c r="AT1272">
        <f>HYPERLINK("http://www.worldcat.org/oclc/6015739","WorldCat Record")</f>
        <v/>
      </c>
      <c r="AU1272" t="inlineStr">
        <is>
          <t>20676041:eng</t>
        </is>
      </c>
      <c r="AV1272" t="inlineStr">
        <is>
          <t>6015739</t>
        </is>
      </c>
      <c r="AW1272" t="inlineStr">
        <is>
          <t>991004914889702656</t>
        </is>
      </c>
      <c r="AX1272" t="inlineStr">
        <is>
          <t>991004914889702656</t>
        </is>
      </c>
      <c r="AY1272" t="inlineStr">
        <is>
          <t>2269065060002656</t>
        </is>
      </c>
      <c r="AZ1272" t="inlineStr">
        <is>
          <t>BOOK</t>
        </is>
      </c>
      <c r="BB1272" t="inlineStr">
        <is>
          <t>9780412155406</t>
        </is>
      </c>
      <c r="BC1272" t="inlineStr">
        <is>
          <t>32285002020443</t>
        </is>
      </c>
      <c r="BD1272" t="inlineStr">
        <is>
          <t>893436891</t>
        </is>
      </c>
    </row>
    <row r="1273">
      <c r="A1273" t="inlineStr">
        <is>
          <t>No</t>
        </is>
      </c>
      <c r="B1273" t="inlineStr">
        <is>
          <t>QH541.5.I8 W34 1975</t>
        </is>
      </c>
      <c r="C1273" t="inlineStr">
        <is>
          <t>0                      QH 0541500I  8                  W  34          1975</t>
        </is>
      </c>
      <c r="D1273" t="inlineStr">
        <is>
          <t>Island life : or, The phenomena and causes of insular faunas and floras, including a revision and attempted solution of the problem of geological climates / by Alfred Russel Wallace.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Yes</t>
        </is>
      </c>
      <c r="J1273" t="inlineStr">
        <is>
          <t>0</t>
        </is>
      </c>
      <c r="K1273" t="inlineStr">
        <is>
          <t>Wallace, Alfred Russel, 1823-1913.</t>
        </is>
      </c>
      <c r="L1273" t="inlineStr">
        <is>
          <t>New York : AMS Press, 1975.</t>
        </is>
      </c>
      <c r="M1273" t="inlineStr">
        <is>
          <t>1975</t>
        </is>
      </c>
      <c r="N1273" t="inlineStr">
        <is>
          <t>3d and rev.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QH </t>
        </is>
      </c>
      <c r="S1273" t="n">
        <v>6</v>
      </c>
      <c r="T1273" t="n">
        <v>6</v>
      </c>
      <c r="U1273" t="inlineStr">
        <is>
          <t>2000-02-21</t>
        </is>
      </c>
      <c r="V1273" t="inlineStr">
        <is>
          <t>2000-02-21</t>
        </is>
      </c>
      <c r="W1273" t="inlineStr">
        <is>
          <t>1992-12-16</t>
        </is>
      </c>
      <c r="X1273" t="inlineStr">
        <is>
          <t>1992-12-16</t>
        </is>
      </c>
      <c r="Y1273" t="n">
        <v>67</v>
      </c>
      <c r="Z1273" t="n">
        <v>61</v>
      </c>
      <c r="AA1273" t="n">
        <v>1069</v>
      </c>
      <c r="AB1273" t="n">
        <v>1</v>
      </c>
      <c r="AC1273" t="n">
        <v>15</v>
      </c>
      <c r="AD1273" t="n">
        <v>2</v>
      </c>
      <c r="AE1273" t="n">
        <v>48</v>
      </c>
      <c r="AF1273" t="n">
        <v>0</v>
      </c>
      <c r="AG1273" t="n">
        <v>17</v>
      </c>
      <c r="AH1273" t="n">
        <v>1</v>
      </c>
      <c r="AI1273" t="n">
        <v>9</v>
      </c>
      <c r="AJ1273" t="n">
        <v>2</v>
      </c>
      <c r="AK1273" t="n">
        <v>17</v>
      </c>
      <c r="AL1273" t="n">
        <v>0</v>
      </c>
      <c r="AM1273" t="n">
        <v>12</v>
      </c>
      <c r="AN1273" t="n">
        <v>0</v>
      </c>
      <c r="AO1273" t="n">
        <v>2</v>
      </c>
      <c r="AP1273" t="inlineStr">
        <is>
          <t>No</t>
        </is>
      </c>
      <c r="AQ1273" t="inlineStr">
        <is>
          <t>Yes</t>
        </is>
      </c>
      <c r="AR1273">
        <f>HYPERLINK("http://catalog.hathitrust.org/Record/001492785","HathiTrust Record")</f>
        <v/>
      </c>
      <c r="AS1273">
        <f>HYPERLINK("https://creighton-primo.hosted.exlibrisgroup.com/primo-explore/search?tab=default_tab&amp;search_scope=EVERYTHING&amp;vid=01CRU&amp;lang=en_US&amp;offset=0&amp;query=any,contains,991003726229702656","Catalog Record")</f>
        <v/>
      </c>
      <c r="AT1273">
        <f>HYPERLINK("http://www.worldcat.org/oclc/1373579","WorldCat Record")</f>
        <v/>
      </c>
      <c r="AU1273" t="inlineStr">
        <is>
          <t>118055566:eng</t>
        </is>
      </c>
      <c r="AV1273" t="inlineStr">
        <is>
          <t>1373579</t>
        </is>
      </c>
      <c r="AW1273" t="inlineStr">
        <is>
          <t>991003726229702656</t>
        </is>
      </c>
      <c r="AX1273" t="inlineStr">
        <is>
          <t>991003726229702656</t>
        </is>
      </c>
      <c r="AY1273" t="inlineStr">
        <is>
          <t>2256451450002656</t>
        </is>
      </c>
      <c r="AZ1273" t="inlineStr">
        <is>
          <t>BOOK</t>
        </is>
      </c>
      <c r="BB1273" t="inlineStr">
        <is>
          <t>9780404081836</t>
        </is>
      </c>
      <c r="BC1273" t="inlineStr">
        <is>
          <t>32285001441848</t>
        </is>
      </c>
      <c r="BD1273" t="inlineStr">
        <is>
          <t>893781318</t>
        </is>
      </c>
    </row>
    <row r="1274">
      <c r="A1274" t="inlineStr">
        <is>
          <t>No</t>
        </is>
      </c>
      <c r="B1274" t="inlineStr">
        <is>
          <t>QH541.5.I8 W50</t>
        </is>
      </c>
      <c r="C1274" t="inlineStr">
        <is>
          <t>0                      QH 0541500I  8                  W  50</t>
        </is>
      </c>
      <c r="D1274" t="inlineStr">
        <is>
          <t>Island populations / Mark Williamson.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Williamson, M. H. (Mark Herbert)</t>
        </is>
      </c>
      <c r="L1274" t="inlineStr">
        <is>
          <t>Oxford ; New York : Oxford University Press, 1981.</t>
        </is>
      </c>
      <c r="M1274" t="inlineStr">
        <is>
          <t>1981</t>
        </is>
      </c>
      <c r="O1274" t="inlineStr">
        <is>
          <t>eng</t>
        </is>
      </c>
      <c r="P1274" t="inlineStr">
        <is>
          <t>enk</t>
        </is>
      </c>
      <c r="R1274" t="inlineStr">
        <is>
          <t xml:space="preserve">QH </t>
        </is>
      </c>
      <c r="S1274" t="n">
        <v>5</v>
      </c>
      <c r="T1274" t="n">
        <v>5</v>
      </c>
      <c r="U1274" t="inlineStr">
        <is>
          <t>2007-02-06</t>
        </is>
      </c>
      <c r="V1274" t="inlineStr">
        <is>
          <t>2007-02-06</t>
        </is>
      </c>
      <c r="W1274" t="inlineStr">
        <is>
          <t>1992-12-15</t>
        </is>
      </c>
      <c r="X1274" t="inlineStr">
        <is>
          <t>1992-12-15</t>
        </is>
      </c>
      <c r="Y1274" t="n">
        <v>540</v>
      </c>
      <c r="Z1274" t="n">
        <v>398</v>
      </c>
      <c r="AA1274" t="n">
        <v>408</v>
      </c>
      <c r="AB1274" t="n">
        <v>5</v>
      </c>
      <c r="AC1274" t="n">
        <v>5</v>
      </c>
      <c r="AD1274" t="n">
        <v>16</v>
      </c>
      <c r="AE1274" t="n">
        <v>17</v>
      </c>
      <c r="AF1274" t="n">
        <v>6</v>
      </c>
      <c r="AG1274" t="n">
        <v>7</v>
      </c>
      <c r="AH1274" t="n">
        <v>3</v>
      </c>
      <c r="AI1274" t="n">
        <v>3</v>
      </c>
      <c r="AJ1274" t="n">
        <v>9</v>
      </c>
      <c r="AK1274" t="n">
        <v>10</v>
      </c>
      <c r="AL1274" t="n">
        <v>4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HYPERLINK("http://catalog.hathitrust.org/Record/000762558","HathiTrust Record")</f>
        <v/>
      </c>
      <c r="AS1274">
        <f>HYPERLINK("https://creighton-primo.hosted.exlibrisgroup.com/primo-explore/search?tab=default_tab&amp;search_scope=EVERYTHING&amp;vid=01CRU&amp;lang=en_US&amp;offset=0&amp;query=any,contains,991005150309702656","Catalog Record")</f>
        <v/>
      </c>
      <c r="AT1274">
        <f>HYPERLINK("http://www.worldcat.org/oclc/7729188","WorldCat Record")</f>
        <v/>
      </c>
      <c r="AU1274" t="inlineStr">
        <is>
          <t>363792754:eng</t>
        </is>
      </c>
      <c r="AV1274" t="inlineStr">
        <is>
          <t>7729188</t>
        </is>
      </c>
      <c r="AW1274" t="inlineStr">
        <is>
          <t>991005150309702656</t>
        </is>
      </c>
      <c r="AX1274" t="inlineStr">
        <is>
          <t>991005150309702656</t>
        </is>
      </c>
      <c r="AY1274" t="inlineStr">
        <is>
          <t>2267675890002656</t>
        </is>
      </c>
      <c r="AZ1274" t="inlineStr">
        <is>
          <t>BOOK</t>
        </is>
      </c>
      <c r="BB1274" t="inlineStr">
        <is>
          <t>9780198541349</t>
        </is>
      </c>
      <c r="BC1274" t="inlineStr">
        <is>
          <t>32285001441830</t>
        </is>
      </c>
      <c r="BD1274" t="inlineStr">
        <is>
          <t>893694820</t>
        </is>
      </c>
    </row>
    <row r="1275">
      <c r="A1275" t="inlineStr">
        <is>
          <t>No</t>
        </is>
      </c>
      <c r="B1275" t="inlineStr">
        <is>
          <t>QH541.5.L27 B37</t>
        </is>
      </c>
      <c r="C1275" t="inlineStr">
        <is>
          <t>0                      QH 0541500L  27                 B  37</t>
        </is>
      </c>
      <c r="D1275" t="inlineStr">
        <is>
          <t>Coastal lagoons : the natural history of a neglected habitat / R. S. K. Barnes.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Barnes, R. S. K. (Richard Stephen Kent)</t>
        </is>
      </c>
      <c r="L1275" t="inlineStr">
        <is>
          <t>Cambridge [Eng.] ; New York : Cambridge University Press, 1980.</t>
        </is>
      </c>
      <c r="M1275" t="inlineStr">
        <is>
          <t>1980</t>
        </is>
      </c>
      <c r="O1275" t="inlineStr">
        <is>
          <t>eng</t>
        </is>
      </c>
      <c r="P1275" t="inlineStr">
        <is>
          <t>enk</t>
        </is>
      </c>
      <c r="Q1275" t="inlineStr">
        <is>
          <t>Cambridge studies in modern biology ; 1</t>
        </is>
      </c>
      <c r="R1275" t="inlineStr">
        <is>
          <t xml:space="preserve">QH </t>
        </is>
      </c>
      <c r="S1275" t="n">
        <v>2</v>
      </c>
      <c r="T1275" t="n">
        <v>2</v>
      </c>
      <c r="U1275" t="inlineStr">
        <is>
          <t>1995-12-03</t>
        </is>
      </c>
      <c r="V1275" t="inlineStr">
        <is>
          <t>1995-12-03</t>
        </is>
      </c>
      <c r="W1275" t="inlineStr">
        <is>
          <t>1994-03-01</t>
        </is>
      </c>
      <c r="X1275" t="inlineStr">
        <is>
          <t>1994-03-01</t>
        </is>
      </c>
      <c r="Y1275" t="n">
        <v>332</v>
      </c>
      <c r="Z1275" t="n">
        <v>214</v>
      </c>
      <c r="AA1275" t="n">
        <v>214</v>
      </c>
      <c r="AB1275" t="n">
        <v>2</v>
      </c>
      <c r="AC1275" t="n">
        <v>2</v>
      </c>
      <c r="AD1275" t="n">
        <v>5</v>
      </c>
      <c r="AE1275" t="n">
        <v>5</v>
      </c>
      <c r="AF1275" t="n">
        <v>2</v>
      </c>
      <c r="AG1275" t="n">
        <v>2</v>
      </c>
      <c r="AH1275" t="n">
        <v>2</v>
      </c>
      <c r="AI1275" t="n">
        <v>2</v>
      </c>
      <c r="AJ1275" t="n">
        <v>1</v>
      </c>
      <c r="AK1275" t="n">
        <v>1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No</t>
        </is>
      </c>
      <c r="AS1275">
        <f>HYPERLINK("https://creighton-primo.hosted.exlibrisgroup.com/primo-explore/search?tab=default_tab&amp;search_scope=EVERYTHING&amp;vid=01CRU&amp;lang=en_US&amp;offset=0&amp;query=any,contains,991004985589702656","Catalog Record")</f>
        <v/>
      </c>
      <c r="AT1275">
        <f>HYPERLINK("http://www.worldcat.org/oclc/6447481","WorldCat Record")</f>
        <v/>
      </c>
      <c r="AU1275" t="inlineStr">
        <is>
          <t>796033364:eng</t>
        </is>
      </c>
      <c r="AV1275" t="inlineStr">
        <is>
          <t>6447481</t>
        </is>
      </c>
      <c r="AW1275" t="inlineStr">
        <is>
          <t>991004985589702656</t>
        </is>
      </c>
      <c r="AX1275" t="inlineStr">
        <is>
          <t>991004985589702656</t>
        </is>
      </c>
      <c r="AY1275" t="inlineStr">
        <is>
          <t>2255556950002656</t>
        </is>
      </c>
      <c r="AZ1275" t="inlineStr">
        <is>
          <t>BOOK</t>
        </is>
      </c>
      <c r="BB1275" t="inlineStr">
        <is>
          <t>9780521234221</t>
        </is>
      </c>
      <c r="BC1275" t="inlineStr">
        <is>
          <t>32285001850782</t>
        </is>
      </c>
      <c r="BD1275" t="inlineStr">
        <is>
          <t>893883183</t>
        </is>
      </c>
    </row>
    <row r="1276">
      <c r="A1276" t="inlineStr">
        <is>
          <t>No</t>
        </is>
      </c>
      <c r="B1276" t="inlineStr">
        <is>
          <t>QH541.5.L3 B43 1994</t>
        </is>
      </c>
      <c r="C1276" t="inlineStr">
        <is>
          <t>0                      QH 0541500L  3                  B  43          1994</t>
        </is>
      </c>
      <c r="D1276" t="inlineStr">
        <is>
          <t>Exploring lakeshores / Barbara J. Behm, Veronica Bonar.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Behm, Barbara, 1952-</t>
        </is>
      </c>
      <c r="L1276" t="inlineStr">
        <is>
          <t>Milwaukee : G. Stevens Pub., 1994.</t>
        </is>
      </c>
      <c r="M1276" t="inlineStr">
        <is>
          <t>1994</t>
        </is>
      </c>
      <c r="N1276" t="inlineStr">
        <is>
          <t>North American ed.</t>
        </is>
      </c>
      <c r="O1276" t="inlineStr">
        <is>
          <t>eng</t>
        </is>
      </c>
      <c r="P1276" t="inlineStr">
        <is>
          <t>wiu</t>
        </is>
      </c>
      <c r="Q1276" t="inlineStr">
        <is>
          <t>Eco-journey</t>
        </is>
      </c>
      <c r="R1276" t="inlineStr">
        <is>
          <t xml:space="preserve">QH </t>
        </is>
      </c>
      <c r="S1276" t="n">
        <v>8</v>
      </c>
      <c r="T1276" t="n">
        <v>8</v>
      </c>
      <c r="U1276" t="inlineStr">
        <is>
          <t>2010-10-10</t>
        </is>
      </c>
      <c r="V1276" t="inlineStr">
        <is>
          <t>2010-10-10</t>
        </is>
      </c>
      <c r="W1276" t="inlineStr">
        <is>
          <t>1994-03-11</t>
        </is>
      </c>
      <c r="X1276" t="inlineStr">
        <is>
          <t>1994-03-11</t>
        </is>
      </c>
      <c r="Y1276" t="n">
        <v>233</v>
      </c>
      <c r="Z1276" t="n">
        <v>224</v>
      </c>
      <c r="AA1276" t="n">
        <v>229</v>
      </c>
      <c r="AB1276" t="n">
        <v>7</v>
      </c>
      <c r="AC1276" t="n">
        <v>7</v>
      </c>
      <c r="AD1276" t="n">
        <v>0</v>
      </c>
      <c r="AE1276" t="n">
        <v>0</v>
      </c>
      <c r="AF1276" t="n">
        <v>0</v>
      </c>
      <c r="AG1276" t="n">
        <v>0</v>
      </c>
      <c r="AH1276" t="n">
        <v>0</v>
      </c>
      <c r="AI1276" t="n">
        <v>0</v>
      </c>
      <c r="AJ1276" t="n">
        <v>0</v>
      </c>
      <c r="AK1276" t="n">
        <v>0</v>
      </c>
      <c r="AL1276" t="n">
        <v>0</v>
      </c>
      <c r="AM1276" t="n">
        <v>0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HYPERLINK("https://creighton-primo.hosted.exlibrisgroup.com/primo-explore/search?tab=default_tab&amp;search_scope=EVERYTHING&amp;vid=01CRU&amp;lang=en_US&amp;offset=0&amp;query=any,contains,991004573459702656","Catalog Record")</f>
        <v/>
      </c>
      <c r="AT1276">
        <f>HYPERLINK("http://www.worldcat.org/oclc/29308937","WorldCat Record")</f>
        <v/>
      </c>
      <c r="AU1276" t="inlineStr">
        <is>
          <t>4772181561:eng</t>
        </is>
      </c>
      <c r="AV1276" t="inlineStr">
        <is>
          <t>29308937</t>
        </is>
      </c>
      <c r="AW1276" t="inlineStr">
        <is>
          <t>991004573459702656</t>
        </is>
      </c>
      <c r="AX1276" t="inlineStr">
        <is>
          <t>991004573459702656</t>
        </is>
      </c>
      <c r="AY1276" t="inlineStr">
        <is>
          <t>2262205190002656</t>
        </is>
      </c>
      <c r="AZ1276" t="inlineStr">
        <is>
          <t>BOOK</t>
        </is>
      </c>
      <c r="BB1276" t="inlineStr">
        <is>
          <t>9780836810653</t>
        </is>
      </c>
      <c r="BC1276" t="inlineStr">
        <is>
          <t>32285001855518</t>
        </is>
      </c>
      <c r="BD1276" t="inlineStr">
        <is>
          <t>893311476</t>
        </is>
      </c>
    </row>
    <row r="1277">
      <c r="A1277" t="inlineStr">
        <is>
          <t>No</t>
        </is>
      </c>
      <c r="B1277" t="inlineStr">
        <is>
          <t>QH541.5.L3 J63 1980</t>
        </is>
      </c>
      <c r="C1277" t="inlineStr">
        <is>
          <t>0                      QH 0541500L  3                  J  63          1980</t>
        </is>
      </c>
      <c r="D1277" t="inlineStr">
        <is>
          <t>Lake management / S. E. Jørgensen.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Jørgensen, Sven Erik, 1934-</t>
        </is>
      </c>
      <c r="L1277" t="inlineStr">
        <is>
          <t>Oxford ; New York : Pergamon Press, c1980.</t>
        </is>
      </c>
      <c r="M1277" t="inlineStr">
        <is>
          <t>1979</t>
        </is>
      </c>
      <c r="O1277" t="inlineStr">
        <is>
          <t>eng</t>
        </is>
      </c>
      <c r="P1277" t="inlineStr">
        <is>
          <t>enk</t>
        </is>
      </c>
      <c r="Q1277" t="inlineStr">
        <is>
          <t>Water development, supply, and management ; v. 14</t>
        </is>
      </c>
      <c r="R1277" t="inlineStr">
        <is>
          <t xml:space="preserve">QH </t>
        </is>
      </c>
      <c r="S1277" t="n">
        <v>11</v>
      </c>
      <c r="T1277" t="n">
        <v>11</v>
      </c>
      <c r="U1277" t="inlineStr">
        <is>
          <t>1999-11-07</t>
        </is>
      </c>
      <c r="V1277" t="inlineStr">
        <is>
          <t>1999-11-07</t>
        </is>
      </c>
      <c r="W1277" t="inlineStr">
        <is>
          <t>1992-11-07</t>
        </is>
      </c>
      <c r="X1277" t="inlineStr">
        <is>
          <t>1992-11-07</t>
        </is>
      </c>
      <c r="Y1277" t="n">
        <v>214</v>
      </c>
      <c r="Z1277" t="n">
        <v>128</v>
      </c>
      <c r="AA1277" t="n">
        <v>135</v>
      </c>
      <c r="AB1277" t="n">
        <v>2</v>
      </c>
      <c r="AC1277" t="n">
        <v>2</v>
      </c>
      <c r="AD1277" t="n">
        <v>2</v>
      </c>
      <c r="AE1277" t="n">
        <v>2</v>
      </c>
      <c r="AF1277" t="n">
        <v>0</v>
      </c>
      <c r="AG1277" t="n">
        <v>0</v>
      </c>
      <c r="AH1277" t="n">
        <v>1</v>
      </c>
      <c r="AI1277" t="n">
        <v>1</v>
      </c>
      <c r="AJ1277" t="n">
        <v>1</v>
      </c>
      <c r="AK1277" t="n">
        <v>1</v>
      </c>
      <c r="AL1277" t="n">
        <v>1</v>
      </c>
      <c r="AM1277" t="n">
        <v>1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HYPERLINK("http://catalog.hathitrust.org/Record/000682546","HathiTrust Record")</f>
        <v/>
      </c>
      <c r="AS1277">
        <f>HYPERLINK("https://creighton-primo.hosted.exlibrisgroup.com/primo-explore/search?tab=default_tab&amp;search_scope=EVERYTHING&amp;vid=01CRU&amp;lang=en_US&amp;offset=0&amp;query=any,contains,991004824569702656","Catalog Record")</f>
        <v/>
      </c>
      <c r="AT1277">
        <f>HYPERLINK("http://www.worldcat.org/oclc/5352872","WorldCat Record")</f>
        <v/>
      </c>
      <c r="AU1277" t="inlineStr">
        <is>
          <t>407318:eng</t>
        </is>
      </c>
      <c r="AV1277" t="inlineStr">
        <is>
          <t>5352872</t>
        </is>
      </c>
      <c r="AW1277" t="inlineStr">
        <is>
          <t>991004824569702656</t>
        </is>
      </c>
      <c r="AX1277" t="inlineStr">
        <is>
          <t>991004824569702656</t>
        </is>
      </c>
      <c r="AY1277" t="inlineStr">
        <is>
          <t>2258003720002656</t>
        </is>
      </c>
      <c r="AZ1277" t="inlineStr">
        <is>
          <t>BOOK</t>
        </is>
      </c>
      <c r="BB1277" t="inlineStr">
        <is>
          <t>9780080224329</t>
        </is>
      </c>
      <c r="BC1277" t="inlineStr">
        <is>
          <t>32285001383180</t>
        </is>
      </c>
      <c r="BD1277" t="inlineStr">
        <is>
          <t>893344305</t>
        </is>
      </c>
    </row>
    <row r="1278">
      <c r="A1278" t="inlineStr">
        <is>
          <t>No</t>
        </is>
      </c>
      <c r="B1278" t="inlineStr">
        <is>
          <t>QH541.5.L3 N87 1994</t>
        </is>
      </c>
      <c r="C1278" t="inlineStr">
        <is>
          <t>0                      QH 0541500L  3                  N  87          1994</t>
        </is>
      </c>
      <c r="D1278" t="inlineStr">
        <is>
          <t>Nutrient dynamics and biological structure in shallow freshwater and brackish lakes / edited by E. Mortensen ... [et al.].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L1278" t="inlineStr">
        <is>
          <t>Dordrecht ; Boston : Kluwer Academic Publishers, c1994.</t>
        </is>
      </c>
      <c r="M1278" t="inlineStr">
        <is>
          <t>1994</t>
        </is>
      </c>
      <c r="O1278" t="inlineStr">
        <is>
          <t>eng</t>
        </is>
      </c>
      <c r="P1278" t="inlineStr">
        <is>
          <t xml:space="preserve">ne </t>
        </is>
      </c>
      <c r="Q1278" t="inlineStr">
        <is>
          <t>Developments in hydrobiology ; 94</t>
        </is>
      </c>
      <c r="R1278" t="inlineStr">
        <is>
          <t xml:space="preserve">QH </t>
        </is>
      </c>
      <c r="S1278" t="n">
        <v>5</v>
      </c>
      <c r="T1278" t="n">
        <v>5</v>
      </c>
      <c r="U1278" t="inlineStr">
        <is>
          <t>2000-11-28</t>
        </is>
      </c>
      <c r="V1278" t="inlineStr">
        <is>
          <t>2000-11-28</t>
        </is>
      </c>
      <c r="W1278" t="inlineStr">
        <is>
          <t>1996-10-28</t>
        </is>
      </c>
      <c r="X1278" t="inlineStr">
        <is>
          <t>1996-10-28</t>
        </is>
      </c>
      <c r="Y1278" t="n">
        <v>66</v>
      </c>
      <c r="Z1278" t="n">
        <v>39</v>
      </c>
      <c r="AA1278" t="n">
        <v>66</v>
      </c>
      <c r="AB1278" t="n">
        <v>1</v>
      </c>
      <c r="AC1278" t="n">
        <v>1</v>
      </c>
      <c r="AD1278" t="n">
        <v>0</v>
      </c>
      <c r="AE1278" t="n">
        <v>1</v>
      </c>
      <c r="AF1278" t="n">
        <v>0</v>
      </c>
      <c r="AG1278" t="n">
        <v>1</v>
      </c>
      <c r="AH1278" t="n">
        <v>0</v>
      </c>
      <c r="AI1278" t="n">
        <v>0</v>
      </c>
      <c r="AJ1278" t="n">
        <v>0</v>
      </c>
      <c r="AK1278" t="n">
        <v>1</v>
      </c>
      <c r="AL1278" t="n">
        <v>0</v>
      </c>
      <c r="AM1278" t="n">
        <v>0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No</t>
        </is>
      </c>
      <c r="AS1278">
        <f>HYPERLINK("https://creighton-primo.hosted.exlibrisgroup.com/primo-explore/search?tab=default_tab&amp;search_scope=EVERYTHING&amp;vid=01CRU&amp;lang=en_US&amp;offset=0&amp;query=any,contains,991002286839702656","Catalog Record")</f>
        <v/>
      </c>
      <c r="AT1278">
        <f>HYPERLINK("http://www.worldcat.org/oclc/29638401","WorldCat Record")</f>
        <v/>
      </c>
      <c r="AU1278" t="inlineStr">
        <is>
          <t>55780212:eng</t>
        </is>
      </c>
      <c r="AV1278" t="inlineStr">
        <is>
          <t>29638401</t>
        </is>
      </c>
      <c r="AW1278" t="inlineStr">
        <is>
          <t>991002286839702656</t>
        </is>
      </c>
      <c r="AX1278" t="inlineStr">
        <is>
          <t>991002286839702656</t>
        </is>
      </c>
      <c r="AY1278" t="inlineStr">
        <is>
          <t>2271671870002656</t>
        </is>
      </c>
      <c r="AZ1278" t="inlineStr">
        <is>
          <t>BOOK</t>
        </is>
      </c>
      <c r="BB1278" t="inlineStr">
        <is>
          <t>9780792326779</t>
        </is>
      </c>
      <c r="BC1278" t="inlineStr">
        <is>
          <t>32285002048287</t>
        </is>
      </c>
      <c r="BD1278" t="inlineStr">
        <is>
          <t>893251038</t>
        </is>
      </c>
    </row>
    <row r="1279">
      <c r="A1279" t="inlineStr">
        <is>
          <t>No</t>
        </is>
      </c>
      <c r="B1279" t="inlineStr">
        <is>
          <t>QH541.5.L3 T76 1993</t>
        </is>
      </c>
      <c r="C1279" t="inlineStr">
        <is>
          <t>0                      QH 0541500L  3                  T  76          1993</t>
        </is>
      </c>
      <c r="D1279" t="inlineStr">
        <is>
          <t>The Trophic cascade in lakes / edited by Stephen R. Carpenter and James F. Kitchell.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Cambridge ; New York : Cambridge University Press, c1993.</t>
        </is>
      </c>
      <c r="M1279" t="inlineStr">
        <is>
          <t>1993</t>
        </is>
      </c>
      <c r="O1279" t="inlineStr">
        <is>
          <t>eng</t>
        </is>
      </c>
      <c r="P1279" t="inlineStr">
        <is>
          <t>enk</t>
        </is>
      </c>
      <c r="Q1279" t="inlineStr">
        <is>
          <t>Cambridge studies in ecology</t>
        </is>
      </c>
      <c r="R1279" t="inlineStr">
        <is>
          <t xml:space="preserve">QH </t>
        </is>
      </c>
      <c r="S1279" t="n">
        <v>12</v>
      </c>
      <c r="T1279" t="n">
        <v>12</v>
      </c>
      <c r="U1279" t="inlineStr">
        <is>
          <t>2005-08-02</t>
        </is>
      </c>
      <c r="V1279" t="inlineStr">
        <is>
          <t>2005-08-02</t>
        </is>
      </c>
      <c r="W1279" t="inlineStr">
        <is>
          <t>1994-04-21</t>
        </is>
      </c>
      <c r="X1279" t="inlineStr">
        <is>
          <t>1994-04-21</t>
        </is>
      </c>
      <c r="Y1279" t="n">
        <v>358</v>
      </c>
      <c r="Z1279" t="n">
        <v>238</v>
      </c>
      <c r="AA1279" t="n">
        <v>246</v>
      </c>
      <c r="AB1279" t="n">
        <v>1</v>
      </c>
      <c r="AC1279" t="n">
        <v>1</v>
      </c>
      <c r="AD1279" t="n">
        <v>6</v>
      </c>
      <c r="AE1279" t="n">
        <v>6</v>
      </c>
      <c r="AF1279" t="n">
        <v>1</v>
      </c>
      <c r="AG1279" t="n">
        <v>1</v>
      </c>
      <c r="AH1279" t="n">
        <v>4</v>
      </c>
      <c r="AI1279" t="n">
        <v>4</v>
      </c>
      <c r="AJ1279" t="n">
        <v>4</v>
      </c>
      <c r="AK1279" t="n">
        <v>4</v>
      </c>
      <c r="AL1279" t="n">
        <v>0</v>
      </c>
      <c r="AM1279" t="n">
        <v>0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HYPERLINK("https://creighton-primo.hosted.exlibrisgroup.com/primo-explore/search?tab=default_tab&amp;search_scope=EVERYTHING&amp;vid=01CRU&amp;lang=en_US&amp;offset=0&amp;query=any,contains,991002085999702656","Catalog Record")</f>
        <v/>
      </c>
      <c r="AT1279">
        <f>HYPERLINK("http://www.worldcat.org/oclc/26764598","WorldCat Record")</f>
        <v/>
      </c>
      <c r="AU1279" t="inlineStr">
        <is>
          <t>350422178:eng</t>
        </is>
      </c>
      <c r="AV1279" t="inlineStr">
        <is>
          <t>26764598</t>
        </is>
      </c>
      <c r="AW1279" t="inlineStr">
        <is>
          <t>991002085999702656</t>
        </is>
      </c>
      <c r="AX1279" t="inlineStr">
        <is>
          <t>991002085999702656</t>
        </is>
      </c>
      <c r="AY1279" t="inlineStr">
        <is>
          <t>2268264690002656</t>
        </is>
      </c>
      <c r="AZ1279" t="inlineStr">
        <is>
          <t>BOOK</t>
        </is>
      </c>
      <c r="BB1279" t="inlineStr">
        <is>
          <t>9780521431453</t>
        </is>
      </c>
      <c r="BC1279" t="inlineStr">
        <is>
          <t>32285001876472</t>
        </is>
      </c>
      <c r="BD1279" t="inlineStr">
        <is>
          <t>893523181</t>
        </is>
      </c>
    </row>
    <row r="1280">
      <c r="A1280" t="inlineStr">
        <is>
          <t>No</t>
        </is>
      </c>
      <c r="B1280" t="inlineStr">
        <is>
          <t>QH541.5.M3 F74</t>
        </is>
      </c>
      <c r="C1280" t="inlineStr">
        <is>
          <t>0                      QH 0541500M  3                  F  74</t>
        </is>
      </c>
      <c r="D1280" t="inlineStr">
        <is>
          <t>Freshwater wetlands : ecological processes and management potential / edited by Ralph E. Good, Dennis F. Whigham, Robert L. Simpson ; technical editor, Crawford G. Jackson, Jr. --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L1280" t="inlineStr">
        <is>
          <t>New York : Academic Press, 1978.</t>
        </is>
      </c>
      <c r="M1280" t="inlineStr">
        <is>
          <t>1978</t>
        </is>
      </c>
      <c r="O1280" t="inlineStr">
        <is>
          <t>eng</t>
        </is>
      </c>
      <c r="P1280" t="inlineStr">
        <is>
          <t>nyu</t>
        </is>
      </c>
      <c r="R1280" t="inlineStr">
        <is>
          <t xml:space="preserve">QH </t>
        </is>
      </c>
      <c r="S1280" t="n">
        <v>9</v>
      </c>
      <c r="T1280" t="n">
        <v>9</v>
      </c>
      <c r="U1280" t="inlineStr">
        <is>
          <t>2000-05-22</t>
        </is>
      </c>
      <c r="V1280" t="inlineStr">
        <is>
          <t>2000-05-22</t>
        </is>
      </c>
      <c r="W1280" t="inlineStr">
        <is>
          <t>1992-12-09</t>
        </is>
      </c>
      <c r="X1280" t="inlineStr">
        <is>
          <t>1992-12-09</t>
        </is>
      </c>
      <c r="Y1280" t="n">
        <v>714</v>
      </c>
      <c r="Z1280" t="n">
        <v>556</v>
      </c>
      <c r="AA1280" t="n">
        <v>557</v>
      </c>
      <c r="AB1280" t="n">
        <v>4</v>
      </c>
      <c r="AC1280" t="n">
        <v>4</v>
      </c>
      <c r="AD1280" t="n">
        <v>21</v>
      </c>
      <c r="AE1280" t="n">
        <v>21</v>
      </c>
      <c r="AF1280" t="n">
        <v>12</v>
      </c>
      <c r="AG1280" t="n">
        <v>12</v>
      </c>
      <c r="AH1280" t="n">
        <v>3</v>
      </c>
      <c r="AI1280" t="n">
        <v>3</v>
      </c>
      <c r="AJ1280" t="n">
        <v>7</v>
      </c>
      <c r="AK1280" t="n">
        <v>7</v>
      </c>
      <c r="AL1280" t="n">
        <v>3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HYPERLINK("http://catalog.hathitrust.org/Record/000131998","HathiTrust Record")</f>
        <v/>
      </c>
      <c r="AS1280">
        <f>HYPERLINK("https://creighton-primo.hosted.exlibrisgroup.com/primo-explore/search?tab=default_tab&amp;search_scope=EVERYTHING&amp;vid=01CRU&amp;lang=en_US&amp;offset=0&amp;query=any,contains,991005371469702656","Catalog Record")</f>
        <v/>
      </c>
      <c r="AT1280">
        <f>HYPERLINK("http://www.worldcat.org/oclc/3728772","WorldCat Record")</f>
        <v/>
      </c>
      <c r="AU1280" t="inlineStr">
        <is>
          <t>836705968:eng</t>
        </is>
      </c>
      <c r="AV1280" t="inlineStr">
        <is>
          <t>3728772</t>
        </is>
      </c>
      <c r="AW1280" t="inlineStr">
        <is>
          <t>991005371469702656</t>
        </is>
      </c>
      <c r="AX1280" t="inlineStr">
        <is>
          <t>991005371469702656</t>
        </is>
      </c>
      <c r="AY1280" t="inlineStr">
        <is>
          <t>2260711090002656</t>
        </is>
      </c>
      <c r="AZ1280" t="inlineStr">
        <is>
          <t>BOOK</t>
        </is>
      </c>
      <c r="BB1280" t="inlineStr">
        <is>
          <t>9780122901508</t>
        </is>
      </c>
      <c r="BC1280" t="inlineStr">
        <is>
          <t>32285001414936</t>
        </is>
      </c>
      <c r="BD1280" t="inlineStr">
        <is>
          <t>893431389</t>
        </is>
      </c>
    </row>
    <row r="1281">
      <c r="A1281" t="inlineStr">
        <is>
          <t>No</t>
        </is>
      </c>
      <c r="B1281" t="inlineStr">
        <is>
          <t>QH541.5.M3 H35 1992</t>
        </is>
      </c>
      <c r="C1281" t="inlineStr">
        <is>
          <t>0                      QH 0541500M  3                  H  35          1992</t>
        </is>
      </c>
      <c r="D1281" t="inlineStr">
        <is>
          <t>Creating freshwater wetlands / Donald A. Hammer.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Hammer, Donald A.</t>
        </is>
      </c>
      <c r="L1281" t="inlineStr">
        <is>
          <t>Boca Raton, Fl. : Lewis Publishers, 1992.</t>
        </is>
      </c>
      <c r="M1281" t="inlineStr">
        <is>
          <t>1992</t>
        </is>
      </c>
      <c r="O1281" t="inlineStr">
        <is>
          <t>eng</t>
        </is>
      </c>
      <c r="P1281" t="inlineStr">
        <is>
          <t>flu</t>
        </is>
      </c>
      <c r="R1281" t="inlineStr">
        <is>
          <t xml:space="preserve">QH </t>
        </is>
      </c>
      <c r="S1281" t="n">
        <v>20</v>
      </c>
      <c r="T1281" t="n">
        <v>20</v>
      </c>
      <c r="U1281" t="inlineStr">
        <is>
          <t>2008-11-03</t>
        </is>
      </c>
      <c r="V1281" t="inlineStr">
        <is>
          <t>2008-11-03</t>
        </is>
      </c>
      <c r="W1281" t="inlineStr">
        <is>
          <t>1992-01-21</t>
        </is>
      </c>
      <c r="X1281" t="inlineStr">
        <is>
          <t>1992-01-21</t>
        </is>
      </c>
      <c r="Y1281" t="n">
        <v>537</v>
      </c>
      <c r="Z1281" t="n">
        <v>433</v>
      </c>
      <c r="AA1281" t="n">
        <v>647</v>
      </c>
      <c r="AB1281" t="n">
        <v>5</v>
      </c>
      <c r="AC1281" t="n">
        <v>5</v>
      </c>
      <c r="AD1281" t="n">
        <v>12</v>
      </c>
      <c r="AE1281" t="n">
        <v>18</v>
      </c>
      <c r="AF1281" t="n">
        <v>4</v>
      </c>
      <c r="AG1281" t="n">
        <v>8</v>
      </c>
      <c r="AH1281" t="n">
        <v>1</v>
      </c>
      <c r="AI1281" t="n">
        <v>3</v>
      </c>
      <c r="AJ1281" t="n">
        <v>5</v>
      </c>
      <c r="AK1281" t="n">
        <v>8</v>
      </c>
      <c r="AL1281" t="n">
        <v>3</v>
      </c>
      <c r="AM1281" t="n">
        <v>3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HYPERLINK("http://catalog.hathitrust.org/Record/002534429","HathiTrust Record")</f>
        <v/>
      </c>
      <c r="AS1281">
        <f>HYPERLINK("https://creighton-primo.hosted.exlibrisgroup.com/primo-explore/search?tab=default_tab&amp;search_scope=EVERYTHING&amp;vid=01CRU&amp;lang=en_US&amp;offset=0&amp;query=any,contains,991001969929702656","Catalog Record")</f>
        <v/>
      </c>
      <c r="AT1281">
        <f>HYPERLINK("http://www.worldcat.org/oclc/24998144","WorldCat Record")</f>
        <v/>
      </c>
      <c r="AU1281" t="inlineStr">
        <is>
          <t>39962993:eng</t>
        </is>
      </c>
      <c r="AV1281" t="inlineStr">
        <is>
          <t>24998144</t>
        </is>
      </c>
      <c r="AW1281" t="inlineStr">
        <is>
          <t>991001969929702656</t>
        </is>
      </c>
      <c r="AX1281" t="inlineStr">
        <is>
          <t>991001969929702656</t>
        </is>
      </c>
      <c r="AY1281" t="inlineStr">
        <is>
          <t>2261070380002656</t>
        </is>
      </c>
      <c r="AZ1281" t="inlineStr">
        <is>
          <t>BOOK</t>
        </is>
      </c>
      <c r="BC1281" t="inlineStr">
        <is>
          <t>32285000865302</t>
        </is>
      </c>
      <c r="BD1281" t="inlineStr">
        <is>
          <t>893433344</t>
        </is>
      </c>
    </row>
    <row r="1282">
      <c r="A1282" t="inlineStr">
        <is>
          <t>No</t>
        </is>
      </c>
      <c r="B1282" t="inlineStr">
        <is>
          <t>QH541.5.P6 D8</t>
        </is>
      </c>
      <c r="C1282" t="inlineStr">
        <is>
          <t>0                      QH 0541500P  6                  D  8</t>
        </is>
      </c>
      <c r="D1282" t="inlineStr">
        <is>
          <t>Ecological development in polar regions; a study in evolution [by] M. J. Dunbar.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Dunbar, M. J. (Maxwell John), 1914-1995.</t>
        </is>
      </c>
      <c r="L1282" t="inlineStr">
        <is>
          <t>Englewood Cliffs, N.J., Prentice-Hall [1968]</t>
        </is>
      </c>
      <c r="M1282" t="inlineStr">
        <is>
          <t>1968</t>
        </is>
      </c>
      <c r="O1282" t="inlineStr">
        <is>
          <t>eng</t>
        </is>
      </c>
      <c r="P1282" t="inlineStr">
        <is>
          <t>nju</t>
        </is>
      </c>
      <c r="Q1282" t="inlineStr">
        <is>
          <t>Concepts of modern biology series</t>
        </is>
      </c>
      <c r="R1282" t="inlineStr">
        <is>
          <t xml:space="preserve">QH </t>
        </is>
      </c>
      <c r="S1282" t="n">
        <v>4</v>
      </c>
      <c r="T1282" t="n">
        <v>4</v>
      </c>
      <c r="U1282" t="inlineStr">
        <is>
          <t>2003-12-02</t>
        </is>
      </c>
      <c r="V1282" t="inlineStr">
        <is>
          <t>2003-12-02</t>
        </is>
      </c>
      <c r="W1282" t="inlineStr">
        <is>
          <t>1997-07-03</t>
        </is>
      </c>
      <c r="X1282" t="inlineStr">
        <is>
          <t>1997-07-03</t>
        </is>
      </c>
      <c r="Y1282" t="n">
        <v>571</v>
      </c>
      <c r="Z1282" t="n">
        <v>447</v>
      </c>
      <c r="AA1282" t="n">
        <v>453</v>
      </c>
      <c r="AB1282" t="n">
        <v>5</v>
      </c>
      <c r="AC1282" t="n">
        <v>5</v>
      </c>
      <c r="AD1282" t="n">
        <v>15</v>
      </c>
      <c r="AE1282" t="n">
        <v>15</v>
      </c>
      <c r="AF1282" t="n">
        <v>5</v>
      </c>
      <c r="AG1282" t="n">
        <v>5</v>
      </c>
      <c r="AH1282" t="n">
        <v>2</v>
      </c>
      <c r="AI1282" t="n">
        <v>2</v>
      </c>
      <c r="AJ1282" t="n">
        <v>7</v>
      </c>
      <c r="AK1282" t="n">
        <v>7</v>
      </c>
      <c r="AL1282" t="n">
        <v>4</v>
      </c>
      <c r="AM1282" t="n">
        <v>4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HYPERLINK("https://creighton-primo.hosted.exlibrisgroup.com/primo-explore/search?tab=default_tab&amp;search_scope=EVERYTHING&amp;vid=01CRU&amp;lang=en_US&amp;offset=0&amp;query=any,contains,991002778729702656","Catalog Record")</f>
        <v/>
      </c>
      <c r="AT1282">
        <f>HYPERLINK("http://www.worldcat.org/oclc/439546","WorldCat Record")</f>
        <v/>
      </c>
      <c r="AU1282" t="inlineStr">
        <is>
          <t>807543774:eng</t>
        </is>
      </c>
      <c r="AV1282" t="inlineStr">
        <is>
          <t>439546</t>
        </is>
      </c>
      <c r="AW1282" t="inlineStr">
        <is>
          <t>991002778729702656</t>
        </is>
      </c>
      <c r="AX1282" t="inlineStr">
        <is>
          <t>991002778729702656</t>
        </is>
      </c>
      <c r="AY1282" t="inlineStr">
        <is>
          <t>2266532820002656</t>
        </is>
      </c>
      <c r="AZ1282" t="inlineStr">
        <is>
          <t>BOOK</t>
        </is>
      </c>
      <c r="BC1282" t="inlineStr">
        <is>
          <t>32285002913548</t>
        </is>
      </c>
      <c r="BD1282" t="inlineStr">
        <is>
          <t>893257700</t>
        </is>
      </c>
    </row>
    <row r="1283">
      <c r="A1283" t="inlineStr">
        <is>
          <t>No</t>
        </is>
      </c>
      <c r="B1283" t="inlineStr">
        <is>
          <t>QH541.5.P63 P66</t>
        </is>
      </c>
      <c r="C1283" t="inlineStr">
        <is>
          <t>0                      QH 0541500P  63                 P  66</t>
        </is>
      </c>
      <c r="D1283" t="inlineStr">
        <is>
          <t>Pond littoral ecosystems : structure and functioning : methods and results of quantitative ecosystem research in the Czechoslovakian IBP wetland project / edited by D. Dykyjová and J. Kvĕt.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L1283" t="inlineStr">
        <is>
          <t>Berlin ; New York : Springer-Verlag, 1978.</t>
        </is>
      </c>
      <c r="M1283" t="inlineStr">
        <is>
          <t>1978</t>
        </is>
      </c>
      <c r="O1283" t="inlineStr">
        <is>
          <t>eng</t>
        </is>
      </c>
      <c r="P1283" t="inlineStr">
        <is>
          <t xml:space="preserve">gw </t>
        </is>
      </c>
      <c r="Q1283" t="inlineStr">
        <is>
          <t>Ecological studies ; v. 28</t>
        </is>
      </c>
      <c r="R1283" t="inlineStr">
        <is>
          <t xml:space="preserve">QH </t>
        </is>
      </c>
      <c r="S1283" t="n">
        <v>3</v>
      </c>
      <c r="T1283" t="n">
        <v>3</v>
      </c>
      <c r="U1283" t="inlineStr">
        <is>
          <t>1994-12-02</t>
        </is>
      </c>
      <c r="V1283" t="inlineStr">
        <is>
          <t>1994-12-02</t>
        </is>
      </c>
      <c r="W1283" t="inlineStr">
        <is>
          <t>1990-03-28</t>
        </is>
      </c>
      <c r="X1283" t="inlineStr">
        <is>
          <t>1990-03-28</t>
        </is>
      </c>
      <c r="Y1283" t="n">
        <v>387</v>
      </c>
      <c r="Z1283" t="n">
        <v>258</v>
      </c>
      <c r="AA1283" t="n">
        <v>285</v>
      </c>
      <c r="AB1283" t="n">
        <v>2</v>
      </c>
      <c r="AC1283" t="n">
        <v>2</v>
      </c>
      <c r="AD1283" t="n">
        <v>8</v>
      </c>
      <c r="AE1283" t="n">
        <v>9</v>
      </c>
      <c r="AF1283" t="n">
        <v>1</v>
      </c>
      <c r="AG1283" t="n">
        <v>2</v>
      </c>
      <c r="AH1283" t="n">
        <v>3</v>
      </c>
      <c r="AI1283" t="n">
        <v>3</v>
      </c>
      <c r="AJ1283" t="n">
        <v>5</v>
      </c>
      <c r="AK1283" t="n">
        <v>6</v>
      </c>
      <c r="AL1283" t="n">
        <v>1</v>
      </c>
      <c r="AM1283" t="n">
        <v>1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HYPERLINK("http://catalog.hathitrust.org/Record/000089702","HathiTrust Record")</f>
        <v/>
      </c>
      <c r="AS1283">
        <f>HYPERLINK("https://creighton-primo.hosted.exlibrisgroup.com/primo-explore/search?tab=default_tab&amp;search_scope=EVERYTHING&amp;vid=01CRU&amp;lang=en_US&amp;offset=0&amp;query=any,contains,991004460949702656","Catalog Record")</f>
        <v/>
      </c>
      <c r="AT1283">
        <f>HYPERLINK("http://www.worldcat.org/oclc/3543265","WorldCat Record")</f>
        <v/>
      </c>
      <c r="AU1283" t="inlineStr">
        <is>
          <t>877448410:eng</t>
        </is>
      </c>
      <c r="AV1283" t="inlineStr">
        <is>
          <t>3543265</t>
        </is>
      </c>
      <c r="AW1283" t="inlineStr">
        <is>
          <t>991004460949702656</t>
        </is>
      </c>
      <c r="AX1283" t="inlineStr">
        <is>
          <t>991004460949702656</t>
        </is>
      </c>
      <c r="AY1283" t="inlineStr">
        <is>
          <t>2265061300002656</t>
        </is>
      </c>
      <c r="AZ1283" t="inlineStr">
        <is>
          <t>BOOK</t>
        </is>
      </c>
      <c r="BB1283" t="inlineStr">
        <is>
          <t>9780387085692</t>
        </is>
      </c>
      <c r="BC1283" t="inlineStr">
        <is>
          <t>32285000097310</t>
        </is>
      </c>
      <c r="BD1283" t="inlineStr">
        <is>
          <t>893411576</t>
        </is>
      </c>
    </row>
    <row r="1284">
      <c r="A1284" t="inlineStr">
        <is>
          <t>No</t>
        </is>
      </c>
      <c r="B1284" t="inlineStr">
        <is>
          <t>QH541.5.P7 A4</t>
        </is>
      </c>
      <c r="C1284" t="inlineStr">
        <is>
          <t>0                      QH 0541500P  7                  A  4</t>
        </is>
      </c>
      <c r="D1284" t="inlineStr">
        <is>
          <t>The life of prairies and plains / [by] Durward L. Allen. Published in cooperation with the World book encyclopedia.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Allen, Durward L. (Durward Leon), 1910-1997.</t>
        </is>
      </c>
      <c r="L1284" t="inlineStr">
        <is>
          <t>New York : McGraw-Hill, [1967]</t>
        </is>
      </c>
      <c r="M1284" t="inlineStr">
        <is>
          <t>1967</t>
        </is>
      </c>
      <c r="O1284" t="inlineStr">
        <is>
          <t>eng</t>
        </is>
      </c>
      <c r="P1284" t="inlineStr">
        <is>
          <t>nyu</t>
        </is>
      </c>
      <c r="Q1284" t="inlineStr">
        <is>
          <t>Our living world of nature</t>
        </is>
      </c>
      <c r="R1284" t="inlineStr">
        <is>
          <t xml:space="preserve">QH </t>
        </is>
      </c>
      <c r="S1284" t="n">
        <v>26</v>
      </c>
      <c r="T1284" t="n">
        <v>26</v>
      </c>
      <c r="U1284" t="inlineStr">
        <is>
          <t>2006-04-06</t>
        </is>
      </c>
      <c r="V1284" t="inlineStr">
        <is>
          <t>2006-04-06</t>
        </is>
      </c>
      <c r="W1284" t="inlineStr">
        <is>
          <t>1991-11-13</t>
        </is>
      </c>
      <c r="X1284" t="inlineStr">
        <is>
          <t>1991-11-13</t>
        </is>
      </c>
      <c r="Y1284" t="n">
        <v>953</v>
      </c>
      <c r="Z1284" t="n">
        <v>880</v>
      </c>
      <c r="AA1284" t="n">
        <v>884</v>
      </c>
      <c r="AB1284" t="n">
        <v>15</v>
      </c>
      <c r="AC1284" t="n">
        <v>15</v>
      </c>
      <c r="AD1284" t="n">
        <v>19</v>
      </c>
      <c r="AE1284" t="n">
        <v>19</v>
      </c>
      <c r="AF1284" t="n">
        <v>7</v>
      </c>
      <c r="AG1284" t="n">
        <v>7</v>
      </c>
      <c r="AH1284" t="n">
        <v>4</v>
      </c>
      <c r="AI1284" t="n">
        <v>4</v>
      </c>
      <c r="AJ1284" t="n">
        <v>3</v>
      </c>
      <c r="AK1284" t="n">
        <v>3</v>
      </c>
      <c r="AL1284" t="n">
        <v>8</v>
      </c>
      <c r="AM1284" t="n">
        <v>8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No</t>
        </is>
      </c>
      <c r="AS1284">
        <f>HYPERLINK("https://creighton-primo.hosted.exlibrisgroup.com/primo-explore/search?tab=default_tab&amp;search_scope=EVERYTHING&amp;vid=01CRU&amp;lang=en_US&amp;offset=0&amp;query=any,contains,991002989429702656","Catalog Record")</f>
        <v/>
      </c>
      <c r="AT1284">
        <f>HYPERLINK("http://www.worldcat.org/oclc/559653","WorldCat Record")</f>
        <v/>
      </c>
      <c r="AU1284" t="inlineStr">
        <is>
          <t>352197982:eng</t>
        </is>
      </c>
      <c r="AV1284" t="inlineStr">
        <is>
          <t>559653</t>
        </is>
      </c>
      <c r="AW1284" t="inlineStr">
        <is>
          <t>991002989429702656</t>
        </is>
      </c>
      <c r="AX1284" t="inlineStr">
        <is>
          <t>991002989429702656</t>
        </is>
      </c>
      <c r="AY1284" t="inlineStr">
        <is>
          <t>2262151130002656</t>
        </is>
      </c>
      <c r="AZ1284" t="inlineStr">
        <is>
          <t>BOOK</t>
        </is>
      </c>
      <c r="BC1284" t="inlineStr">
        <is>
          <t>32285000824184</t>
        </is>
      </c>
      <c r="BD1284" t="inlineStr">
        <is>
          <t>893428308</t>
        </is>
      </c>
    </row>
    <row r="1285">
      <c r="A1285" t="inlineStr">
        <is>
          <t>No</t>
        </is>
      </c>
      <c r="B1285" t="inlineStr">
        <is>
          <t>QH541.5.P7 C6</t>
        </is>
      </c>
      <c r="C1285" t="inlineStr">
        <is>
          <t>0                      QH 0541500P  7                  C  6</t>
        </is>
      </c>
      <c r="D1285" t="inlineStr">
        <is>
          <t>The prairie world [by] David F. Costello. With photos by the author.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Costello, David F. (David Francis), 1904-1990.</t>
        </is>
      </c>
      <c r="L1285" t="inlineStr">
        <is>
          <t>New York, Crowell [1969]</t>
        </is>
      </c>
      <c r="M1285" t="inlineStr">
        <is>
          <t>1969</t>
        </is>
      </c>
      <c r="O1285" t="inlineStr">
        <is>
          <t>eng</t>
        </is>
      </c>
      <c r="P1285" t="inlineStr">
        <is>
          <t>nyu</t>
        </is>
      </c>
      <c r="R1285" t="inlineStr">
        <is>
          <t xml:space="preserve">QH </t>
        </is>
      </c>
      <c r="S1285" t="n">
        <v>23</v>
      </c>
      <c r="T1285" t="n">
        <v>23</v>
      </c>
      <c r="U1285" t="inlineStr">
        <is>
          <t>2006-04-06</t>
        </is>
      </c>
      <c r="V1285" t="inlineStr">
        <is>
          <t>2006-04-06</t>
        </is>
      </c>
      <c r="W1285" t="inlineStr">
        <is>
          <t>1992-06-10</t>
        </is>
      </c>
      <c r="X1285" t="inlineStr">
        <is>
          <t>1992-06-10</t>
        </is>
      </c>
      <c r="Y1285" t="n">
        <v>765</v>
      </c>
      <c r="Z1285" t="n">
        <v>712</v>
      </c>
      <c r="AA1285" t="n">
        <v>975</v>
      </c>
      <c r="AB1285" t="n">
        <v>11</v>
      </c>
      <c r="AC1285" t="n">
        <v>16</v>
      </c>
      <c r="AD1285" t="n">
        <v>16</v>
      </c>
      <c r="AE1285" t="n">
        <v>22</v>
      </c>
      <c r="AF1285" t="n">
        <v>4</v>
      </c>
      <c r="AG1285" t="n">
        <v>5</v>
      </c>
      <c r="AH1285" t="n">
        <v>4</v>
      </c>
      <c r="AI1285" t="n">
        <v>6</v>
      </c>
      <c r="AJ1285" t="n">
        <v>4</v>
      </c>
      <c r="AK1285" t="n">
        <v>7</v>
      </c>
      <c r="AL1285" t="n">
        <v>6</v>
      </c>
      <c r="AM1285" t="n">
        <v>8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HYPERLINK("http://catalog.hathitrust.org/Record/001492794","HathiTrust Record")</f>
        <v/>
      </c>
      <c r="AS1285">
        <f>HYPERLINK("https://creighton-primo.hosted.exlibrisgroup.com/primo-explore/search?tab=default_tab&amp;search_scope=EVERYTHING&amp;vid=01CRU&amp;lang=en_US&amp;offset=0&amp;query=any,contains,991003125939702656","Catalog Record")</f>
        <v/>
      </c>
      <c r="AT1285">
        <f>HYPERLINK("http://www.worldcat.org/oclc/670308","WorldCat Record")</f>
        <v/>
      </c>
      <c r="AU1285" t="inlineStr">
        <is>
          <t>440386:eng</t>
        </is>
      </c>
      <c r="AV1285" t="inlineStr">
        <is>
          <t>670308</t>
        </is>
      </c>
      <c r="AW1285" t="inlineStr">
        <is>
          <t>991003125939702656</t>
        </is>
      </c>
      <c r="AX1285" t="inlineStr">
        <is>
          <t>991003125939702656</t>
        </is>
      </c>
      <c r="AY1285" t="inlineStr">
        <is>
          <t>2266647940002656</t>
        </is>
      </c>
      <c r="AZ1285" t="inlineStr">
        <is>
          <t>BOOK</t>
        </is>
      </c>
      <c r="BC1285" t="inlineStr">
        <is>
          <t>32285001099307</t>
        </is>
      </c>
      <c r="BD1285" t="inlineStr">
        <is>
          <t>893317672</t>
        </is>
      </c>
    </row>
    <row r="1286">
      <c r="A1286" t="inlineStr">
        <is>
          <t>No</t>
        </is>
      </c>
      <c r="B1286" t="inlineStr">
        <is>
          <t>QH541.5.P7 G712</t>
        </is>
      </c>
      <c r="C1286" t="inlineStr">
        <is>
          <t>0                      QH 0541500P  7                  G  712</t>
        </is>
      </c>
      <c r="D1286" t="inlineStr">
        <is>
          <t>Grassland ecosystems of the world : analysis of grasslands and their uses / edited by R. T. Coupland.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L1286" t="inlineStr">
        <is>
          <t>Cambridge [Eng.] ; New York : Cambridge University Press, 1979.</t>
        </is>
      </c>
      <c r="M1286" t="inlineStr">
        <is>
          <t>1979</t>
        </is>
      </c>
      <c r="O1286" t="inlineStr">
        <is>
          <t>eng</t>
        </is>
      </c>
      <c r="P1286" t="inlineStr">
        <is>
          <t>enk</t>
        </is>
      </c>
      <c r="Q1286" t="inlineStr">
        <is>
          <t>International Biological Programme ; 18</t>
        </is>
      </c>
      <c r="R1286" t="inlineStr">
        <is>
          <t xml:space="preserve">QH </t>
        </is>
      </c>
      <c r="S1286" t="n">
        <v>18</v>
      </c>
      <c r="T1286" t="n">
        <v>18</v>
      </c>
      <c r="U1286" t="inlineStr">
        <is>
          <t>2002-10-04</t>
        </is>
      </c>
      <c r="V1286" t="inlineStr">
        <is>
          <t>2002-10-04</t>
        </is>
      </c>
      <c r="W1286" t="inlineStr">
        <is>
          <t>1992-11-23</t>
        </is>
      </c>
      <c r="X1286" t="inlineStr">
        <is>
          <t>1992-11-23</t>
        </is>
      </c>
      <c r="Y1286" t="n">
        <v>451</v>
      </c>
      <c r="Z1286" t="n">
        <v>249</v>
      </c>
      <c r="AA1286" t="n">
        <v>254</v>
      </c>
      <c r="AB1286" t="n">
        <v>4</v>
      </c>
      <c r="AC1286" t="n">
        <v>4</v>
      </c>
      <c r="AD1286" t="n">
        <v>9</v>
      </c>
      <c r="AE1286" t="n">
        <v>9</v>
      </c>
      <c r="AF1286" t="n">
        <v>3</v>
      </c>
      <c r="AG1286" t="n">
        <v>3</v>
      </c>
      <c r="AH1286" t="n">
        <v>2</v>
      </c>
      <c r="AI1286" t="n">
        <v>2</v>
      </c>
      <c r="AJ1286" t="n">
        <v>4</v>
      </c>
      <c r="AK1286" t="n">
        <v>4</v>
      </c>
      <c r="AL1286" t="n">
        <v>3</v>
      </c>
      <c r="AM1286" t="n">
        <v>3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HYPERLINK("https://creighton-primo.hosted.exlibrisgroup.com/primo-explore/search?tab=default_tab&amp;search_scope=EVERYTHING&amp;vid=01CRU&amp;lang=en_US&amp;offset=0&amp;query=any,contains,991004688979702656","Catalog Record")</f>
        <v/>
      </c>
      <c r="AT1286">
        <f>HYPERLINK("http://www.worldcat.org/oclc/4593836","WorldCat Record")</f>
        <v/>
      </c>
      <c r="AU1286" t="inlineStr">
        <is>
          <t>355128933:eng</t>
        </is>
      </c>
      <c r="AV1286" t="inlineStr">
        <is>
          <t>4593836</t>
        </is>
      </c>
      <c r="AW1286" t="inlineStr">
        <is>
          <t>991004688979702656</t>
        </is>
      </c>
      <c r="AX1286" t="inlineStr">
        <is>
          <t>991004688979702656</t>
        </is>
      </c>
      <c r="AY1286" t="inlineStr">
        <is>
          <t>2271241160002656</t>
        </is>
      </c>
      <c r="AZ1286" t="inlineStr">
        <is>
          <t>BOOK</t>
        </is>
      </c>
      <c r="BB1286" t="inlineStr">
        <is>
          <t>9780521218672</t>
        </is>
      </c>
      <c r="BC1286" t="inlineStr">
        <is>
          <t>32285001408482</t>
        </is>
      </c>
      <c r="BD1286" t="inlineStr">
        <is>
          <t>893430369</t>
        </is>
      </c>
    </row>
    <row r="1287">
      <c r="A1287" t="inlineStr">
        <is>
          <t>No</t>
        </is>
      </c>
      <c r="B1287" t="inlineStr">
        <is>
          <t>QH541.5.P7 G74</t>
        </is>
      </c>
      <c r="C1287" t="inlineStr">
        <is>
          <t>0                      QH 0541500P  7                  G  74</t>
        </is>
      </c>
      <c r="D1287" t="inlineStr">
        <is>
          <t>Grasslands, systems analysis, and man / edited by A. I. Breymeyer and G. M. Van Dyne.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L1287" t="inlineStr">
        <is>
          <t>Cambridge [Eng.] ; New York : Cambridge University Press, 1980.</t>
        </is>
      </c>
      <c r="M1287" t="inlineStr">
        <is>
          <t>1980</t>
        </is>
      </c>
      <c r="O1287" t="inlineStr">
        <is>
          <t>eng</t>
        </is>
      </c>
      <c r="P1287" t="inlineStr">
        <is>
          <t>enk</t>
        </is>
      </c>
      <c r="Q1287" t="inlineStr">
        <is>
          <t>International Biological Programme ; 19</t>
        </is>
      </c>
      <c r="R1287" t="inlineStr">
        <is>
          <t xml:space="preserve">QH </t>
        </is>
      </c>
      <c r="S1287" t="n">
        <v>6</v>
      </c>
      <c r="T1287" t="n">
        <v>6</v>
      </c>
      <c r="U1287" t="inlineStr">
        <is>
          <t>2001-09-30</t>
        </is>
      </c>
      <c r="V1287" t="inlineStr">
        <is>
          <t>2001-09-30</t>
        </is>
      </c>
      <c r="W1287" t="inlineStr">
        <is>
          <t>1993-04-30</t>
        </is>
      </c>
      <c r="X1287" t="inlineStr">
        <is>
          <t>1993-04-30</t>
        </is>
      </c>
      <c r="Y1287" t="n">
        <v>333</v>
      </c>
      <c r="Z1287" t="n">
        <v>188</v>
      </c>
      <c r="AA1287" t="n">
        <v>188</v>
      </c>
      <c r="AB1287" t="n">
        <v>3</v>
      </c>
      <c r="AC1287" t="n">
        <v>3</v>
      </c>
      <c r="AD1287" t="n">
        <v>7</v>
      </c>
      <c r="AE1287" t="n">
        <v>7</v>
      </c>
      <c r="AF1287" t="n">
        <v>2</v>
      </c>
      <c r="AG1287" t="n">
        <v>2</v>
      </c>
      <c r="AH1287" t="n">
        <v>2</v>
      </c>
      <c r="AI1287" t="n">
        <v>2</v>
      </c>
      <c r="AJ1287" t="n">
        <v>4</v>
      </c>
      <c r="AK1287" t="n">
        <v>4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HYPERLINK("https://creighton-primo.hosted.exlibrisgroup.com/primo-explore/search?tab=default_tab&amp;search_scope=EVERYTHING&amp;vid=01CRU&amp;lang=en_US&amp;offset=0&amp;query=any,contains,991004476339702656","Catalog Record")</f>
        <v/>
      </c>
      <c r="AT1287">
        <f>HYPERLINK("http://www.worldcat.org/oclc/3609458","WorldCat Record")</f>
        <v/>
      </c>
      <c r="AU1287" t="inlineStr">
        <is>
          <t>355128732:eng</t>
        </is>
      </c>
      <c r="AV1287" t="inlineStr">
        <is>
          <t>3609458</t>
        </is>
      </c>
      <c r="AW1287" t="inlineStr">
        <is>
          <t>991004476339702656</t>
        </is>
      </c>
      <c r="AX1287" t="inlineStr">
        <is>
          <t>991004476339702656</t>
        </is>
      </c>
      <c r="AY1287" t="inlineStr">
        <is>
          <t>2271728890002656</t>
        </is>
      </c>
      <c r="AZ1287" t="inlineStr">
        <is>
          <t>BOOK</t>
        </is>
      </c>
      <c r="BB1287" t="inlineStr">
        <is>
          <t>9780521218726</t>
        </is>
      </c>
      <c r="BC1287" t="inlineStr">
        <is>
          <t>32285001642593</t>
        </is>
      </c>
      <c r="BD1287" t="inlineStr">
        <is>
          <t>893513279</t>
        </is>
      </c>
    </row>
    <row r="1288">
      <c r="A1288" t="inlineStr">
        <is>
          <t>No</t>
        </is>
      </c>
      <c r="B1288" t="inlineStr">
        <is>
          <t>QH541.5.P7 N38 1992</t>
        </is>
      </c>
      <c r="C1288" t="inlineStr">
        <is>
          <t>0                      QH 0541500P  7                  N  38          1992</t>
        </is>
      </c>
      <c r="D1288" t="inlineStr">
        <is>
          <t>Natural grasslands / edited by Robert T. Coupland.</t>
        </is>
      </c>
      <c r="E1288" t="inlineStr">
        <is>
          <t>V. 1</t>
        </is>
      </c>
      <c r="F1288" t="inlineStr">
        <is>
          <t>Yes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Amsterdam ; New York : Elsevier, 1992.</t>
        </is>
      </c>
      <c r="M1288" t="inlineStr">
        <is>
          <t>1992</t>
        </is>
      </c>
      <c r="O1288" t="inlineStr">
        <is>
          <t>eng</t>
        </is>
      </c>
      <c r="P1288" t="inlineStr">
        <is>
          <t xml:space="preserve">ne </t>
        </is>
      </c>
      <c r="Q1288" t="inlineStr">
        <is>
          <t>Ecosystems of the world ; 8</t>
        </is>
      </c>
      <c r="R1288" t="inlineStr">
        <is>
          <t xml:space="preserve">QH </t>
        </is>
      </c>
      <c r="S1288" t="n">
        <v>16</v>
      </c>
      <c r="T1288" t="n">
        <v>16</v>
      </c>
      <c r="U1288" t="inlineStr">
        <is>
          <t>2006-04-06</t>
        </is>
      </c>
      <c r="V1288" t="inlineStr">
        <is>
          <t>2006-04-06</t>
        </is>
      </c>
      <c r="W1288" t="inlineStr">
        <is>
          <t>1993-02-11</t>
        </is>
      </c>
      <c r="X1288" t="inlineStr">
        <is>
          <t>1993-02-11</t>
        </is>
      </c>
      <c r="Y1288" t="n">
        <v>242</v>
      </c>
      <c r="Z1288" t="n">
        <v>158</v>
      </c>
      <c r="AA1288" t="n">
        <v>171</v>
      </c>
      <c r="AB1288" t="n">
        <v>2</v>
      </c>
      <c r="AC1288" t="n">
        <v>3</v>
      </c>
      <c r="AD1288" t="n">
        <v>3</v>
      </c>
      <c r="AE1288" t="n">
        <v>5</v>
      </c>
      <c r="AF1288" t="n">
        <v>0</v>
      </c>
      <c r="AG1288" t="n">
        <v>0</v>
      </c>
      <c r="AH1288" t="n">
        <v>0</v>
      </c>
      <c r="AI1288" t="n">
        <v>1</v>
      </c>
      <c r="AJ1288" t="n">
        <v>2</v>
      </c>
      <c r="AK1288" t="n">
        <v>2</v>
      </c>
      <c r="AL1288" t="n">
        <v>1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HYPERLINK("http://catalog.hathitrust.org/Record/002574067","HathiTrust Record")</f>
        <v/>
      </c>
      <c r="AS1288">
        <f>HYPERLINK("https://creighton-primo.hosted.exlibrisgroup.com/primo-explore/search?tab=default_tab&amp;search_scope=EVERYTHING&amp;vid=01CRU&amp;lang=en_US&amp;offset=0&amp;query=any,contains,991002051369702656","Catalog Record")</f>
        <v/>
      </c>
      <c r="AT1288">
        <f>HYPERLINK("http://www.worldcat.org/oclc/26183740","WorldCat Record")</f>
        <v/>
      </c>
      <c r="AU1288" t="inlineStr">
        <is>
          <t>148225865:eng</t>
        </is>
      </c>
      <c r="AV1288" t="inlineStr">
        <is>
          <t>26183740</t>
        </is>
      </c>
      <c r="AW1288" t="inlineStr">
        <is>
          <t>991002051369702656</t>
        </is>
      </c>
      <c r="AX1288" t="inlineStr">
        <is>
          <t>991002051369702656</t>
        </is>
      </c>
      <c r="AY1288" t="inlineStr">
        <is>
          <t>2259669090002656</t>
        </is>
      </c>
      <c r="AZ1288" t="inlineStr">
        <is>
          <t>BOOK</t>
        </is>
      </c>
      <c r="BB1288" t="inlineStr">
        <is>
          <t>9780444882646</t>
        </is>
      </c>
      <c r="BC1288" t="inlineStr">
        <is>
          <t>32285001495539</t>
        </is>
      </c>
      <c r="BD1288" t="inlineStr">
        <is>
          <t>893691164</t>
        </is>
      </c>
    </row>
    <row r="1289">
      <c r="A1289" t="inlineStr">
        <is>
          <t>No</t>
        </is>
      </c>
      <c r="B1289" t="inlineStr">
        <is>
          <t>QH541.5.R27 F69 1990</t>
        </is>
      </c>
      <c r="C1289" t="inlineStr">
        <is>
          <t>0                      QH 0541500R  27                 F  69          1990</t>
        </is>
      </c>
      <c r="D1289" t="inlineStr">
        <is>
          <t>Four neotropical rainforests / Alwyn H. Gentry, editor ; with the editorial assistance of Myra Guzman-Teare, and coordination of avian and herpetological chapters by James R. Karr and William E. Duellman.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L1289" t="inlineStr">
        <is>
          <t>New Haven : Yale University Press, c1990.</t>
        </is>
      </c>
      <c r="M1289" t="inlineStr">
        <is>
          <t>1990</t>
        </is>
      </c>
      <c r="O1289" t="inlineStr">
        <is>
          <t>eng</t>
        </is>
      </c>
      <c r="P1289" t="inlineStr">
        <is>
          <t>ctu</t>
        </is>
      </c>
      <c r="R1289" t="inlineStr">
        <is>
          <t xml:space="preserve">QH </t>
        </is>
      </c>
      <c r="S1289" t="n">
        <v>18</v>
      </c>
      <c r="T1289" t="n">
        <v>18</v>
      </c>
      <c r="U1289" t="inlineStr">
        <is>
          <t>1999-12-03</t>
        </is>
      </c>
      <c r="V1289" t="inlineStr">
        <is>
          <t>1999-12-03</t>
        </is>
      </c>
      <c r="W1289" t="inlineStr">
        <is>
          <t>1991-01-28</t>
        </is>
      </c>
      <c r="X1289" t="inlineStr">
        <is>
          <t>1991-01-28</t>
        </is>
      </c>
      <c r="Y1289" t="n">
        <v>516</v>
      </c>
      <c r="Z1289" t="n">
        <v>404</v>
      </c>
      <c r="AA1289" t="n">
        <v>405</v>
      </c>
      <c r="AB1289" t="n">
        <v>5</v>
      </c>
      <c r="AC1289" t="n">
        <v>5</v>
      </c>
      <c r="AD1289" t="n">
        <v>15</v>
      </c>
      <c r="AE1289" t="n">
        <v>15</v>
      </c>
      <c r="AF1289" t="n">
        <v>6</v>
      </c>
      <c r="AG1289" t="n">
        <v>6</v>
      </c>
      <c r="AH1289" t="n">
        <v>3</v>
      </c>
      <c r="AI1289" t="n">
        <v>3</v>
      </c>
      <c r="AJ1289" t="n">
        <v>5</v>
      </c>
      <c r="AK1289" t="n">
        <v>5</v>
      </c>
      <c r="AL1289" t="n">
        <v>4</v>
      </c>
      <c r="AM1289" t="n">
        <v>4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HYPERLINK("https://creighton-primo.hosted.exlibrisgroup.com/primo-explore/search?tab=default_tab&amp;search_scope=EVERYTHING&amp;vid=01CRU&amp;lang=en_US&amp;offset=0&amp;query=any,contains,991001634359702656","Catalog Record")</f>
        <v/>
      </c>
      <c r="AT1289">
        <f>HYPERLINK("http://www.worldcat.org/oclc/20935299","WorldCat Record")</f>
        <v/>
      </c>
      <c r="AU1289" t="inlineStr">
        <is>
          <t>329825:eng</t>
        </is>
      </c>
      <c r="AV1289" t="inlineStr">
        <is>
          <t>20935299</t>
        </is>
      </c>
      <c r="AW1289" t="inlineStr">
        <is>
          <t>991001634359702656</t>
        </is>
      </c>
      <c r="AX1289" t="inlineStr">
        <is>
          <t>991001634359702656</t>
        </is>
      </c>
      <c r="AY1289" t="inlineStr">
        <is>
          <t>2264295610002656</t>
        </is>
      </c>
      <c r="AZ1289" t="inlineStr">
        <is>
          <t>BOOK</t>
        </is>
      </c>
      <c r="BB1289" t="inlineStr">
        <is>
          <t>9780300047226</t>
        </is>
      </c>
      <c r="BC1289" t="inlineStr">
        <is>
          <t>32285000461888</t>
        </is>
      </c>
      <c r="BD1289" t="inlineStr">
        <is>
          <t>893420447</t>
        </is>
      </c>
    </row>
    <row r="1290">
      <c r="A1290" t="inlineStr">
        <is>
          <t>No</t>
        </is>
      </c>
      <c r="B1290" t="inlineStr">
        <is>
          <t>QH541.5.R27 L371 1990</t>
        </is>
      </c>
      <c r="C1290" t="inlineStr">
        <is>
          <t>0                      QH 0541500R  27                 L  371         1990</t>
        </is>
      </c>
      <c r="D1290" t="inlineStr">
        <is>
          <t>The Last rain forests / general editor, Mark Collins ; introduced by David Attenborough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L1290" t="inlineStr">
        <is>
          <t>[London, Eng.] : Published in association with IUCN [by] M. Beazley,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QH </t>
        </is>
      </c>
      <c r="S1290" t="n">
        <v>38</v>
      </c>
      <c r="T1290" t="n">
        <v>38</v>
      </c>
      <c r="U1290" t="inlineStr">
        <is>
          <t>2006-10-23</t>
        </is>
      </c>
      <c r="V1290" t="inlineStr">
        <is>
          <t>2006-10-23</t>
        </is>
      </c>
      <c r="W1290" t="inlineStr">
        <is>
          <t>1992-06-01</t>
        </is>
      </c>
      <c r="X1290" t="inlineStr">
        <is>
          <t>1992-06-01</t>
        </is>
      </c>
      <c r="Y1290" t="n">
        <v>70</v>
      </c>
      <c r="Z1290" t="n">
        <v>23</v>
      </c>
      <c r="AA1290" t="n">
        <v>1774</v>
      </c>
      <c r="AB1290" t="n">
        <v>1</v>
      </c>
      <c r="AC1290" t="n">
        <v>11</v>
      </c>
      <c r="AD1290" t="n">
        <v>1</v>
      </c>
      <c r="AE1290" t="n">
        <v>32</v>
      </c>
      <c r="AF1290" t="n">
        <v>0</v>
      </c>
      <c r="AG1290" t="n">
        <v>13</v>
      </c>
      <c r="AH1290" t="n">
        <v>0</v>
      </c>
      <c r="AI1290" t="n">
        <v>6</v>
      </c>
      <c r="AJ1290" t="n">
        <v>1</v>
      </c>
      <c r="AK1290" t="n">
        <v>12</v>
      </c>
      <c r="AL1290" t="n">
        <v>0</v>
      </c>
      <c r="AM1290" t="n">
        <v>6</v>
      </c>
      <c r="AN1290" t="n">
        <v>0</v>
      </c>
      <c r="AO1290" t="n">
        <v>1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HYPERLINK("http://catalog.hathitrust.org/Record/002456997","HathiTrust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HYPERLINK("https://creighton-primo.hosted.exlibrisgroup.com/primo-explore/search?tab=default_tab&amp;search_scope=EVERYTHING&amp;vid=01CRU&amp;lang=en_US&amp;offset=0&amp;query=any,contains,991001828779702656","Catalog Record")</f>
        <v/>
      </c>
      <c r="AT1290">
        <f>HYPERLINK("http://www.worldcat.org/oclc/22979054","WorldCat Record")</f>
        <v/>
      </c>
      <c r="AU1290" t="inlineStr">
        <is>
          <t>138711024:eng</t>
        </is>
      </c>
      <c r="AV1290" t="inlineStr">
        <is>
          <t>22979054</t>
        </is>
      </c>
      <c r="AW1290" t="inlineStr">
        <is>
          <t>991001828779702656</t>
        </is>
      </c>
      <c r="AX1290" t="inlineStr">
        <is>
          <t>991001828779702656</t>
        </is>
      </c>
      <c r="AY1290" t="inlineStr">
        <is>
          <t>2268057060002656</t>
        </is>
      </c>
      <c r="AZ1290" t="inlineStr">
        <is>
          <t>BOOK</t>
        </is>
      </c>
      <c r="BB1290" t="inlineStr">
        <is>
          <t>9780855337896</t>
        </is>
      </c>
      <c r="BC1290" t="inlineStr">
        <is>
          <t>32285001125953</t>
        </is>
      </c>
      <c r="BD1290" t="inlineStr">
        <is>
          <t>893703365</t>
        </is>
      </c>
    </row>
    <row r="1291">
      <c r="A1291" t="inlineStr">
        <is>
          <t>No</t>
        </is>
      </c>
      <c r="B1291" t="inlineStr">
        <is>
          <t>QH541.5.R27 L48 1990</t>
        </is>
      </c>
      <c r="C1291" t="inlineStr">
        <is>
          <t>0                      QH 0541500R  27                 L  48          1990</t>
        </is>
      </c>
      <c r="D1291" t="inlineStr">
        <is>
          <t>The rainforest book : how you can save the world's rainforests / Scott Lewis with the Natural Resources Defense Council ; edited by Dwight Holing ; [preface by Robert Redford].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Lewis, Scott.</t>
        </is>
      </c>
      <c r="L1291" t="inlineStr">
        <is>
          <t>Los Angeles : Living Planet Press, c1990.</t>
        </is>
      </c>
      <c r="M1291" t="inlineStr">
        <is>
          <t>1990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QH </t>
        </is>
      </c>
      <c r="S1291" t="n">
        <v>47</v>
      </c>
      <c r="T1291" t="n">
        <v>47</v>
      </c>
      <c r="U1291" t="inlineStr">
        <is>
          <t>2010-02-22</t>
        </is>
      </c>
      <c r="V1291" t="inlineStr">
        <is>
          <t>2010-02-22</t>
        </is>
      </c>
      <c r="W1291" t="inlineStr">
        <is>
          <t>1991-05-30</t>
        </is>
      </c>
      <c r="X1291" t="inlineStr">
        <is>
          <t>1991-05-30</t>
        </is>
      </c>
      <c r="Y1291" t="n">
        <v>521</v>
      </c>
      <c r="Z1291" t="n">
        <v>505</v>
      </c>
      <c r="AA1291" t="n">
        <v>530</v>
      </c>
      <c r="AB1291" t="n">
        <v>2</v>
      </c>
      <c r="AC1291" t="n">
        <v>2</v>
      </c>
      <c r="AD1291" t="n">
        <v>4</v>
      </c>
      <c r="AE1291" t="n">
        <v>5</v>
      </c>
      <c r="AF1291" t="n">
        <v>1</v>
      </c>
      <c r="AG1291" t="n">
        <v>1</v>
      </c>
      <c r="AH1291" t="n">
        <v>0</v>
      </c>
      <c r="AI1291" t="n">
        <v>0</v>
      </c>
      <c r="AJ1291" t="n">
        <v>2</v>
      </c>
      <c r="AK1291" t="n">
        <v>3</v>
      </c>
      <c r="AL1291" t="n">
        <v>0</v>
      </c>
      <c r="AM1291" t="n">
        <v>0</v>
      </c>
      <c r="AN1291" t="n">
        <v>1</v>
      </c>
      <c r="AO1291" t="n">
        <v>1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HYPERLINK("https://creighton-primo.hosted.exlibrisgroup.com/primo-explore/search?tab=default_tab&amp;search_scope=EVERYTHING&amp;vid=01CRU&amp;lang=en_US&amp;offset=0&amp;query=any,contains,991001777929702656","Catalog Record")</f>
        <v/>
      </c>
      <c r="AT1291">
        <f>HYPERLINK("http://www.worldcat.org/oclc/22435185","WorldCat Record")</f>
        <v/>
      </c>
      <c r="AU1291" t="inlineStr">
        <is>
          <t>338067:eng</t>
        </is>
      </c>
      <c r="AV1291" t="inlineStr">
        <is>
          <t>22435185</t>
        </is>
      </c>
      <c r="AW1291" t="inlineStr">
        <is>
          <t>991001777929702656</t>
        </is>
      </c>
      <c r="AX1291" t="inlineStr">
        <is>
          <t>991001777929702656</t>
        </is>
      </c>
      <c r="AY1291" t="inlineStr">
        <is>
          <t>2264488350002656</t>
        </is>
      </c>
      <c r="AZ1291" t="inlineStr">
        <is>
          <t>BOOK</t>
        </is>
      </c>
      <c r="BB1291" t="inlineStr">
        <is>
          <t>9780962607219</t>
        </is>
      </c>
      <c r="BC1291" t="inlineStr">
        <is>
          <t>32285000539956</t>
        </is>
      </c>
      <c r="BD1291" t="inlineStr">
        <is>
          <t>893509912</t>
        </is>
      </c>
    </row>
    <row r="1292">
      <c r="A1292" t="inlineStr">
        <is>
          <t>No</t>
        </is>
      </c>
      <c r="B1292" t="inlineStr">
        <is>
          <t>QH541.5.R27 M33 1992</t>
        </is>
      </c>
      <c r="C1292" t="inlineStr">
        <is>
          <t>0                      QH 0541500R  27                 M  33          1992</t>
        </is>
      </c>
      <c r="D1292" t="inlineStr">
        <is>
          <t>Tropical rain forest ecology / D.J. Mabberley.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Mabberley, D. J.</t>
        </is>
      </c>
      <c r="L1292" t="inlineStr">
        <is>
          <t>Glasgow : Blackie ; New York : Chapman and Hall, 1992.</t>
        </is>
      </c>
      <c r="M1292" t="inlineStr">
        <is>
          <t>1992</t>
        </is>
      </c>
      <c r="N1292" t="inlineStr">
        <is>
          <t>2nd ed.</t>
        </is>
      </c>
      <c r="O1292" t="inlineStr">
        <is>
          <t>eng</t>
        </is>
      </c>
      <c r="P1292" t="inlineStr">
        <is>
          <t>stk</t>
        </is>
      </c>
      <c r="Q1292" t="inlineStr">
        <is>
          <t>Tertiary level biology</t>
        </is>
      </c>
      <c r="R1292" t="inlineStr">
        <is>
          <t xml:space="preserve">QH </t>
        </is>
      </c>
      <c r="S1292" t="n">
        <v>36</v>
      </c>
      <c r="T1292" t="n">
        <v>36</v>
      </c>
      <c r="U1292" t="inlineStr">
        <is>
          <t>2010-02-22</t>
        </is>
      </c>
      <c r="V1292" t="inlineStr">
        <is>
          <t>2010-02-22</t>
        </is>
      </c>
      <c r="W1292" t="inlineStr">
        <is>
          <t>1992-11-12</t>
        </is>
      </c>
      <c r="X1292" t="inlineStr">
        <is>
          <t>1992-11-12</t>
        </is>
      </c>
      <c r="Y1292" t="n">
        <v>382</v>
      </c>
      <c r="Z1292" t="n">
        <v>252</v>
      </c>
      <c r="AA1292" t="n">
        <v>357</v>
      </c>
      <c r="AB1292" t="n">
        <v>2</v>
      </c>
      <c r="AC1292" t="n">
        <v>2</v>
      </c>
      <c r="AD1292" t="n">
        <v>11</v>
      </c>
      <c r="AE1292" t="n">
        <v>12</v>
      </c>
      <c r="AF1292" t="n">
        <v>4</v>
      </c>
      <c r="AG1292" t="n">
        <v>4</v>
      </c>
      <c r="AH1292" t="n">
        <v>2</v>
      </c>
      <c r="AI1292" t="n">
        <v>3</v>
      </c>
      <c r="AJ1292" t="n">
        <v>7</v>
      </c>
      <c r="AK1292" t="n">
        <v>8</v>
      </c>
      <c r="AL1292" t="n">
        <v>1</v>
      </c>
      <c r="AM1292" t="n">
        <v>1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HYPERLINK("http://catalog.hathitrust.org/Record/002508746","HathiTrust Record")</f>
        <v/>
      </c>
      <c r="AS1292">
        <f>HYPERLINK("https://creighton-primo.hosted.exlibrisgroup.com/primo-explore/search?tab=default_tab&amp;search_scope=EVERYTHING&amp;vid=01CRU&amp;lang=en_US&amp;offset=0&amp;query=any,contains,991001887989702656","Catalog Record")</f>
        <v/>
      </c>
      <c r="AT1292">
        <f>HYPERLINK("http://www.worldcat.org/oclc/23769261","WorldCat Record")</f>
        <v/>
      </c>
      <c r="AU1292" t="inlineStr">
        <is>
          <t>24137687:eng</t>
        </is>
      </c>
      <c r="AV1292" t="inlineStr">
        <is>
          <t>23769261</t>
        </is>
      </c>
      <c r="AW1292" t="inlineStr">
        <is>
          <t>991001887989702656</t>
        </is>
      </c>
      <c r="AX1292" t="inlineStr">
        <is>
          <t>991001887989702656</t>
        </is>
      </c>
      <c r="AY1292" t="inlineStr">
        <is>
          <t>2271854290002656</t>
        </is>
      </c>
      <c r="AZ1292" t="inlineStr">
        <is>
          <t>BOOK</t>
        </is>
      </c>
      <c r="BB1292" t="inlineStr">
        <is>
          <t>9780412028915</t>
        </is>
      </c>
      <c r="BC1292" t="inlineStr">
        <is>
          <t>32285001362317</t>
        </is>
      </c>
      <c r="BD1292" t="inlineStr">
        <is>
          <t>893433204</t>
        </is>
      </c>
    </row>
    <row r="1293">
      <c r="A1293" t="inlineStr">
        <is>
          <t>No</t>
        </is>
      </c>
      <c r="B1293" t="inlineStr">
        <is>
          <t>QH541.5.R27 T47 1992</t>
        </is>
      </c>
      <c r="C1293" t="inlineStr">
        <is>
          <t>0                      QH 0541500R  27                 T  47          1992</t>
        </is>
      </c>
      <c r="D1293" t="inlineStr">
        <is>
          <t>Diversity and the tropical rain forest / John Terborgh.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Terborgh, John, 1936-</t>
        </is>
      </c>
      <c r="L1293" t="inlineStr">
        <is>
          <t>New York : Scientific American Library : Distributed by W.H. Freeman, c1992.</t>
        </is>
      </c>
      <c r="M1293" t="inlineStr">
        <is>
          <t>1992</t>
        </is>
      </c>
      <c r="O1293" t="inlineStr">
        <is>
          <t>eng</t>
        </is>
      </c>
      <c r="P1293" t="inlineStr">
        <is>
          <t>nyu</t>
        </is>
      </c>
      <c r="Q1293" t="inlineStr">
        <is>
          <t>Scientific American Library series ; no. 38</t>
        </is>
      </c>
      <c r="R1293" t="inlineStr">
        <is>
          <t xml:space="preserve">QH </t>
        </is>
      </c>
      <c r="S1293" t="n">
        <v>36</v>
      </c>
      <c r="T1293" t="n">
        <v>36</v>
      </c>
      <c r="U1293" t="inlineStr">
        <is>
          <t>2006-10-23</t>
        </is>
      </c>
      <c r="V1293" t="inlineStr">
        <is>
          <t>2006-10-23</t>
        </is>
      </c>
      <c r="W1293" t="inlineStr">
        <is>
          <t>1992-05-08</t>
        </is>
      </c>
      <c r="X1293" t="inlineStr">
        <is>
          <t>1992-05-08</t>
        </is>
      </c>
      <c r="Y1293" t="n">
        <v>1379</v>
      </c>
      <c r="Z1293" t="n">
        <v>1190</v>
      </c>
      <c r="AA1293" t="n">
        <v>1198</v>
      </c>
      <c r="AB1293" t="n">
        <v>5</v>
      </c>
      <c r="AC1293" t="n">
        <v>5</v>
      </c>
      <c r="AD1293" t="n">
        <v>32</v>
      </c>
      <c r="AE1293" t="n">
        <v>32</v>
      </c>
      <c r="AF1293" t="n">
        <v>15</v>
      </c>
      <c r="AG1293" t="n">
        <v>15</v>
      </c>
      <c r="AH1293" t="n">
        <v>6</v>
      </c>
      <c r="AI1293" t="n">
        <v>6</v>
      </c>
      <c r="AJ1293" t="n">
        <v>17</v>
      </c>
      <c r="AK1293" t="n">
        <v>17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No</t>
        </is>
      </c>
      <c r="AS1293">
        <f>HYPERLINK("https://creighton-primo.hosted.exlibrisgroup.com/primo-explore/search?tab=default_tab&amp;search_scope=EVERYTHING&amp;vid=01CRU&amp;lang=en_US&amp;offset=0&amp;query=any,contains,991001920299702656","Catalog Record")</f>
        <v/>
      </c>
      <c r="AT1293">
        <f>HYPERLINK("http://www.worldcat.org/oclc/24246504","WorldCat Record")</f>
        <v/>
      </c>
      <c r="AU1293" t="inlineStr">
        <is>
          <t>27287527:eng</t>
        </is>
      </c>
      <c r="AV1293" t="inlineStr">
        <is>
          <t>24246504</t>
        </is>
      </c>
      <c r="AW1293" t="inlineStr">
        <is>
          <t>991001920299702656</t>
        </is>
      </c>
      <c r="AX1293" t="inlineStr">
        <is>
          <t>991001920299702656</t>
        </is>
      </c>
      <c r="AY1293" t="inlineStr">
        <is>
          <t>2263997750002656</t>
        </is>
      </c>
      <c r="AZ1293" t="inlineStr">
        <is>
          <t>BOOK</t>
        </is>
      </c>
      <c r="BB1293" t="inlineStr">
        <is>
          <t>9780716750307</t>
        </is>
      </c>
      <c r="BC1293" t="inlineStr">
        <is>
          <t>32285001039659</t>
        </is>
      </c>
      <c r="BD1293" t="inlineStr">
        <is>
          <t>893529335</t>
        </is>
      </c>
    </row>
    <row r="1294">
      <c r="A1294" t="inlineStr">
        <is>
          <t>No</t>
        </is>
      </c>
      <c r="B1294" t="inlineStr">
        <is>
          <t>QH541.5.R27 W45 1998</t>
        </is>
      </c>
      <c r="C1294" t="inlineStr">
        <is>
          <t>0                      QH 0541500R  27                 W  45          1998</t>
        </is>
      </c>
      <c r="D1294" t="inlineStr">
        <is>
          <t>An introduction to tropical rain forests / T.C. Whitmore.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Whitmore, T. C. (Timothy Charles)</t>
        </is>
      </c>
      <c r="L1294" t="inlineStr">
        <is>
          <t>Oxford ; New York : Oxford University Press, 1998.</t>
        </is>
      </c>
      <c r="M1294" t="inlineStr">
        <is>
          <t>1998</t>
        </is>
      </c>
      <c r="N1294" t="inlineStr">
        <is>
          <t>2nd ed.</t>
        </is>
      </c>
      <c r="O1294" t="inlineStr">
        <is>
          <t>eng</t>
        </is>
      </c>
      <c r="P1294" t="inlineStr">
        <is>
          <t>enk</t>
        </is>
      </c>
      <c r="R1294" t="inlineStr">
        <is>
          <t xml:space="preserve">QH </t>
        </is>
      </c>
      <c r="S1294" t="n">
        <v>7</v>
      </c>
      <c r="T1294" t="n">
        <v>7</v>
      </c>
      <c r="U1294" t="inlineStr">
        <is>
          <t>2010-02-22</t>
        </is>
      </c>
      <c r="V1294" t="inlineStr">
        <is>
          <t>2010-02-22</t>
        </is>
      </c>
      <c r="W1294" t="inlineStr">
        <is>
          <t>2005-12-15</t>
        </is>
      </c>
      <c r="X1294" t="inlineStr">
        <is>
          <t>2005-12-15</t>
        </is>
      </c>
      <c r="Y1294" t="n">
        <v>456</v>
      </c>
      <c r="Z1294" t="n">
        <v>277</v>
      </c>
      <c r="AA1294" t="n">
        <v>725</v>
      </c>
      <c r="AB1294" t="n">
        <v>2</v>
      </c>
      <c r="AC1294" t="n">
        <v>6</v>
      </c>
      <c r="AD1294" t="n">
        <v>8</v>
      </c>
      <c r="AE1294" t="n">
        <v>23</v>
      </c>
      <c r="AF1294" t="n">
        <v>4</v>
      </c>
      <c r="AG1294" t="n">
        <v>10</v>
      </c>
      <c r="AH1294" t="n">
        <v>2</v>
      </c>
      <c r="AI1294" t="n">
        <v>5</v>
      </c>
      <c r="AJ1294" t="n">
        <v>2</v>
      </c>
      <c r="AK1294" t="n">
        <v>9</v>
      </c>
      <c r="AL1294" t="n">
        <v>1</v>
      </c>
      <c r="AM1294" t="n">
        <v>4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HYPERLINK("https://creighton-primo.hosted.exlibrisgroup.com/primo-explore/search?tab=default_tab&amp;search_scope=EVERYTHING&amp;vid=01CRU&amp;lang=en_US&amp;offset=0&amp;query=any,contains,991004703789702656","Catalog Record")</f>
        <v/>
      </c>
      <c r="AT1294">
        <f>HYPERLINK("http://www.worldcat.org/oclc/37513047","WorldCat Record")</f>
        <v/>
      </c>
      <c r="AU1294" t="inlineStr">
        <is>
          <t>599195:eng</t>
        </is>
      </c>
      <c r="AV1294" t="inlineStr">
        <is>
          <t>37513047</t>
        </is>
      </c>
      <c r="AW1294" t="inlineStr">
        <is>
          <t>991004703789702656</t>
        </is>
      </c>
      <c r="AX1294" t="inlineStr">
        <is>
          <t>991004703789702656</t>
        </is>
      </c>
      <c r="AY1294" t="inlineStr">
        <is>
          <t>2269629190002656</t>
        </is>
      </c>
      <c r="AZ1294" t="inlineStr">
        <is>
          <t>BOOK</t>
        </is>
      </c>
      <c r="BB1294" t="inlineStr">
        <is>
          <t>9780198501473</t>
        </is>
      </c>
      <c r="BC1294" t="inlineStr">
        <is>
          <t>32285005152573</t>
        </is>
      </c>
      <c r="BD1294" t="inlineStr">
        <is>
          <t>893706737</t>
        </is>
      </c>
    </row>
    <row r="1295">
      <c r="A1295" t="inlineStr">
        <is>
          <t>No</t>
        </is>
      </c>
      <c r="B1295" t="inlineStr">
        <is>
          <t>QH541.5.S22 H36 1986</t>
        </is>
      </c>
      <c r="C1295" t="inlineStr">
        <is>
          <t>0                      QH 0541500S  22                 H  36          1986</t>
        </is>
      </c>
      <c r="D1295" t="inlineStr">
        <is>
          <t>Saline lake ecosystems of the world / by U. Theodore Hammer.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Hammer, U. T. (Ulrich Theodore), 1924-</t>
        </is>
      </c>
      <c r="L1295" t="inlineStr">
        <is>
          <t>Dordrecht ; Boston : Dr. W. Junk Publishers, c1986.</t>
        </is>
      </c>
      <c r="M1295" t="inlineStr">
        <is>
          <t>1986</t>
        </is>
      </c>
      <c r="O1295" t="inlineStr">
        <is>
          <t>eng</t>
        </is>
      </c>
      <c r="P1295" t="inlineStr">
        <is>
          <t xml:space="preserve">ne </t>
        </is>
      </c>
      <c r="Q1295" t="inlineStr">
        <is>
          <t>Monographiae biologicae ; v. 59</t>
        </is>
      </c>
      <c r="R1295" t="inlineStr">
        <is>
          <t xml:space="preserve">QH </t>
        </is>
      </c>
      <c r="S1295" t="n">
        <v>3</v>
      </c>
      <c r="T1295" t="n">
        <v>3</v>
      </c>
      <c r="U1295" t="inlineStr">
        <is>
          <t>2010-01-22</t>
        </is>
      </c>
      <c r="V1295" t="inlineStr">
        <is>
          <t>2010-01-22</t>
        </is>
      </c>
      <c r="W1295" t="inlineStr">
        <is>
          <t>1991-11-19</t>
        </is>
      </c>
      <c r="X1295" t="inlineStr">
        <is>
          <t>1991-11-19</t>
        </is>
      </c>
      <c r="Y1295" t="n">
        <v>196</v>
      </c>
      <c r="Z1295" t="n">
        <v>135</v>
      </c>
      <c r="AA1295" t="n">
        <v>135</v>
      </c>
      <c r="AB1295" t="n">
        <v>1</v>
      </c>
      <c r="AC1295" t="n">
        <v>1</v>
      </c>
      <c r="AD1295" t="n">
        <v>1</v>
      </c>
      <c r="AE1295" t="n">
        <v>1</v>
      </c>
      <c r="AF1295" t="n">
        <v>0</v>
      </c>
      <c r="AG1295" t="n">
        <v>0</v>
      </c>
      <c r="AH1295" t="n">
        <v>0</v>
      </c>
      <c r="AI1295" t="n">
        <v>0</v>
      </c>
      <c r="AJ1295" t="n">
        <v>1</v>
      </c>
      <c r="AK1295" t="n">
        <v>1</v>
      </c>
      <c r="AL1295" t="n">
        <v>0</v>
      </c>
      <c r="AM1295" t="n">
        <v>0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HYPERLINK("https://creighton-primo.hosted.exlibrisgroup.com/primo-explore/search?tab=default_tab&amp;search_scope=EVERYTHING&amp;vid=01CRU&amp;lang=en_US&amp;offset=0&amp;query=any,contains,991000678309702656","Catalog Record")</f>
        <v/>
      </c>
      <c r="AT1295">
        <f>HYPERLINK("http://www.worldcat.org/oclc/12370943","WorldCat Record")</f>
        <v/>
      </c>
      <c r="AU1295" t="inlineStr">
        <is>
          <t>355413185:eng</t>
        </is>
      </c>
      <c r="AV1295" t="inlineStr">
        <is>
          <t>12370943</t>
        </is>
      </c>
      <c r="AW1295" t="inlineStr">
        <is>
          <t>991000678309702656</t>
        </is>
      </c>
      <c r="AX1295" t="inlineStr">
        <is>
          <t>991000678309702656</t>
        </is>
      </c>
      <c r="AY1295" t="inlineStr">
        <is>
          <t>2261361410002656</t>
        </is>
      </c>
      <c r="AZ1295" t="inlineStr">
        <is>
          <t>BOOK</t>
        </is>
      </c>
      <c r="BB1295" t="inlineStr">
        <is>
          <t>9789061935353</t>
        </is>
      </c>
      <c r="BC1295" t="inlineStr">
        <is>
          <t>32285000824598</t>
        </is>
      </c>
      <c r="BD1295" t="inlineStr">
        <is>
          <t>893528285</t>
        </is>
      </c>
    </row>
    <row r="1296">
      <c r="A1296" t="inlineStr">
        <is>
          <t>No</t>
        </is>
      </c>
      <c r="B1296" t="inlineStr">
        <is>
          <t>QH541.5.S24 E248 2004</t>
        </is>
      </c>
      <c r="C1296" t="inlineStr">
        <is>
          <t>0                      QH 0541500S  24                 E  248         2004</t>
        </is>
      </c>
      <c r="D1296" t="inlineStr">
        <is>
          <t>The ecogeomorphology of tidal marshes / Sergio Fagherazzi, Marco Marani, and Linda K. Blum (eds.).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L1296" t="inlineStr">
        <is>
          <t>Washington, DC : American Geophysical Union, c2004.</t>
        </is>
      </c>
      <c r="M1296" t="inlineStr">
        <is>
          <t>2004</t>
        </is>
      </c>
      <c r="O1296" t="inlineStr">
        <is>
          <t>eng</t>
        </is>
      </c>
      <c r="P1296" t="inlineStr">
        <is>
          <t>dcu</t>
        </is>
      </c>
      <c r="Q1296" t="inlineStr">
        <is>
          <t>Coastal and estuarine studies, 0733-9569 ; 59</t>
        </is>
      </c>
      <c r="R1296" t="inlineStr">
        <is>
          <t xml:space="preserve">QH </t>
        </is>
      </c>
      <c r="S1296" t="n">
        <v>6</v>
      </c>
      <c r="T1296" t="n">
        <v>6</v>
      </c>
      <c r="U1296" t="inlineStr">
        <is>
          <t>2010-08-12</t>
        </is>
      </c>
      <c r="V1296" t="inlineStr">
        <is>
          <t>2010-08-12</t>
        </is>
      </c>
      <c r="W1296" t="inlineStr">
        <is>
          <t>2006-03-07</t>
        </is>
      </c>
      <c r="X1296" t="inlineStr">
        <is>
          <t>2006-03-07</t>
        </is>
      </c>
      <c r="Y1296" t="n">
        <v>127</v>
      </c>
      <c r="Z1296" t="n">
        <v>93</v>
      </c>
      <c r="AA1296" t="n">
        <v>154</v>
      </c>
      <c r="AB1296" t="n">
        <v>1</v>
      </c>
      <c r="AC1296" t="n">
        <v>2</v>
      </c>
      <c r="AD1296" t="n">
        <v>0</v>
      </c>
      <c r="AE1296" t="n">
        <v>1</v>
      </c>
      <c r="AF1296" t="n">
        <v>0</v>
      </c>
      <c r="AG1296" t="n">
        <v>0</v>
      </c>
      <c r="AH1296" t="n">
        <v>0</v>
      </c>
      <c r="AI1296" t="n">
        <v>0</v>
      </c>
      <c r="AJ1296" t="n">
        <v>0</v>
      </c>
      <c r="AK1296" t="n">
        <v>0</v>
      </c>
      <c r="AL1296" t="n">
        <v>0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HYPERLINK("http://catalog.hathitrust.org/Record/007258446","HathiTrust Record")</f>
        <v/>
      </c>
      <c r="AS1296">
        <f>HYPERLINK("https://creighton-primo.hosted.exlibrisgroup.com/primo-explore/search?tab=default_tab&amp;search_scope=EVERYTHING&amp;vid=01CRU&amp;lang=en_US&amp;offset=0&amp;query=any,contains,991004762119702656","Catalog Record")</f>
        <v/>
      </c>
      <c r="AT1296">
        <f>HYPERLINK("http://www.worldcat.org/oclc/56904790","WorldCat Record")</f>
        <v/>
      </c>
      <c r="AU1296" t="inlineStr">
        <is>
          <t>351056237:eng</t>
        </is>
      </c>
      <c r="AV1296" t="inlineStr">
        <is>
          <t>56904790</t>
        </is>
      </c>
      <c r="AW1296" t="inlineStr">
        <is>
          <t>991004762119702656</t>
        </is>
      </c>
      <c r="AX1296" t="inlineStr">
        <is>
          <t>991004762119702656</t>
        </is>
      </c>
      <c r="AY1296" t="inlineStr">
        <is>
          <t>2268710320002656</t>
        </is>
      </c>
      <c r="AZ1296" t="inlineStr">
        <is>
          <t>BOOK</t>
        </is>
      </c>
      <c r="BB1296" t="inlineStr">
        <is>
          <t>9780875902739</t>
        </is>
      </c>
      <c r="BC1296" t="inlineStr">
        <is>
          <t>32285005187991</t>
        </is>
      </c>
      <c r="BD1296" t="inlineStr">
        <is>
          <t>893600203</t>
        </is>
      </c>
    </row>
    <row r="1297">
      <c r="A1297" t="inlineStr">
        <is>
          <t>No</t>
        </is>
      </c>
      <c r="B1297" t="inlineStr">
        <is>
          <t>QH541.5.S24 E26</t>
        </is>
      </c>
      <c r="C1297" t="inlineStr">
        <is>
          <t>0                      QH 0541500S  24                 E  26</t>
        </is>
      </c>
      <c r="D1297" t="inlineStr">
        <is>
          <t>The Ecology of a salt marsh / edited by L.R. Pomeroy and R.G. Wiegert.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L1297" t="inlineStr">
        <is>
          <t>New York : Springer-Verlag, c1981.</t>
        </is>
      </c>
      <c r="M1297" t="inlineStr">
        <is>
          <t>1981</t>
        </is>
      </c>
      <c r="O1297" t="inlineStr">
        <is>
          <t>eng</t>
        </is>
      </c>
      <c r="P1297" t="inlineStr">
        <is>
          <t>nyu</t>
        </is>
      </c>
      <c r="Q1297" t="inlineStr">
        <is>
          <t>Ecological studies ; v. 38</t>
        </is>
      </c>
      <c r="R1297" t="inlineStr">
        <is>
          <t xml:space="preserve">QH </t>
        </is>
      </c>
      <c r="S1297" t="n">
        <v>10</v>
      </c>
      <c r="T1297" t="n">
        <v>10</v>
      </c>
      <c r="U1297" t="inlineStr">
        <is>
          <t>2010-08-12</t>
        </is>
      </c>
      <c r="V1297" t="inlineStr">
        <is>
          <t>2010-08-12</t>
        </is>
      </c>
      <c r="W1297" t="inlineStr">
        <is>
          <t>1993-05-03</t>
        </is>
      </c>
      <c r="X1297" t="inlineStr">
        <is>
          <t>1993-05-03</t>
        </is>
      </c>
      <c r="Y1297" t="n">
        <v>696</v>
      </c>
      <c r="Z1297" t="n">
        <v>527</v>
      </c>
      <c r="AA1297" t="n">
        <v>530</v>
      </c>
      <c r="AB1297" t="n">
        <v>4</v>
      </c>
      <c r="AC1297" t="n">
        <v>4</v>
      </c>
      <c r="AD1297" t="n">
        <v>24</v>
      </c>
      <c r="AE1297" t="n">
        <v>24</v>
      </c>
      <c r="AF1297" t="n">
        <v>11</v>
      </c>
      <c r="AG1297" t="n">
        <v>11</v>
      </c>
      <c r="AH1297" t="n">
        <v>6</v>
      </c>
      <c r="AI1297" t="n">
        <v>6</v>
      </c>
      <c r="AJ1297" t="n">
        <v>12</v>
      </c>
      <c r="AK1297" t="n">
        <v>12</v>
      </c>
      <c r="AL1297" t="n">
        <v>3</v>
      </c>
      <c r="AM1297" t="n">
        <v>3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HYPERLINK("http://catalog.hathitrust.org/Record/000183718","HathiTrust Record")</f>
        <v/>
      </c>
      <c r="AS1297">
        <f>HYPERLINK("https://creighton-primo.hosted.exlibrisgroup.com/primo-explore/search?tab=default_tab&amp;search_scope=EVERYTHING&amp;vid=01CRU&amp;lang=en_US&amp;offset=0&amp;query=any,contains,991005090329702656","Catalog Record")</f>
        <v/>
      </c>
      <c r="AT1297">
        <f>HYPERLINK("http://www.worldcat.org/oclc/7206879","WorldCat Record")</f>
        <v/>
      </c>
      <c r="AU1297" t="inlineStr">
        <is>
          <t>353656496:eng</t>
        </is>
      </c>
      <c r="AV1297" t="inlineStr">
        <is>
          <t>7206879</t>
        </is>
      </c>
      <c r="AW1297" t="inlineStr">
        <is>
          <t>991005090329702656</t>
        </is>
      </c>
      <c r="AX1297" t="inlineStr">
        <is>
          <t>991005090329702656</t>
        </is>
      </c>
      <c r="AY1297" t="inlineStr">
        <is>
          <t>2266050100002656</t>
        </is>
      </c>
      <c r="AZ1297" t="inlineStr">
        <is>
          <t>BOOK</t>
        </is>
      </c>
      <c r="BC1297" t="inlineStr">
        <is>
          <t>32285001642601</t>
        </is>
      </c>
      <c r="BD1297" t="inlineStr">
        <is>
          <t>893783001</t>
        </is>
      </c>
    </row>
    <row r="1298">
      <c r="A1298" t="inlineStr">
        <is>
          <t>No</t>
        </is>
      </c>
      <c r="B1298" t="inlineStr">
        <is>
          <t>QH541.5.S24 M37</t>
        </is>
      </c>
      <c r="C1298" t="inlineStr">
        <is>
          <t>0                      QH 0541500S  24                 M  37</t>
        </is>
      </c>
      <c r="D1298" t="inlineStr">
        <is>
          <t>Marsh-estuarine systems simulation / edited by Richard F. Dame.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Columbia, S.C. : Published for the Belle W. Baruch Institute for Marine Biology and Coastal Research by the University of South Carolina Press, 1979.</t>
        </is>
      </c>
      <c r="M1298" t="inlineStr">
        <is>
          <t>1979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scu</t>
        </is>
      </c>
      <c r="Q1298" t="inlineStr">
        <is>
          <t>The Belle W. Baruch library in marine science ; no. 8</t>
        </is>
      </c>
      <c r="R1298" t="inlineStr">
        <is>
          <t xml:space="preserve">QH </t>
        </is>
      </c>
      <c r="S1298" t="n">
        <v>3</v>
      </c>
      <c r="T1298" t="n">
        <v>3</v>
      </c>
      <c r="U1298" t="inlineStr">
        <is>
          <t>1994-09-26</t>
        </is>
      </c>
      <c r="V1298" t="inlineStr">
        <is>
          <t>1994-09-26</t>
        </is>
      </c>
      <c r="W1298" t="inlineStr">
        <is>
          <t>1993-05-03</t>
        </is>
      </c>
      <c r="X1298" t="inlineStr">
        <is>
          <t>1993-05-03</t>
        </is>
      </c>
      <c r="Y1298" t="n">
        <v>272</v>
      </c>
      <c r="Z1298" t="n">
        <v>229</v>
      </c>
      <c r="AA1298" t="n">
        <v>231</v>
      </c>
      <c r="AB1298" t="n">
        <v>2</v>
      </c>
      <c r="AC1298" t="n">
        <v>2</v>
      </c>
      <c r="AD1298" t="n">
        <v>5</v>
      </c>
      <c r="AE1298" t="n">
        <v>5</v>
      </c>
      <c r="AF1298" t="n">
        <v>1</v>
      </c>
      <c r="AG1298" t="n">
        <v>1</v>
      </c>
      <c r="AH1298" t="n">
        <v>2</v>
      </c>
      <c r="AI1298" t="n">
        <v>2</v>
      </c>
      <c r="AJ1298" t="n">
        <v>2</v>
      </c>
      <c r="AK1298" t="n">
        <v>2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HYPERLINK("http://catalog.hathitrust.org/Record/000259152","HathiTrust Record")</f>
        <v/>
      </c>
      <c r="AS1298">
        <f>HYPERLINK("https://creighton-primo.hosted.exlibrisgroup.com/primo-explore/search?tab=default_tab&amp;search_scope=EVERYTHING&amp;vid=01CRU&amp;lang=en_US&amp;offset=0&amp;query=any,contains,991004686009702656","Catalog Record")</f>
        <v/>
      </c>
      <c r="AT1298">
        <f>HYPERLINK("http://www.worldcat.org/oclc/4592948","WorldCat Record")</f>
        <v/>
      </c>
      <c r="AU1298" t="inlineStr">
        <is>
          <t>355865421:eng</t>
        </is>
      </c>
      <c r="AV1298" t="inlineStr">
        <is>
          <t>4592948</t>
        </is>
      </c>
      <c r="AW1298" t="inlineStr">
        <is>
          <t>991004686009702656</t>
        </is>
      </c>
      <c r="AX1298" t="inlineStr">
        <is>
          <t>991004686009702656</t>
        </is>
      </c>
      <c r="AY1298" t="inlineStr">
        <is>
          <t>2272780910002656</t>
        </is>
      </c>
      <c r="AZ1298" t="inlineStr">
        <is>
          <t>BOOK</t>
        </is>
      </c>
      <c r="BB1298" t="inlineStr">
        <is>
          <t>9780872493759</t>
        </is>
      </c>
      <c r="BC1298" t="inlineStr">
        <is>
          <t>32285001642619</t>
        </is>
      </c>
      <c r="BD1298" t="inlineStr">
        <is>
          <t>893801224</t>
        </is>
      </c>
    </row>
    <row r="1299">
      <c r="A1299" t="inlineStr">
        <is>
          <t>No</t>
        </is>
      </c>
      <c r="B1299" t="inlineStr">
        <is>
          <t>QH541.5.S24 T4</t>
        </is>
      </c>
      <c r="C1299" t="inlineStr">
        <is>
          <t>0                      QH 0541500S  24                 T  4</t>
        </is>
      </c>
      <c r="D1299" t="inlineStr">
        <is>
          <t>Life and death of the salt marsh / by John and Mildred Teal. Illustrated by Richard G. Fish.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Teal, John.</t>
        </is>
      </c>
      <c r="L1299" t="inlineStr">
        <is>
          <t>Boston : Little, Brown, [1969]</t>
        </is>
      </c>
      <c r="M1299" t="inlineStr">
        <is>
          <t>1969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mau</t>
        </is>
      </c>
      <c r="R1299" t="inlineStr">
        <is>
          <t xml:space="preserve">QH </t>
        </is>
      </c>
      <c r="S1299" t="n">
        <v>2</v>
      </c>
      <c r="T1299" t="n">
        <v>2</v>
      </c>
      <c r="U1299" t="inlineStr">
        <is>
          <t>1994-10-13</t>
        </is>
      </c>
      <c r="V1299" t="inlineStr">
        <is>
          <t>1994-10-13</t>
        </is>
      </c>
      <c r="W1299" t="inlineStr">
        <is>
          <t>1994-01-27</t>
        </is>
      </c>
      <c r="X1299" t="inlineStr">
        <is>
          <t>1994-01-27</t>
        </is>
      </c>
      <c r="Y1299" t="n">
        <v>1099</v>
      </c>
      <c r="Z1299" t="n">
        <v>1036</v>
      </c>
      <c r="AA1299" t="n">
        <v>1129</v>
      </c>
      <c r="AB1299" t="n">
        <v>6</v>
      </c>
      <c r="AC1299" t="n">
        <v>6</v>
      </c>
      <c r="AD1299" t="n">
        <v>24</v>
      </c>
      <c r="AE1299" t="n">
        <v>25</v>
      </c>
      <c r="AF1299" t="n">
        <v>11</v>
      </c>
      <c r="AG1299" t="n">
        <v>11</v>
      </c>
      <c r="AH1299" t="n">
        <v>4</v>
      </c>
      <c r="AI1299" t="n">
        <v>4</v>
      </c>
      <c r="AJ1299" t="n">
        <v>10</v>
      </c>
      <c r="AK1299" t="n">
        <v>11</v>
      </c>
      <c r="AL1299" t="n">
        <v>4</v>
      </c>
      <c r="AM1299" t="n">
        <v>4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HYPERLINK("http://catalog.hathitrust.org/Record/006965220","HathiTrust Record")</f>
        <v/>
      </c>
      <c r="AS1299">
        <f>HYPERLINK("https://creighton-primo.hosted.exlibrisgroup.com/primo-explore/search?tab=default_tab&amp;search_scope=EVERYTHING&amp;vid=01CRU&amp;lang=en_US&amp;offset=0&amp;query=any,contains,991000060869702656","Catalog Record")</f>
        <v/>
      </c>
      <c r="AT1299">
        <f>HYPERLINK("http://www.worldcat.org/oclc/24527","WorldCat Record")</f>
        <v/>
      </c>
      <c r="AU1299" t="inlineStr">
        <is>
          <t>448892:eng</t>
        </is>
      </c>
      <c r="AV1299" t="inlineStr">
        <is>
          <t>24527</t>
        </is>
      </c>
      <c r="AW1299" t="inlineStr">
        <is>
          <t>991000060869702656</t>
        </is>
      </c>
      <c r="AX1299" t="inlineStr">
        <is>
          <t>991000060869702656</t>
        </is>
      </c>
      <c r="AY1299" t="inlineStr">
        <is>
          <t>2266733840002656</t>
        </is>
      </c>
      <c r="AZ1299" t="inlineStr">
        <is>
          <t>BOOK</t>
        </is>
      </c>
      <c r="BB1299" t="inlineStr">
        <is>
          <t>9780345243836</t>
        </is>
      </c>
      <c r="BC1299" t="inlineStr">
        <is>
          <t>32285001836245</t>
        </is>
      </c>
      <c r="BD1299" t="inlineStr">
        <is>
          <t>893339231</t>
        </is>
      </c>
    </row>
    <row r="1300">
      <c r="A1300" t="inlineStr">
        <is>
          <t>No</t>
        </is>
      </c>
      <c r="B1300" t="inlineStr">
        <is>
          <t>QH541.5.S24 W47</t>
        </is>
      </c>
      <c r="C1300" t="inlineStr">
        <is>
          <t>0                      QH 0541500S  24                 W  47</t>
        </is>
      </c>
      <c r="D1300" t="inlineStr">
        <is>
          <t>Wet coastal ecosystems / edited by V. J. Chapman.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Amsterdam : Elsevier Scientific Pub. Co. ; New York : distributors for the United States and Canada, Elsevier/North Holland,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 xml:space="preserve">ne </t>
        </is>
      </c>
      <c r="Q1300" t="inlineStr">
        <is>
          <t>Ecosystems of the world ; 1</t>
        </is>
      </c>
      <c r="R1300" t="inlineStr">
        <is>
          <t xml:space="preserve">QH </t>
        </is>
      </c>
      <c r="S1300" t="n">
        <v>15</v>
      </c>
      <c r="T1300" t="n">
        <v>15</v>
      </c>
      <c r="U1300" t="inlineStr">
        <is>
          <t>2006-11-02</t>
        </is>
      </c>
      <c r="V1300" t="inlineStr">
        <is>
          <t>2006-11-02</t>
        </is>
      </c>
      <c r="W1300" t="inlineStr">
        <is>
          <t>1995-05-16</t>
        </is>
      </c>
      <c r="X1300" t="inlineStr">
        <is>
          <t>1995-05-16</t>
        </is>
      </c>
      <c r="Y1300" t="n">
        <v>638</v>
      </c>
      <c r="Z1300" t="n">
        <v>421</v>
      </c>
      <c r="AA1300" t="n">
        <v>426</v>
      </c>
      <c r="AB1300" t="n">
        <v>3</v>
      </c>
      <c r="AC1300" t="n">
        <v>3</v>
      </c>
      <c r="AD1300" t="n">
        <v>9</v>
      </c>
      <c r="AE1300" t="n">
        <v>9</v>
      </c>
      <c r="AF1300" t="n">
        <v>2</v>
      </c>
      <c r="AG1300" t="n">
        <v>2</v>
      </c>
      <c r="AH1300" t="n">
        <v>2</v>
      </c>
      <c r="AI1300" t="n">
        <v>2</v>
      </c>
      <c r="AJ1300" t="n">
        <v>5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HYPERLINK("https://creighton-primo.hosted.exlibrisgroup.com/primo-explore/search?tab=default_tab&amp;search_scope=EVERYTHING&amp;vid=01CRU&amp;lang=en_US&amp;offset=0&amp;query=any,contains,991004247629702656","Catalog Record")</f>
        <v/>
      </c>
      <c r="AT1300">
        <f>HYPERLINK("http://www.worldcat.org/oclc/2798937","WorldCat Record")</f>
        <v/>
      </c>
      <c r="AU1300" t="inlineStr">
        <is>
          <t>482702:eng</t>
        </is>
      </c>
      <c r="AV1300" t="inlineStr">
        <is>
          <t>2798937</t>
        </is>
      </c>
      <c r="AW1300" t="inlineStr">
        <is>
          <t>991004247629702656</t>
        </is>
      </c>
      <c r="AX1300" t="inlineStr">
        <is>
          <t>991004247629702656</t>
        </is>
      </c>
      <c r="AY1300" t="inlineStr">
        <is>
          <t>2270918210002656</t>
        </is>
      </c>
      <c r="AZ1300" t="inlineStr">
        <is>
          <t>BOOK</t>
        </is>
      </c>
      <c r="BB1300" t="inlineStr">
        <is>
          <t>9780444415608</t>
        </is>
      </c>
      <c r="BC1300" t="inlineStr">
        <is>
          <t>32285002034113</t>
        </is>
      </c>
      <c r="BD1300" t="inlineStr">
        <is>
          <t>893687520</t>
        </is>
      </c>
    </row>
    <row r="1301">
      <c r="A1301" t="inlineStr">
        <is>
          <t>No</t>
        </is>
      </c>
      <c r="B1301" t="inlineStr">
        <is>
          <t>QH541.5.S3 E22 1992</t>
        </is>
      </c>
      <c r="C1301" t="inlineStr">
        <is>
          <t>0                      QH 0541500S  3                  E  22          1992</t>
        </is>
      </c>
      <c r="D1301" t="inlineStr">
        <is>
          <t>Ecological roles of marine natural products / edited by Valerie J. Paul.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L1301" t="inlineStr">
        <is>
          <t>Ithaca, N.Y. : Comstock Pub. Associates, 1992.</t>
        </is>
      </c>
      <c r="M1301" t="inlineStr">
        <is>
          <t>1992</t>
        </is>
      </c>
      <c r="O1301" t="inlineStr">
        <is>
          <t>eng</t>
        </is>
      </c>
      <c r="P1301" t="inlineStr">
        <is>
          <t>nyu</t>
        </is>
      </c>
      <c r="Q1301" t="inlineStr">
        <is>
          <t>Explorations in chemical ecology</t>
        </is>
      </c>
      <c r="R1301" t="inlineStr">
        <is>
          <t xml:space="preserve">QH </t>
        </is>
      </c>
      <c r="S1301" t="n">
        <v>22</v>
      </c>
      <c r="T1301" t="n">
        <v>22</v>
      </c>
      <c r="U1301" t="inlineStr">
        <is>
          <t>2000-01-23</t>
        </is>
      </c>
      <c r="V1301" t="inlineStr">
        <is>
          <t>2000-01-23</t>
        </is>
      </c>
      <c r="W1301" t="inlineStr">
        <is>
          <t>1994-06-07</t>
        </is>
      </c>
      <c r="X1301" t="inlineStr">
        <is>
          <t>1994-06-07</t>
        </is>
      </c>
      <c r="Y1301" t="n">
        <v>293</v>
      </c>
      <c r="Z1301" t="n">
        <v>240</v>
      </c>
      <c r="AA1301" t="n">
        <v>248</v>
      </c>
      <c r="AB1301" t="n">
        <v>2</v>
      </c>
      <c r="AC1301" t="n">
        <v>2</v>
      </c>
      <c r="AD1301" t="n">
        <v>6</v>
      </c>
      <c r="AE1301" t="n">
        <v>6</v>
      </c>
      <c r="AF1301" t="n">
        <v>1</v>
      </c>
      <c r="AG1301" t="n">
        <v>1</v>
      </c>
      <c r="AH1301" t="n">
        <v>2</v>
      </c>
      <c r="AI1301" t="n">
        <v>2</v>
      </c>
      <c r="AJ1301" t="n">
        <v>3</v>
      </c>
      <c r="AK1301" t="n">
        <v>3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HYPERLINK("http://catalog.hathitrust.org/Record/002548364","HathiTrust Record")</f>
        <v/>
      </c>
      <c r="AS1301">
        <f>HYPERLINK("https://creighton-primo.hosted.exlibrisgroup.com/primo-explore/search?tab=default_tab&amp;search_scope=EVERYTHING&amp;vid=01CRU&amp;lang=en_US&amp;offset=0&amp;query=any,contains,991001948009702656","Catalog Record")</f>
        <v/>
      </c>
      <c r="AT1301">
        <f>HYPERLINK("http://www.worldcat.org/oclc/24627814","WorldCat Record")</f>
        <v/>
      </c>
      <c r="AU1301" t="inlineStr">
        <is>
          <t>26987449:eng</t>
        </is>
      </c>
      <c r="AV1301" t="inlineStr">
        <is>
          <t>24627814</t>
        </is>
      </c>
      <c r="AW1301" t="inlineStr">
        <is>
          <t>991001948009702656</t>
        </is>
      </c>
      <c r="AX1301" t="inlineStr">
        <is>
          <t>991001948009702656</t>
        </is>
      </c>
      <c r="AY1301" t="inlineStr">
        <is>
          <t>2261575970002656</t>
        </is>
      </c>
      <c r="AZ1301" t="inlineStr">
        <is>
          <t>BOOK</t>
        </is>
      </c>
      <c r="BB1301" t="inlineStr">
        <is>
          <t>9780801427275</t>
        </is>
      </c>
      <c r="BC1301" t="inlineStr">
        <is>
          <t>32285001922102</t>
        </is>
      </c>
      <c r="BD1301" t="inlineStr">
        <is>
          <t>893316200</t>
        </is>
      </c>
    </row>
    <row r="1302">
      <c r="A1302" t="inlineStr">
        <is>
          <t>No</t>
        </is>
      </c>
      <c r="B1302" t="inlineStr">
        <is>
          <t>QH541.5.S3 H6</t>
        </is>
      </c>
      <c r="C1302" t="inlineStr">
        <is>
          <t>0                      QH 0541500S  3                  H  6</t>
        </is>
      </c>
      <c r="D1302" t="inlineStr">
        <is>
          <t>Community structure of macro-zooplankton in Trinity and Upper Galveston Bays, with special reference to the cooling water system of Cedar Bayou Electric Generating Station / by Gloria Joan Debusk Holt.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Holt, Gloria Joan Debusk.</t>
        </is>
      </c>
      <c r="L1302" t="inlineStr">
        <is>
          <t>[College Station, Tex.] : Holt, 1976.</t>
        </is>
      </c>
      <c r="M1302" t="inlineStr">
        <is>
          <t>1976</t>
        </is>
      </c>
      <c r="O1302" t="inlineStr">
        <is>
          <t>eng</t>
        </is>
      </c>
      <c r="P1302" t="inlineStr">
        <is>
          <t>txu</t>
        </is>
      </c>
      <c r="R1302" t="inlineStr">
        <is>
          <t xml:space="preserve">QH </t>
        </is>
      </c>
      <c r="S1302" t="n">
        <v>4</v>
      </c>
      <c r="T1302" t="n">
        <v>4</v>
      </c>
      <c r="U1302" t="inlineStr">
        <is>
          <t>2000-10-05</t>
        </is>
      </c>
      <c r="V1302" t="inlineStr">
        <is>
          <t>2000-10-05</t>
        </is>
      </c>
      <c r="W1302" t="inlineStr">
        <is>
          <t>1997-07-03</t>
        </is>
      </c>
      <c r="X1302" t="inlineStr">
        <is>
          <t>1997-07-03</t>
        </is>
      </c>
      <c r="Y1302" t="n">
        <v>4</v>
      </c>
      <c r="Z1302" t="n">
        <v>4</v>
      </c>
      <c r="AA1302" t="n">
        <v>5</v>
      </c>
      <c r="AB1302" t="n">
        <v>1</v>
      </c>
      <c r="AC1302" t="n">
        <v>1</v>
      </c>
      <c r="AD1302" t="n">
        <v>0</v>
      </c>
      <c r="AE1302" t="n">
        <v>0</v>
      </c>
      <c r="AF1302" t="n">
        <v>0</v>
      </c>
      <c r="AG1302" t="n">
        <v>0</v>
      </c>
      <c r="AH1302" t="n">
        <v>0</v>
      </c>
      <c r="AI1302" t="n">
        <v>0</v>
      </c>
      <c r="AJ1302" t="n">
        <v>0</v>
      </c>
      <c r="AK1302" t="n">
        <v>0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HYPERLINK("https://creighton-primo.hosted.exlibrisgroup.com/primo-explore/search?tab=default_tab&amp;search_scope=EVERYTHING&amp;vid=01CRU&amp;lang=en_US&amp;offset=0&amp;query=any,contains,991004213549702656","Catalog Record")</f>
        <v/>
      </c>
      <c r="AT1302">
        <f>HYPERLINK("http://www.worldcat.org/oclc/2691435","WorldCat Record")</f>
        <v/>
      </c>
      <c r="AU1302" t="inlineStr">
        <is>
          <t>5922472:eng</t>
        </is>
      </c>
      <c r="AV1302" t="inlineStr">
        <is>
          <t>2691435</t>
        </is>
      </c>
      <c r="AW1302" t="inlineStr">
        <is>
          <t>991004213549702656</t>
        </is>
      </c>
      <c r="AX1302" t="inlineStr">
        <is>
          <t>991004213549702656</t>
        </is>
      </c>
      <c r="AY1302" t="inlineStr">
        <is>
          <t>2262928420002656</t>
        </is>
      </c>
      <c r="AZ1302" t="inlineStr">
        <is>
          <t>BOOK</t>
        </is>
      </c>
      <c r="BC1302" t="inlineStr">
        <is>
          <t>32285002913563</t>
        </is>
      </c>
      <c r="BD1302" t="inlineStr">
        <is>
          <t>893429790</t>
        </is>
      </c>
    </row>
    <row r="1303">
      <c r="A1303" t="inlineStr">
        <is>
          <t>No</t>
        </is>
      </c>
      <c r="B1303" t="inlineStr">
        <is>
          <t>QH541.5.S3 J85 1993</t>
        </is>
      </c>
      <c r="C1303" t="inlineStr">
        <is>
          <t>0                      QH 0541500S  3                  J  85          1993</t>
        </is>
      </c>
      <c r="D1303" t="inlineStr">
        <is>
          <t>Concepts in biological oceanography : an interdisciplinary primer / Peter A. Jumars.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Jumars, Peter A.</t>
        </is>
      </c>
      <c r="L1303" t="inlineStr">
        <is>
          <t>New York : Oxford University Press, 1993.</t>
        </is>
      </c>
      <c r="M1303" t="inlineStr">
        <is>
          <t>1993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QH </t>
        </is>
      </c>
      <c r="S1303" t="n">
        <v>13</v>
      </c>
      <c r="T1303" t="n">
        <v>13</v>
      </c>
      <c r="U1303" t="inlineStr">
        <is>
          <t>2006-01-26</t>
        </is>
      </c>
      <c r="V1303" t="inlineStr">
        <is>
          <t>2006-01-26</t>
        </is>
      </c>
      <c r="W1303" t="inlineStr">
        <is>
          <t>1994-01-26</t>
        </is>
      </c>
      <c r="X1303" t="inlineStr">
        <is>
          <t>1994-01-26</t>
        </is>
      </c>
      <c r="Y1303" t="n">
        <v>482</v>
      </c>
      <c r="Z1303" t="n">
        <v>394</v>
      </c>
      <c r="AA1303" t="n">
        <v>560</v>
      </c>
      <c r="AB1303" t="n">
        <v>3</v>
      </c>
      <c r="AC1303" t="n">
        <v>3</v>
      </c>
      <c r="AD1303" t="n">
        <v>15</v>
      </c>
      <c r="AE1303" t="n">
        <v>17</v>
      </c>
      <c r="AF1303" t="n">
        <v>7</v>
      </c>
      <c r="AG1303" t="n">
        <v>8</v>
      </c>
      <c r="AH1303" t="n">
        <v>3</v>
      </c>
      <c r="AI1303" t="n">
        <v>3</v>
      </c>
      <c r="AJ1303" t="n">
        <v>9</v>
      </c>
      <c r="AK1303" t="n">
        <v>11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HYPERLINK("https://creighton-primo.hosted.exlibrisgroup.com/primo-explore/search?tab=default_tab&amp;search_scope=EVERYTHING&amp;vid=01CRU&amp;lang=en_US&amp;offset=0&amp;query=any,contains,991002101029702656","Catalog Record")</f>
        <v/>
      </c>
      <c r="AT1303">
        <f>HYPERLINK("http://www.worldcat.org/oclc/26973659","WorldCat Record")</f>
        <v/>
      </c>
      <c r="AU1303" t="inlineStr">
        <is>
          <t>800003839:eng</t>
        </is>
      </c>
      <c r="AV1303" t="inlineStr">
        <is>
          <t>26973659</t>
        </is>
      </c>
      <c r="AW1303" t="inlineStr">
        <is>
          <t>991002101029702656</t>
        </is>
      </c>
      <c r="AX1303" t="inlineStr">
        <is>
          <t>991002101029702656</t>
        </is>
      </c>
      <c r="AY1303" t="inlineStr">
        <is>
          <t>2255002510002656</t>
        </is>
      </c>
      <c r="AZ1303" t="inlineStr">
        <is>
          <t>BOOK</t>
        </is>
      </c>
      <c r="BB1303" t="inlineStr">
        <is>
          <t>9780195067323</t>
        </is>
      </c>
      <c r="BC1303" t="inlineStr">
        <is>
          <t>32285001833846</t>
        </is>
      </c>
      <c r="BD1303" t="inlineStr">
        <is>
          <t>893529544</t>
        </is>
      </c>
    </row>
    <row r="1304">
      <c r="A1304" t="inlineStr">
        <is>
          <t>No</t>
        </is>
      </c>
      <c r="B1304" t="inlineStr">
        <is>
          <t>QH541.5.S3 L37 1993</t>
        </is>
      </c>
      <c r="C1304" t="inlineStr">
        <is>
          <t>0                      QH 0541500S  3                  L  37          1993</t>
        </is>
      </c>
      <c r="D1304" t="inlineStr">
        <is>
          <t>Large marine ecosystems : stress, mitigation, and sustainability / Kenneth Sherman, Lewis M. Alexander, Barry D. Gold, editors.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L1304" t="inlineStr">
        <is>
          <t>Washington, DC : AAAS Press, c1993.</t>
        </is>
      </c>
      <c r="M1304" t="inlineStr">
        <is>
          <t>1993</t>
        </is>
      </c>
      <c r="O1304" t="inlineStr">
        <is>
          <t>eng</t>
        </is>
      </c>
      <c r="P1304" t="inlineStr">
        <is>
          <t>dcu</t>
        </is>
      </c>
      <c r="Q1304" t="inlineStr">
        <is>
          <t>AAAS publication ; 92-39S</t>
        </is>
      </c>
      <c r="R1304" t="inlineStr">
        <is>
          <t xml:space="preserve">QH </t>
        </is>
      </c>
      <c r="S1304" t="n">
        <v>21</v>
      </c>
      <c r="T1304" t="n">
        <v>21</v>
      </c>
      <c r="U1304" t="inlineStr">
        <is>
          <t>2001-04-18</t>
        </is>
      </c>
      <c r="V1304" t="inlineStr">
        <is>
          <t>2001-04-18</t>
        </is>
      </c>
      <c r="W1304" t="inlineStr">
        <is>
          <t>1993-12-22</t>
        </is>
      </c>
      <c r="X1304" t="inlineStr">
        <is>
          <t>1993-12-22</t>
        </is>
      </c>
      <c r="Y1304" t="n">
        <v>338</v>
      </c>
      <c r="Z1304" t="n">
        <v>259</v>
      </c>
      <c r="AA1304" t="n">
        <v>261</v>
      </c>
      <c r="AB1304" t="n">
        <v>2</v>
      </c>
      <c r="AC1304" t="n">
        <v>2</v>
      </c>
      <c r="AD1304" t="n">
        <v>8</v>
      </c>
      <c r="AE1304" t="n">
        <v>8</v>
      </c>
      <c r="AF1304" t="n">
        <v>2</v>
      </c>
      <c r="AG1304" t="n">
        <v>2</v>
      </c>
      <c r="AH1304" t="n">
        <v>3</v>
      </c>
      <c r="AI1304" t="n">
        <v>3</v>
      </c>
      <c r="AJ1304" t="n">
        <v>5</v>
      </c>
      <c r="AK1304" t="n">
        <v>5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No</t>
        </is>
      </c>
      <c r="AS1304">
        <f>HYPERLINK("https://creighton-primo.hosted.exlibrisgroup.com/primo-explore/search?tab=default_tab&amp;search_scope=EVERYTHING&amp;vid=01CRU&amp;lang=en_US&amp;offset=0&amp;query=any,contains,991002111359702656","Catalog Record")</f>
        <v/>
      </c>
      <c r="AT1304">
        <f>HYPERLINK("http://www.worldcat.org/oclc/27066723","WorldCat Record")</f>
        <v/>
      </c>
      <c r="AU1304" t="inlineStr">
        <is>
          <t>806818500:eng</t>
        </is>
      </c>
      <c r="AV1304" t="inlineStr">
        <is>
          <t>27066723</t>
        </is>
      </c>
      <c r="AW1304" t="inlineStr">
        <is>
          <t>991002111359702656</t>
        </is>
      </c>
      <c r="AX1304" t="inlineStr">
        <is>
          <t>991002111359702656</t>
        </is>
      </c>
      <c r="AY1304" t="inlineStr">
        <is>
          <t>2256713200002656</t>
        </is>
      </c>
      <c r="AZ1304" t="inlineStr">
        <is>
          <t>BOOK</t>
        </is>
      </c>
      <c r="BB1304" t="inlineStr">
        <is>
          <t>9780871685063</t>
        </is>
      </c>
      <c r="BC1304" t="inlineStr">
        <is>
          <t>32285001817195</t>
        </is>
      </c>
      <c r="BD1304" t="inlineStr">
        <is>
          <t>893892167</t>
        </is>
      </c>
    </row>
    <row r="1305">
      <c r="A1305" t="inlineStr">
        <is>
          <t>No</t>
        </is>
      </c>
      <c r="B1305" t="inlineStr">
        <is>
          <t>QH541.5.S3 M25 1991</t>
        </is>
      </c>
      <c r="C1305" t="inlineStr">
        <is>
          <t>0                      QH 0541500S  3                  M  25          1991</t>
        </is>
      </c>
      <c r="D1305" t="inlineStr">
        <is>
          <t>Dynamics of marine ecosystems : biological-physical interactions in the oceans / K.H. Mann &amp; J.R.N. Lazier.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Mann, K. H. (Kenneth Henry), 1923-</t>
        </is>
      </c>
      <c r="L1305" t="inlineStr">
        <is>
          <t>Boston : Blackwell Scientific Publications, 1991.</t>
        </is>
      </c>
      <c r="M1305" t="inlineStr">
        <is>
          <t>1991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QH </t>
        </is>
      </c>
      <c r="S1305" t="n">
        <v>26</v>
      </c>
      <c r="T1305" t="n">
        <v>26</v>
      </c>
      <c r="U1305" t="inlineStr">
        <is>
          <t>2000-10-24</t>
        </is>
      </c>
      <c r="V1305" t="inlineStr">
        <is>
          <t>2000-10-24</t>
        </is>
      </c>
      <c r="W1305" t="inlineStr">
        <is>
          <t>1992-04-22</t>
        </is>
      </c>
      <c r="X1305" t="inlineStr">
        <is>
          <t>1992-04-22</t>
        </is>
      </c>
      <c r="Y1305" t="n">
        <v>351</v>
      </c>
      <c r="Z1305" t="n">
        <v>221</v>
      </c>
      <c r="AA1305" t="n">
        <v>504</v>
      </c>
      <c r="AB1305" t="n">
        <v>1</v>
      </c>
      <c r="AC1305" t="n">
        <v>2</v>
      </c>
      <c r="AD1305" t="n">
        <v>5</v>
      </c>
      <c r="AE1305" t="n">
        <v>11</v>
      </c>
      <c r="AF1305" t="n">
        <v>3</v>
      </c>
      <c r="AG1305" t="n">
        <v>5</v>
      </c>
      <c r="AH1305" t="n">
        <v>2</v>
      </c>
      <c r="AI1305" t="n">
        <v>5</v>
      </c>
      <c r="AJ1305" t="n">
        <v>2</v>
      </c>
      <c r="AK1305" t="n">
        <v>5</v>
      </c>
      <c r="AL1305" t="n">
        <v>0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HYPERLINK("https://creighton-primo.hosted.exlibrisgroup.com/primo-explore/search?tab=default_tab&amp;search_scope=EVERYTHING&amp;vid=01CRU&amp;lang=en_US&amp;offset=0&amp;query=any,contains,991001800779702656","Catalog Record")</f>
        <v/>
      </c>
      <c r="AT1305">
        <f>HYPERLINK("http://www.worldcat.org/oclc/22629943","WorldCat Record")</f>
        <v/>
      </c>
      <c r="AU1305" t="inlineStr">
        <is>
          <t>4918043099:eng</t>
        </is>
      </c>
      <c r="AV1305" t="inlineStr">
        <is>
          <t>22629943</t>
        </is>
      </c>
      <c r="AW1305" t="inlineStr">
        <is>
          <t>991001800779702656</t>
        </is>
      </c>
      <c r="AX1305" t="inlineStr">
        <is>
          <t>991001800779702656</t>
        </is>
      </c>
      <c r="AY1305" t="inlineStr">
        <is>
          <t>2268921840002656</t>
        </is>
      </c>
      <c r="AZ1305" t="inlineStr">
        <is>
          <t>BOOK</t>
        </is>
      </c>
      <c r="BB1305" t="inlineStr">
        <is>
          <t>9780865420823</t>
        </is>
      </c>
      <c r="BC1305" t="inlineStr">
        <is>
          <t>32285001036341</t>
        </is>
      </c>
      <c r="BD1305" t="inlineStr">
        <is>
          <t>893866495</t>
        </is>
      </c>
    </row>
    <row r="1306">
      <c r="A1306" t="inlineStr">
        <is>
          <t>No</t>
        </is>
      </c>
      <c r="B1306" t="inlineStr">
        <is>
          <t>QH541.5.S3 S78 2000</t>
        </is>
      </c>
      <c r="C1306" t="inlineStr">
        <is>
          <t>0                      QH 0541500S  3                  S  78          2000</t>
        </is>
      </c>
      <c r="D1306" t="inlineStr">
        <is>
          <t>Studying temperate marine environments : a handbook for ecologists / edited by Michael Kingsford and Christopher Battershill.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Christchurch, New Zealand : Canterbury University Press ; Boca Raton, FL : CRC Press, 2000.</t>
        </is>
      </c>
      <c r="M1306" t="inlineStr">
        <is>
          <t>2000</t>
        </is>
      </c>
      <c r="O1306" t="inlineStr">
        <is>
          <t>eng</t>
        </is>
      </c>
      <c r="P1306" t="inlineStr">
        <is>
          <t>flu</t>
        </is>
      </c>
      <c r="R1306" t="inlineStr">
        <is>
          <t xml:space="preserve">QH </t>
        </is>
      </c>
      <c r="S1306" t="n">
        <v>2</v>
      </c>
      <c r="T1306" t="n">
        <v>2</v>
      </c>
      <c r="U1306" t="inlineStr">
        <is>
          <t>2001-10-16</t>
        </is>
      </c>
      <c r="V1306" t="inlineStr">
        <is>
          <t>2001-10-16</t>
        </is>
      </c>
      <c r="W1306" t="inlineStr">
        <is>
          <t>2001-10-16</t>
        </is>
      </c>
      <c r="X1306" t="inlineStr">
        <is>
          <t>2001-10-16</t>
        </is>
      </c>
      <c r="Y1306" t="n">
        <v>170</v>
      </c>
      <c r="Z1306" t="n">
        <v>149</v>
      </c>
      <c r="AA1306" t="n">
        <v>172</v>
      </c>
      <c r="AB1306" t="n">
        <v>2</v>
      </c>
      <c r="AC1306" t="n">
        <v>2</v>
      </c>
      <c r="AD1306" t="n">
        <v>5</v>
      </c>
      <c r="AE1306" t="n">
        <v>6</v>
      </c>
      <c r="AF1306" t="n">
        <v>2</v>
      </c>
      <c r="AG1306" t="n">
        <v>2</v>
      </c>
      <c r="AH1306" t="n">
        <v>1</v>
      </c>
      <c r="AI1306" t="n">
        <v>2</v>
      </c>
      <c r="AJ1306" t="n">
        <v>4</v>
      </c>
      <c r="AK1306" t="n">
        <v>4</v>
      </c>
      <c r="AL1306" t="n">
        <v>1</v>
      </c>
      <c r="AM1306" t="n">
        <v>1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HYPERLINK("http://catalog.hathitrust.org/Record/004114175","HathiTrust Record")</f>
        <v/>
      </c>
      <c r="AS1306">
        <f>HYPERLINK("https://creighton-primo.hosted.exlibrisgroup.com/primo-explore/search?tab=default_tab&amp;search_scope=EVERYTHING&amp;vid=01CRU&amp;lang=en_US&amp;offset=0&amp;query=any,contains,991003624169702656","Catalog Record")</f>
        <v/>
      </c>
      <c r="AT1306">
        <f>HYPERLINK("http://www.worldcat.org/oclc/43729062","WorldCat Record")</f>
        <v/>
      </c>
      <c r="AU1306" t="inlineStr">
        <is>
          <t>988275446:eng</t>
        </is>
      </c>
      <c r="AV1306" t="inlineStr">
        <is>
          <t>43729062</t>
        </is>
      </c>
      <c r="AW1306" t="inlineStr">
        <is>
          <t>991003624169702656</t>
        </is>
      </c>
      <c r="AX1306" t="inlineStr">
        <is>
          <t>991003624169702656</t>
        </is>
      </c>
      <c r="AY1306" t="inlineStr">
        <is>
          <t>2267676820002656</t>
        </is>
      </c>
      <c r="AZ1306" t="inlineStr">
        <is>
          <t>BOOK</t>
        </is>
      </c>
      <c r="BB1306" t="inlineStr">
        <is>
          <t>9780849308833</t>
        </is>
      </c>
      <c r="BC1306" t="inlineStr">
        <is>
          <t>32285004397294</t>
        </is>
      </c>
      <c r="BD1306" t="inlineStr">
        <is>
          <t>893228248</t>
        </is>
      </c>
    </row>
    <row r="1307">
      <c r="A1307" t="inlineStr">
        <is>
          <t>No</t>
        </is>
      </c>
      <c r="B1307" t="inlineStr">
        <is>
          <t>QH541.5.S35 K66 2001</t>
        </is>
      </c>
      <c r="C1307" t="inlineStr">
        <is>
          <t>0                      QH 0541500S  35                 K  66          2001</t>
        </is>
      </c>
      <c r="D1307" t="inlineStr">
        <is>
          <t>The ecology of seashores / by George A. Knox.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Knox, G. A.</t>
        </is>
      </c>
      <c r="L1307" t="inlineStr">
        <is>
          <t>Boca Raton, Fla. : CRC Press, c2001.</t>
        </is>
      </c>
      <c r="M1307" t="inlineStr">
        <is>
          <t>2001</t>
        </is>
      </c>
      <c r="O1307" t="inlineStr">
        <is>
          <t>eng</t>
        </is>
      </c>
      <c r="P1307" t="inlineStr">
        <is>
          <t>flu</t>
        </is>
      </c>
      <c r="Q1307" t="inlineStr">
        <is>
          <t>Marine science series</t>
        </is>
      </c>
      <c r="R1307" t="inlineStr">
        <is>
          <t xml:space="preserve">QH </t>
        </is>
      </c>
      <c r="S1307" t="n">
        <v>4</v>
      </c>
      <c r="T1307" t="n">
        <v>4</v>
      </c>
      <c r="U1307" t="inlineStr">
        <is>
          <t>2001-05-16</t>
        </is>
      </c>
      <c r="V1307" t="inlineStr">
        <is>
          <t>2001-05-16</t>
        </is>
      </c>
      <c r="W1307" t="inlineStr">
        <is>
          <t>2001-04-18</t>
        </is>
      </c>
      <c r="X1307" t="inlineStr">
        <is>
          <t>2001-04-18</t>
        </is>
      </c>
      <c r="Y1307" t="n">
        <v>518</v>
      </c>
      <c r="Z1307" t="n">
        <v>398</v>
      </c>
      <c r="AA1307" t="n">
        <v>446</v>
      </c>
      <c r="AB1307" t="n">
        <v>2</v>
      </c>
      <c r="AC1307" t="n">
        <v>2</v>
      </c>
      <c r="AD1307" t="n">
        <v>20</v>
      </c>
      <c r="AE1307" t="n">
        <v>20</v>
      </c>
      <c r="AF1307" t="n">
        <v>10</v>
      </c>
      <c r="AG1307" t="n">
        <v>10</v>
      </c>
      <c r="AH1307" t="n">
        <v>5</v>
      </c>
      <c r="AI1307" t="n">
        <v>5</v>
      </c>
      <c r="AJ1307" t="n">
        <v>9</v>
      </c>
      <c r="AK1307" t="n">
        <v>9</v>
      </c>
      <c r="AL1307" t="n">
        <v>1</v>
      </c>
      <c r="AM1307" t="n">
        <v>1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S1307">
        <f>HYPERLINK("https://creighton-primo.hosted.exlibrisgroup.com/primo-explore/search?tab=default_tab&amp;search_scope=EVERYTHING&amp;vid=01CRU&amp;lang=en_US&amp;offset=0&amp;query=any,contains,991003511659702656","Catalog Record")</f>
        <v/>
      </c>
      <c r="AT1307">
        <f>HYPERLINK("http://www.worldcat.org/oclc/44619461","WorldCat Record")</f>
        <v/>
      </c>
      <c r="AU1307" t="inlineStr">
        <is>
          <t>20878206:eng</t>
        </is>
      </c>
      <c r="AV1307" t="inlineStr">
        <is>
          <t>44619461</t>
        </is>
      </c>
      <c r="AW1307" t="inlineStr">
        <is>
          <t>991003511659702656</t>
        </is>
      </c>
      <c r="AX1307" t="inlineStr">
        <is>
          <t>991003511659702656</t>
        </is>
      </c>
      <c r="AY1307" t="inlineStr">
        <is>
          <t>2266051030002656</t>
        </is>
      </c>
      <c r="AZ1307" t="inlineStr">
        <is>
          <t>BOOK</t>
        </is>
      </c>
      <c r="BB1307" t="inlineStr">
        <is>
          <t>9780849300080</t>
        </is>
      </c>
      <c r="BC1307" t="inlineStr">
        <is>
          <t>32285004313184</t>
        </is>
      </c>
      <c r="BD1307" t="inlineStr">
        <is>
          <t>893531249</t>
        </is>
      </c>
    </row>
    <row r="1308">
      <c r="A1308" t="inlineStr">
        <is>
          <t>No</t>
        </is>
      </c>
      <c r="B1308" t="inlineStr">
        <is>
          <t>QH541.5.S35 S52</t>
        </is>
      </c>
      <c r="C1308" t="inlineStr">
        <is>
          <t>0                      QH 0541500S  35                 S  52</t>
        </is>
      </c>
      <c r="D1308" t="inlineStr">
        <is>
          <t>The Shore environment / edited by J. H. Price, D. E. G. Irvine, W. F. Farnham.</t>
        </is>
      </c>
      <c r="E1308" t="inlineStr">
        <is>
          <t>V.1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London ; New York : Academic Press, 1980-</t>
        </is>
      </c>
      <c r="M1308" t="inlineStr">
        <is>
          <t>1980</t>
        </is>
      </c>
      <c r="O1308" t="inlineStr">
        <is>
          <t>eng</t>
        </is>
      </c>
      <c r="P1308" t="inlineStr">
        <is>
          <t>enk</t>
        </is>
      </c>
      <c r="Q1308" t="inlineStr">
        <is>
          <t>Special volume - Systematics Association ; no. 17a 0309-2593</t>
        </is>
      </c>
      <c r="R1308" t="inlineStr">
        <is>
          <t xml:space="preserve">QH </t>
        </is>
      </c>
      <c r="S1308" t="n">
        <v>11</v>
      </c>
      <c r="T1308" t="n">
        <v>11</v>
      </c>
      <c r="U1308" t="inlineStr">
        <is>
          <t>2000-04-17</t>
        </is>
      </c>
      <c r="V1308" t="inlineStr">
        <is>
          <t>2000-04-17</t>
        </is>
      </c>
      <c r="W1308" t="inlineStr">
        <is>
          <t>1993-05-03</t>
        </is>
      </c>
      <c r="X1308" t="inlineStr">
        <is>
          <t>1993-05-03</t>
        </is>
      </c>
      <c r="Y1308" t="n">
        <v>312</v>
      </c>
      <c r="Z1308" t="n">
        <v>207</v>
      </c>
      <c r="AA1308" t="n">
        <v>209</v>
      </c>
      <c r="AB1308" t="n">
        <v>3</v>
      </c>
      <c r="AC1308" t="n">
        <v>3</v>
      </c>
      <c r="AD1308" t="n">
        <v>5</v>
      </c>
      <c r="AE1308" t="n">
        <v>5</v>
      </c>
      <c r="AF1308" t="n">
        <v>0</v>
      </c>
      <c r="AG1308" t="n">
        <v>0</v>
      </c>
      <c r="AH1308" t="n">
        <v>2</v>
      </c>
      <c r="AI1308" t="n">
        <v>2</v>
      </c>
      <c r="AJ1308" t="n">
        <v>2</v>
      </c>
      <c r="AK1308" t="n">
        <v>2</v>
      </c>
      <c r="AL1308" t="n">
        <v>2</v>
      </c>
      <c r="AM1308" t="n">
        <v>2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HYPERLINK("http://catalog.hathitrust.org/Record/000720774","HathiTrust Record")</f>
        <v/>
      </c>
      <c r="AS1308">
        <f>HYPERLINK("https://creighton-primo.hosted.exlibrisgroup.com/primo-explore/search?tab=default_tab&amp;search_scope=EVERYTHING&amp;vid=01CRU&amp;lang=en_US&amp;offset=0&amp;query=any,contains,991005043579702656","Catalog Record")</f>
        <v/>
      </c>
      <c r="AT1308">
        <f>HYPERLINK("http://www.worldcat.org/oclc/6813700","WorldCat Record")</f>
        <v/>
      </c>
      <c r="AU1308" t="inlineStr">
        <is>
          <t>5463856073:eng</t>
        </is>
      </c>
      <c r="AV1308" t="inlineStr">
        <is>
          <t>6813700</t>
        </is>
      </c>
      <c r="AW1308" t="inlineStr">
        <is>
          <t>991005043579702656</t>
        </is>
      </c>
      <c r="AX1308" t="inlineStr">
        <is>
          <t>991005043579702656</t>
        </is>
      </c>
      <c r="AY1308" t="inlineStr">
        <is>
          <t>2268414350002656</t>
        </is>
      </c>
      <c r="AZ1308" t="inlineStr">
        <is>
          <t>BOOK</t>
        </is>
      </c>
      <c r="BB1308" t="inlineStr">
        <is>
          <t>9780125647014</t>
        </is>
      </c>
      <c r="BC1308" t="inlineStr">
        <is>
          <t>32285001642668</t>
        </is>
      </c>
      <c r="BD1308" t="inlineStr">
        <is>
          <t>893776741</t>
        </is>
      </c>
    </row>
    <row r="1309">
      <c r="A1309" t="inlineStr">
        <is>
          <t>No</t>
        </is>
      </c>
      <c r="B1309" t="inlineStr">
        <is>
          <t>QH541.5.S35 S527 2008</t>
        </is>
      </c>
      <c r="C1309" t="inlineStr">
        <is>
          <t>0                      QH 0541500S  35                 S  527         2008</t>
        </is>
      </c>
      <c r="D1309" t="inlineStr">
        <is>
          <t>The naturalist's guide to the Atlantic seashore : beach ecology from the Gulf of Maine to Cape Hatteras / Scott W. Shumway.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Shumway, Scott W.</t>
        </is>
      </c>
      <c r="L1309" t="inlineStr">
        <is>
          <t>Guilford, Conn. : Globe Pequot Press, 2008.</t>
        </is>
      </c>
      <c r="M1309" t="inlineStr">
        <is>
          <t>2008</t>
        </is>
      </c>
      <c r="N1309" t="inlineStr">
        <is>
          <t>1st ed.</t>
        </is>
      </c>
      <c r="O1309" t="inlineStr">
        <is>
          <t>eng</t>
        </is>
      </c>
      <c r="P1309" t="inlineStr">
        <is>
          <t>ctu</t>
        </is>
      </c>
      <c r="Q1309" t="inlineStr">
        <is>
          <t>Falcon guide.</t>
        </is>
      </c>
      <c r="R1309" t="inlineStr">
        <is>
          <t xml:space="preserve">QH </t>
        </is>
      </c>
      <c r="S1309" t="n">
        <v>2</v>
      </c>
      <c r="T1309" t="n">
        <v>2</v>
      </c>
      <c r="U1309" t="inlineStr">
        <is>
          <t>2010-08-12</t>
        </is>
      </c>
      <c r="V1309" t="inlineStr">
        <is>
          <t>2010-08-12</t>
        </is>
      </c>
      <c r="W1309" t="inlineStr">
        <is>
          <t>2010-08-12</t>
        </is>
      </c>
      <c r="X1309" t="inlineStr">
        <is>
          <t>2010-08-12</t>
        </is>
      </c>
      <c r="Y1309" t="n">
        <v>252</v>
      </c>
      <c r="Z1309" t="n">
        <v>240</v>
      </c>
      <c r="AA1309" t="n">
        <v>243</v>
      </c>
      <c r="AB1309" t="n">
        <v>1</v>
      </c>
      <c r="AC1309" t="n">
        <v>1</v>
      </c>
      <c r="AD1309" t="n">
        <v>5</v>
      </c>
      <c r="AE1309" t="n">
        <v>5</v>
      </c>
      <c r="AF1309" t="n">
        <v>3</v>
      </c>
      <c r="AG1309" t="n">
        <v>3</v>
      </c>
      <c r="AH1309" t="n">
        <v>1</v>
      </c>
      <c r="AI1309" t="n">
        <v>1</v>
      </c>
      <c r="AJ1309" t="n">
        <v>3</v>
      </c>
      <c r="AK1309" t="n">
        <v>3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HYPERLINK("https://creighton-primo.hosted.exlibrisgroup.com/primo-explore/search?tab=default_tab&amp;search_scope=EVERYTHING&amp;vid=01CRU&amp;lang=en_US&amp;offset=0&amp;query=any,contains,991005282809702656","Catalog Record")</f>
        <v/>
      </c>
      <c r="AT1309">
        <f>HYPERLINK("http://www.worldcat.org/oclc/175218264","WorldCat Record")</f>
        <v/>
      </c>
      <c r="AU1309" t="inlineStr">
        <is>
          <t>115237563:eng</t>
        </is>
      </c>
      <c r="AV1309" t="inlineStr">
        <is>
          <t>175218264</t>
        </is>
      </c>
      <c r="AW1309" t="inlineStr">
        <is>
          <t>991005282809702656</t>
        </is>
      </c>
      <c r="AX1309" t="inlineStr">
        <is>
          <t>991005282809702656</t>
        </is>
      </c>
      <c r="AY1309" t="inlineStr">
        <is>
          <t>2256667580002656</t>
        </is>
      </c>
      <c r="AZ1309" t="inlineStr">
        <is>
          <t>BOOK</t>
        </is>
      </c>
      <c r="BB1309" t="inlineStr">
        <is>
          <t>9780762742370</t>
        </is>
      </c>
      <c r="BC1309" t="inlineStr">
        <is>
          <t>32285005592315</t>
        </is>
      </c>
      <c r="BD1309" t="inlineStr">
        <is>
          <t>893619740</t>
        </is>
      </c>
    </row>
    <row r="1310">
      <c r="A1310" t="inlineStr">
        <is>
          <t>No</t>
        </is>
      </c>
      <c r="B1310" t="inlineStr">
        <is>
          <t>QH541.5.S6 K54 1994</t>
        </is>
      </c>
      <c r="C1310" t="inlineStr">
        <is>
          <t>0                      QH 0541500S  6                  K  54          1994</t>
        </is>
      </c>
      <c r="D1310" t="inlineStr">
        <is>
          <t>Soil ecology / Ken Killham ; with electron micrographs by Ralph Foster.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Killham, Ken.</t>
        </is>
      </c>
      <c r="L1310" t="inlineStr">
        <is>
          <t>Cambridge ; New York : Cambridge University Press, c1994.</t>
        </is>
      </c>
      <c r="M1310" t="inlineStr">
        <is>
          <t>1994</t>
        </is>
      </c>
      <c r="O1310" t="inlineStr">
        <is>
          <t>eng</t>
        </is>
      </c>
      <c r="P1310" t="inlineStr">
        <is>
          <t>enk</t>
        </is>
      </c>
      <c r="R1310" t="inlineStr">
        <is>
          <t xml:space="preserve">QH </t>
        </is>
      </c>
      <c r="S1310" t="n">
        <v>7</v>
      </c>
      <c r="T1310" t="n">
        <v>7</v>
      </c>
      <c r="U1310" t="inlineStr">
        <is>
          <t>2002-11-23</t>
        </is>
      </c>
      <c r="V1310" t="inlineStr">
        <is>
          <t>2002-11-23</t>
        </is>
      </c>
      <c r="W1310" t="inlineStr">
        <is>
          <t>1997-09-09</t>
        </is>
      </c>
      <c r="X1310" t="inlineStr">
        <is>
          <t>1997-09-09</t>
        </is>
      </c>
      <c r="Y1310" t="n">
        <v>624</v>
      </c>
      <c r="Z1310" t="n">
        <v>413</v>
      </c>
      <c r="AA1310" t="n">
        <v>413</v>
      </c>
      <c r="AB1310" t="n">
        <v>2</v>
      </c>
      <c r="AC1310" t="n">
        <v>2</v>
      </c>
      <c r="AD1310" t="n">
        <v>13</v>
      </c>
      <c r="AE1310" t="n">
        <v>13</v>
      </c>
      <c r="AF1310" t="n">
        <v>5</v>
      </c>
      <c r="AG1310" t="n">
        <v>5</v>
      </c>
      <c r="AH1310" t="n">
        <v>4</v>
      </c>
      <c r="AI1310" t="n">
        <v>4</v>
      </c>
      <c r="AJ1310" t="n">
        <v>7</v>
      </c>
      <c r="AK1310" t="n">
        <v>7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HYPERLINK("https://creighton-primo.hosted.exlibrisgroup.com/primo-explore/search?tab=default_tab&amp;search_scope=EVERYTHING&amp;vid=01CRU&amp;lang=en_US&amp;offset=0&amp;query=any,contains,991002219249702656","Catalog Record")</f>
        <v/>
      </c>
      <c r="AT1310">
        <f>HYPERLINK("http://www.worldcat.org/oclc/28585190","WorldCat Record")</f>
        <v/>
      </c>
      <c r="AU1310" t="inlineStr">
        <is>
          <t>30838956:eng</t>
        </is>
      </c>
      <c r="AV1310" t="inlineStr">
        <is>
          <t>28585190</t>
        </is>
      </c>
      <c r="AW1310" t="inlineStr">
        <is>
          <t>991002219249702656</t>
        </is>
      </c>
      <c r="AX1310" t="inlineStr">
        <is>
          <t>991002219249702656</t>
        </is>
      </c>
      <c r="AY1310" t="inlineStr">
        <is>
          <t>2261832540002656</t>
        </is>
      </c>
      <c r="AZ1310" t="inlineStr">
        <is>
          <t>BOOK</t>
        </is>
      </c>
      <c r="BB1310" t="inlineStr">
        <is>
          <t>9780521435178</t>
        </is>
      </c>
      <c r="BC1310" t="inlineStr">
        <is>
          <t>32285003004594</t>
        </is>
      </c>
      <c r="BD1310" t="inlineStr">
        <is>
          <t>893439901</t>
        </is>
      </c>
    </row>
    <row r="1311">
      <c r="A1311" t="inlineStr">
        <is>
          <t>No</t>
        </is>
      </c>
      <c r="B1311" t="inlineStr">
        <is>
          <t>QH541.5.S7 I57 1979</t>
        </is>
      </c>
      <c r="C1311" t="inlineStr">
        <is>
          <t>0                      QH 0541500S  7                  I  57          1979</t>
        </is>
      </c>
      <c r="D1311" t="inlineStr">
        <is>
          <t>The ecology of regulated streams : [proceedings of the first International Symposium on Regulated Streams held in Erie, Pa., April 18-20, 1979] / edited by James V. Ward and Jack A. Stanford.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International Symposium on Regulated Streams (1st : 1979 : Erie, Pa.)</t>
        </is>
      </c>
      <c r="L1311" t="inlineStr">
        <is>
          <t>New York : Plenum Press, c1979.</t>
        </is>
      </c>
      <c r="M1311" t="inlineStr">
        <is>
          <t>1979</t>
        </is>
      </c>
      <c r="O1311" t="inlineStr">
        <is>
          <t>eng</t>
        </is>
      </c>
      <c r="P1311" t="inlineStr">
        <is>
          <t>nyu</t>
        </is>
      </c>
      <c r="R1311" t="inlineStr">
        <is>
          <t xml:space="preserve">QH </t>
        </is>
      </c>
      <c r="S1311" t="n">
        <v>15</v>
      </c>
      <c r="T1311" t="n">
        <v>15</v>
      </c>
      <c r="U1311" t="inlineStr">
        <is>
          <t>1995-12-13</t>
        </is>
      </c>
      <c r="V1311" t="inlineStr">
        <is>
          <t>1995-12-13</t>
        </is>
      </c>
      <c r="W1311" t="inlineStr">
        <is>
          <t>1991-12-09</t>
        </is>
      </c>
      <c r="X1311" t="inlineStr">
        <is>
          <t>1991-12-09</t>
        </is>
      </c>
      <c r="Y1311" t="n">
        <v>365</v>
      </c>
      <c r="Z1311" t="n">
        <v>272</v>
      </c>
      <c r="AA1311" t="n">
        <v>290</v>
      </c>
      <c r="AB1311" t="n">
        <v>4</v>
      </c>
      <c r="AC1311" t="n">
        <v>4</v>
      </c>
      <c r="AD1311" t="n">
        <v>5</v>
      </c>
      <c r="AE1311" t="n">
        <v>6</v>
      </c>
      <c r="AF1311" t="n">
        <v>2</v>
      </c>
      <c r="AG1311" t="n">
        <v>3</v>
      </c>
      <c r="AH1311" t="n">
        <v>0</v>
      </c>
      <c r="AI1311" t="n">
        <v>0</v>
      </c>
      <c r="AJ1311" t="n">
        <v>1</v>
      </c>
      <c r="AK1311" t="n">
        <v>2</v>
      </c>
      <c r="AL1311" t="n">
        <v>3</v>
      </c>
      <c r="AM1311" t="n">
        <v>3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HYPERLINK("http://catalog.hathitrust.org/Record/000044447","HathiTrust Record")</f>
        <v/>
      </c>
      <c r="AS1311">
        <f>HYPERLINK("https://creighton-primo.hosted.exlibrisgroup.com/primo-explore/search?tab=default_tab&amp;search_scope=EVERYTHING&amp;vid=01CRU&amp;lang=en_US&amp;offset=0&amp;query=any,contains,991004835669702656","Catalog Record")</f>
        <v/>
      </c>
      <c r="AT1311">
        <f>HYPERLINK("http://www.worldcat.org/oclc/5447667","WorldCat Record")</f>
        <v/>
      </c>
      <c r="AU1311" t="inlineStr">
        <is>
          <t>499888036:eng</t>
        </is>
      </c>
      <c r="AV1311" t="inlineStr">
        <is>
          <t>5447667</t>
        </is>
      </c>
      <c r="AW1311" t="inlineStr">
        <is>
          <t>991004835669702656</t>
        </is>
      </c>
      <c r="AX1311" t="inlineStr">
        <is>
          <t>991004835669702656</t>
        </is>
      </c>
      <c r="AY1311" t="inlineStr">
        <is>
          <t>2259204560002656</t>
        </is>
      </c>
      <c r="AZ1311" t="inlineStr">
        <is>
          <t>BOOK</t>
        </is>
      </c>
      <c r="BB1311" t="inlineStr">
        <is>
          <t>9780306403170</t>
        </is>
      </c>
      <c r="BC1311" t="inlineStr">
        <is>
          <t>32285000829647</t>
        </is>
      </c>
      <c r="BD1311" t="inlineStr">
        <is>
          <t>893513720</t>
        </is>
      </c>
    </row>
    <row r="1312">
      <c r="A1312" t="inlineStr">
        <is>
          <t>No</t>
        </is>
      </c>
      <c r="B1312" t="inlineStr">
        <is>
          <t>QH541.5.S7 P47</t>
        </is>
      </c>
      <c r="C1312" t="inlineStr">
        <is>
          <t>0                      QH 0541500S  7                  P  47</t>
        </is>
      </c>
      <c r="D1312" t="inlineStr">
        <is>
          <t>Perspectives in running water ecology / edited by Maurice A. Lock and D. Dudley Williams.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New York : Plenum Press, c1981.</t>
        </is>
      </c>
      <c r="M1312" t="inlineStr">
        <is>
          <t>1981</t>
        </is>
      </c>
      <c r="O1312" t="inlineStr">
        <is>
          <t>eng</t>
        </is>
      </c>
      <c r="P1312" t="inlineStr">
        <is>
          <t>nyu</t>
        </is>
      </c>
      <c r="R1312" t="inlineStr">
        <is>
          <t xml:space="preserve">QH </t>
        </is>
      </c>
      <c r="S1312" t="n">
        <v>60</v>
      </c>
      <c r="T1312" t="n">
        <v>60</v>
      </c>
      <c r="U1312" t="inlineStr">
        <is>
          <t>1995-12-08</t>
        </is>
      </c>
      <c r="V1312" t="inlineStr">
        <is>
          <t>1995-12-08</t>
        </is>
      </c>
      <c r="W1312" t="inlineStr">
        <is>
          <t>1991-10-02</t>
        </is>
      </c>
      <c r="X1312" t="inlineStr">
        <is>
          <t>1991-10-02</t>
        </is>
      </c>
      <c r="Y1312" t="n">
        <v>459</v>
      </c>
      <c r="Z1312" t="n">
        <v>355</v>
      </c>
      <c r="AA1312" t="n">
        <v>376</v>
      </c>
      <c r="AB1312" t="n">
        <v>4</v>
      </c>
      <c r="AC1312" t="n">
        <v>4</v>
      </c>
      <c r="AD1312" t="n">
        <v>16</v>
      </c>
      <c r="AE1312" t="n">
        <v>16</v>
      </c>
      <c r="AF1312" t="n">
        <v>8</v>
      </c>
      <c r="AG1312" t="n">
        <v>8</v>
      </c>
      <c r="AH1312" t="n">
        <v>2</v>
      </c>
      <c r="AI1312" t="n">
        <v>2</v>
      </c>
      <c r="AJ1312" t="n">
        <v>10</v>
      </c>
      <c r="AK1312" t="n">
        <v>10</v>
      </c>
      <c r="AL1312" t="n">
        <v>3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HYPERLINK("http://catalog.hathitrust.org/Record/000153188","HathiTrust Record")</f>
        <v/>
      </c>
      <c r="AS1312">
        <f>HYPERLINK("https://creighton-primo.hosted.exlibrisgroup.com/primo-explore/search?tab=default_tab&amp;search_scope=EVERYTHING&amp;vid=01CRU&amp;lang=en_US&amp;offset=0&amp;query=any,contains,991005178309702656","Catalog Record")</f>
        <v/>
      </c>
      <c r="AT1312">
        <f>HYPERLINK("http://www.worldcat.org/oclc/7925764","WorldCat Record")</f>
        <v/>
      </c>
      <c r="AU1312" t="inlineStr">
        <is>
          <t>355807309:eng</t>
        </is>
      </c>
      <c r="AV1312" t="inlineStr">
        <is>
          <t>7925764</t>
        </is>
      </c>
      <c r="AW1312" t="inlineStr">
        <is>
          <t>991005178309702656</t>
        </is>
      </c>
      <c r="AX1312" t="inlineStr">
        <is>
          <t>991005178309702656</t>
        </is>
      </c>
      <c r="AY1312" t="inlineStr">
        <is>
          <t>2270175580002656</t>
        </is>
      </c>
      <c r="AZ1312" t="inlineStr">
        <is>
          <t>BOOK</t>
        </is>
      </c>
      <c r="BB1312" t="inlineStr">
        <is>
          <t>9780306408984</t>
        </is>
      </c>
      <c r="BC1312" t="inlineStr">
        <is>
          <t>32285000716463</t>
        </is>
      </c>
      <c r="BD1312" t="inlineStr">
        <is>
          <t>893719928</t>
        </is>
      </c>
    </row>
    <row r="1313">
      <c r="A1313" t="inlineStr">
        <is>
          <t>No</t>
        </is>
      </c>
      <c r="B1313" t="inlineStr">
        <is>
          <t>QH541.5.S7 W45 1987</t>
        </is>
      </c>
      <c r="C1313" t="inlineStr">
        <is>
          <t>0                      QH 0541500S  7                  W  45          1987</t>
        </is>
      </c>
      <c r="D1313" t="inlineStr">
        <is>
          <t>Microcosm of the Platte : a guide to Bader Memorial Park natural area / by William S. Whitney and Jan Whitney.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Whitney, William S.</t>
        </is>
      </c>
      <c r="L1313" t="inlineStr">
        <is>
          <t>Aurora, Neb. : Prairie/Plains Resource Institute, c1987.</t>
        </is>
      </c>
      <c r="M1313" t="inlineStr">
        <is>
          <t>1987</t>
        </is>
      </c>
      <c r="O1313" t="inlineStr">
        <is>
          <t>eng</t>
        </is>
      </c>
      <c r="P1313" t="inlineStr">
        <is>
          <t>nbu</t>
        </is>
      </c>
      <c r="R1313" t="inlineStr">
        <is>
          <t xml:space="preserve">QH </t>
        </is>
      </c>
      <c r="S1313" t="n">
        <v>2</v>
      </c>
      <c r="T1313" t="n">
        <v>2</v>
      </c>
      <c r="U1313" t="inlineStr">
        <is>
          <t>2001-07-25</t>
        </is>
      </c>
      <c r="V1313" t="inlineStr">
        <is>
          <t>2001-07-25</t>
        </is>
      </c>
      <c r="W1313" t="inlineStr">
        <is>
          <t>2001-07-24</t>
        </is>
      </c>
      <c r="X1313" t="inlineStr">
        <is>
          <t>2001-07-24</t>
        </is>
      </c>
      <c r="Y1313" t="n">
        <v>15</v>
      </c>
      <c r="Z1313" t="n">
        <v>14</v>
      </c>
      <c r="AA1313" t="n">
        <v>18</v>
      </c>
      <c r="AB1313" t="n">
        <v>7</v>
      </c>
      <c r="AC1313" t="n">
        <v>8</v>
      </c>
      <c r="AD1313" t="n">
        <v>1</v>
      </c>
      <c r="AE1313" t="n">
        <v>2</v>
      </c>
      <c r="AF1313" t="n">
        <v>0</v>
      </c>
      <c r="AG1313" t="n">
        <v>0</v>
      </c>
      <c r="AH1313" t="n">
        <v>0</v>
      </c>
      <c r="AI1313" t="n">
        <v>0</v>
      </c>
      <c r="AJ1313" t="n">
        <v>0</v>
      </c>
      <c r="AK1313" t="n">
        <v>0</v>
      </c>
      <c r="AL1313" t="n">
        <v>1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HYPERLINK("https://creighton-primo.hosted.exlibrisgroup.com/primo-explore/search?tab=default_tab&amp;search_scope=EVERYTHING&amp;vid=01CRU&amp;lang=en_US&amp;offset=0&amp;query=any,contains,991003590479702656","Catalog Record")</f>
        <v/>
      </c>
      <c r="AT1313">
        <f>HYPERLINK("http://www.worldcat.org/oclc/18190488","WorldCat Record")</f>
        <v/>
      </c>
      <c r="AU1313" t="inlineStr">
        <is>
          <t>228958733:eng</t>
        </is>
      </c>
      <c r="AV1313" t="inlineStr">
        <is>
          <t>18190488</t>
        </is>
      </c>
      <c r="AW1313" t="inlineStr">
        <is>
          <t>991003590479702656</t>
        </is>
      </c>
      <c r="AX1313" t="inlineStr">
        <is>
          <t>991003590479702656</t>
        </is>
      </c>
      <c r="AY1313" t="inlineStr">
        <is>
          <t>2272073000002656</t>
        </is>
      </c>
      <c r="AZ1313" t="inlineStr">
        <is>
          <t>BOOK</t>
        </is>
      </c>
      <c r="BB1313" t="inlineStr">
        <is>
          <t>9780945614005</t>
        </is>
      </c>
      <c r="BC1313" t="inlineStr">
        <is>
          <t>32285004334776</t>
        </is>
      </c>
      <c r="BD1313" t="inlineStr">
        <is>
          <t>893781153</t>
        </is>
      </c>
    </row>
    <row r="1314">
      <c r="A1314" t="inlineStr">
        <is>
          <t>No</t>
        </is>
      </c>
      <c r="B1314" t="inlineStr">
        <is>
          <t>QH541.5.T8 M3</t>
        </is>
      </c>
      <c r="C1314" t="inlineStr">
        <is>
          <t>0                      QH 0541500T  8                  M  3</t>
        </is>
      </c>
      <c r="D1314" t="inlineStr">
        <is>
          <t>The response of alpine tundra vegetation in Colorado to environmental variation / Diane Ebert May.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May, Diane Ebert.</t>
        </is>
      </c>
      <c r="M1314" t="inlineStr">
        <is>
          <t>1976</t>
        </is>
      </c>
      <c r="O1314" t="inlineStr">
        <is>
          <t>eng</t>
        </is>
      </c>
      <c r="P1314" t="inlineStr">
        <is>
          <t>cou</t>
        </is>
      </c>
      <c r="R1314" t="inlineStr">
        <is>
          <t xml:space="preserve">QH </t>
        </is>
      </c>
      <c r="S1314" t="n">
        <v>1</v>
      </c>
      <c r="T1314" t="n">
        <v>1</v>
      </c>
      <c r="U1314" t="inlineStr">
        <is>
          <t>2002-04-17</t>
        </is>
      </c>
      <c r="V1314" t="inlineStr">
        <is>
          <t>2002-04-17</t>
        </is>
      </c>
      <c r="W1314" t="inlineStr">
        <is>
          <t>1997-07-03</t>
        </is>
      </c>
      <c r="X1314" t="inlineStr">
        <is>
          <t>1997-07-03</t>
        </is>
      </c>
      <c r="Y1314" t="n">
        <v>3</v>
      </c>
      <c r="Z1314" t="n">
        <v>3</v>
      </c>
      <c r="AA1314" t="n">
        <v>4</v>
      </c>
      <c r="AB1314" t="n">
        <v>1</v>
      </c>
      <c r="AC1314" t="n">
        <v>1</v>
      </c>
      <c r="AD1314" t="n">
        <v>0</v>
      </c>
      <c r="AE1314" t="n">
        <v>0</v>
      </c>
      <c r="AF1314" t="n">
        <v>0</v>
      </c>
      <c r="AG1314" t="n">
        <v>0</v>
      </c>
      <c r="AH1314" t="n">
        <v>0</v>
      </c>
      <c r="AI1314" t="n">
        <v>0</v>
      </c>
      <c r="AJ1314" t="n">
        <v>0</v>
      </c>
      <c r="AK1314" t="n">
        <v>0</v>
      </c>
      <c r="AL1314" t="n">
        <v>0</v>
      </c>
      <c r="AM1314" t="n">
        <v>0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HYPERLINK("https://creighton-primo.hosted.exlibrisgroup.com/primo-explore/search?tab=default_tab&amp;search_scope=EVERYTHING&amp;vid=01CRU&amp;lang=en_US&amp;offset=0&amp;query=any,contains,991002302089702656","Catalog Record")</f>
        <v/>
      </c>
      <c r="AT1314">
        <f>HYPERLINK("http://www.worldcat.org/oclc/29870064","WorldCat Record")</f>
        <v/>
      </c>
      <c r="AU1314" t="inlineStr">
        <is>
          <t>476607246:eng</t>
        </is>
      </c>
      <c r="AV1314" t="inlineStr">
        <is>
          <t>29870064</t>
        </is>
      </c>
      <c r="AW1314" t="inlineStr">
        <is>
          <t>991002302089702656</t>
        </is>
      </c>
      <c r="AX1314" t="inlineStr">
        <is>
          <t>991002302089702656</t>
        </is>
      </c>
      <c r="AY1314" t="inlineStr">
        <is>
          <t>2269848650002656</t>
        </is>
      </c>
      <c r="AZ1314" t="inlineStr">
        <is>
          <t>BOOK</t>
        </is>
      </c>
      <c r="BC1314" t="inlineStr">
        <is>
          <t>32285002913597</t>
        </is>
      </c>
      <c r="BD1314" t="inlineStr">
        <is>
          <t>893497947</t>
        </is>
      </c>
    </row>
    <row r="1315">
      <c r="A1315" t="inlineStr">
        <is>
          <t>No</t>
        </is>
      </c>
      <c r="B1315" t="inlineStr">
        <is>
          <t>QH541.5.W3 E35</t>
        </is>
      </c>
      <c r="C1315" t="inlineStr">
        <is>
          <t>0                      QH 0541500W  3                  E  35</t>
        </is>
      </c>
      <c r="D1315" t="inlineStr">
        <is>
          <t>Effects of pollutants on aquatic organisms / edited by A. P. M. Lockwood.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Cambridge ; New York : Cambridge University Press, 1976.</t>
        </is>
      </c>
      <c r="M1315" t="inlineStr">
        <is>
          <t>1976</t>
        </is>
      </c>
      <c r="O1315" t="inlineStr">
        <is>
          <t>eng</t>
        </is>
      </c>
      <c r="P1315" t="inlineStr">
        <is>
          <t>enk</t>
        </is>
      </c>
      <c r="Q1315" t="inlineStr">
        <is>
          <t>Seminar series - Society for Experimental Biology ; 2</t>
        </is>
      </c>
      <c r="R1315" t="inlineStr">
        <is>
          <t xml:space="preserve">QH </t>
        </is>
      </c>
      <c r="S1315" t="n">
        <v>15</v>
      </c>
      <c r="T1315" t="n">
        <v>15</v>
      </c>
      <c r="U1315" t="inlineStr">
        <is>
          <t>2000-02-20</t>
        </is>
      </c>
      <c r="V1315" t="inlineStr">
        <is>
          <t>2000-02-20</t>
        </is>
      </c>
      <c r="W1315" t="inlineStr">
        <is>
          <t>1994-05-04</t>
        </is>
      </c>
      <c r="X1315" t="inlineStr">
        <is>
          <t>1994-05-04</t>
        </is>
      </c>
      <c r="Y1315" t="n">
        <v>629</v>
      </c>
      <c r="Z1315" t="n">
        <v>443</v>
      </c>
      <c r="AA1315" t="n">
        <v>443</v>
      </c>
      <c r="AB1315" t="n">
        <v>4</v>
      </c>
      <c r="AC1315" t="n">
        <v>4</v>
      </c>
      <c r="AD1315" t="n">
        <v>16</v>
      </c>
      <c r="AE1315" t="n">
        <v>16</v>
      </c>
      <c r="AF1315" t="n">
        <v>4</v>
      </c>
      <c r="AG1315" t="n">
        <v>4</v>
      </c>
      <c r="AH1315" t="n">
        <v>5</v>
      </c>
      <c r="AI1315" t="n">
        <v>5</v>
      </c>
      <c r="AJ1315" t="n">
        <v>8</v>
      </c>
      <c r="AK1315" t="n">
        <v>8</v>
      </c>
      <c r="AL1315" t="n">
        <v>3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HYPERLINK("https://creighton-primo.hosted.exlibrisgroup.com/primo-explore/search?tab=default_tab&amp;search_scope=EVERYTHING&amp;vid=01CRU&amp;lang=en_US&amp;offset=0&amp;query=any,contains,991004134359702656","Catalog Record")</f>
        <v/>
      </c>
      <c r="AT1315">
        <f>HYPERLINK("http://www.worldcat.org/oclc/2480995","WorldCat Record")</f>
        <v/>
      </c>
      <c r="AU1315" t="inlineStr">
        <is>
          <t>505836:eng</t>
        </is>
      </c>
      <c r="AV1315" t="inlineStr">
        <is>
          <t>2480995</t>
        </is>
      </c>
      <c r="AW1315" t="inlineStr">
        <is>
          <t>991004134359702656</t>
        </is>
      </c>
      <c r="AX1315" t="inlineStr">
        <is>
          <t>991004134359702656</t>
        </is>
      </c>
      <c r="AY1315" t="inlineStr">
        <is>
          <t>2255642510002656</t>
        </is>
      </c>
      <c r="AZ1315" t="inlineStr">
        <is>
          <t>BOOK</t>
        </is>
      </c>
      <c r="BB1315" t="inlineStr">
        <is>
          <t>9780521211031</t>
        </is>
      </c>
      <c r="BC1315" t="inlineStr">
        <is>
          <t>32285001907046</t>
        </is>
      </c>
      <c r="BD1315" t="inlineStr">
        <is>
          <t>893228967</t>
        </is>
      </c>
    </row>
    <row r="1316">
      <c r="A1316" t="inlineStr">
        <is>
          <t>No</t>
        </is>
      </c>
      <c r="B1316" t="inlineStr">
        <is>
          <t>QH541.5.W3 F86 1991</t>
        </is>
      </c>
      <c r="C1316" t="inlineStr">
        <is>
          <t>0                      QH 0541500W  3                  F  86          1991</t>
        </is>
      </c>
      <c r="D1316" t="inlineStr">
        <is>
          <t>Fundamentals of aquatic ecology / edited by R.S.K. Barnes and K.H. Mann.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Oxford [England] ; Boston : Blackwell Scientific Publications, c1991.</t>
        </is>
      </c>
      <c r="M1316" t="inlineStr">
        <is>
          <t>1991</t>
        </is>
      </c>
      <c r="N1316" t="inlineStr">
        <is>
          <t>2nd ed.</t>
        </is>
      </c>
      <c r="O1316" t="inlineStr">
        <is>
          <t>eng</t>
        </is>
      </c>
      <c r="P1316" t="inlineStr">
        <is>
          <t>enk</t>
        </is>
      </c>
      <c r="R1316" t="inlineStr">
        <is>
          <t xml:space="preserve">QH </t>
        </is>
      </c>
      <c r="S1316" t="n">
        <v>58</v>
      </c>
      <c r="T1316" t="n">
        <v>58</v>
      </c>
      <c r="U1316" t="inlineStr">
        <is>
          <t>2001-09-02</t>
        </is>
      </c>
      <c r="V1316" t="inlineStr">
        <is>
          <t>2001-09-02</t>
        </is>
      </c>
      <c r="W1316" t="inlineStr">
        <is>
          <t>1992-04-22</t>
        </is>
      </c>
      <c r="X1316" t="inlineStr">
        <is>
          <t>1992-04-22</t>
        </is>
      </c>
      <c r="Y1316" t="n">
        <v>570</v>
      </c>
      <c r="Z1316" t="n">
        <v>348</v>
      </c>
      <c r="AA1316" t="n">
        <v>430</v>
      </c>
      <c r="AB1316" t="n">
        <v>2</v>
      </c>
      <c r="AC1316" t="n">
        <v>2</v>
      </c>
      <c r="AD1316" t="n">
        <v>14</v>
      </c>
      <c r="AE1316" t="n">
        <v>15</v>
      </c>
      <c r="AF1316" t="n">
        <v>8</v>
      </c>
      <c r="AG1316" t="n">
        <v>9</v>
      </c>
      <c r="AH1316" t="n">
        <v>3</v>
      </c>
      <c r="AI1316" t="n">
        <v>3</v>
      </c>
      <c r="AJ1316" t="n">
        <v>8</v>
      </c>
      <c r="AK1316" t="n">
        <v>8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HYPERLINK("https://creighton-primo.hosted.exlibrisgroup.com/primo-explore/search?tab=default_tab&amp;search_scope=EVERYTHING&amp;vid=01CRU&amp;lang=en_US&amp;offset=0&amp;query=any,contains,991001840179702656","Catalog Record")</f>
        <v/>
      </c>
      <c r="AT1316">
        <f>HYPERLINK("http://www.worldcat.org/oclc/23139239","WorldCat Record")</f>
        <v/>
      </c>
      <c r="AU1316" t="inlineStr">
        <is>
          <t>355665291:eng</t>
        </is>
      </c>
      <c r="AV1316" t="inlineStr">
        <is>
          <t>23139239</t>
        </is>
      </c>
      <c r="AW1316" t="inlineStr">
        <is>
          <t>991001840179702656</t>
        </is>
      </c>
      <c r="AX1316" t="inlineStr">
        <is>
          <t>991001840179702656</t>
        </is>
      </c>
      <c r="AY1316" t="inlineStr">
        <is>
          <t>2258260080002656</t>
        </is>
      </c>
      <c r="AZ1316" t="inlineStr">
        <is>
          <t>BOOK</t>
        </is>
      </c>
      <c r="BB1316" t="inlineStr">
        <is>
          <t>9780632029839</t>
        </is>
      </c>
      <c r="BC1316" t="inlineStr">
        <is>
          <t>32285001036622</t>
        </is>
      </c>
      <c r="BD1316" t="inlineStr">
        <is>
          <t>893709577</t>
        </is>
      </c>
    </row>
    <row r="1317">
      <c r="A1317" t="inlineStr">
        <is>
          <t>No</t>
        </is>
      </c>
      <c r="B1317" t="inlineStr">
        <is>
          <t>QH541.5.W3 N48 1987</t>
        </is>
      </c>
      <c r="C1317" t="inlineStr">
        <is>
          <t>0                      QH 0541500W  3                  N  48          1987</t>
        </is>
      </c>
      <c r="D1317" t="inlineStr">
        <is>
          <t>New approaches to monitoring aquatic ecosystems : a symposium / sponsored by ASTM Committee E-47 on Biological Effects and Environmental Fate and by the Ecological Society of America, Minneapolis, MN, 17-21 June 1985 ; Terence P. Boyle, editor.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L1317" t="inlineStr">
        <is>
          <t>Philadelphia, PA : ASTM, c1987.</t>
        </is>
      </c>
      <c r="M1317" t="inlineStr">
        <is>
          <t>1987</t>
        </is>
      </c>
      <c r="O1317" t="inlineStr">
        <is>
          <t>eng</t>
        </is>
      </c>
      <c r="P1317" t="inlineStr">
        <is>
          <t>pau</t>
        </is>
      </c>
      <c r="Q1317" t="inlineStr">
        <is>
          <t>ASTM special technical publication ; 940</t>
        </is>
      </c>
      <c r="R1317" t="inlineStr">
        <is>
          <t xml:space="preserve">QH </t>
        </is>
      </c>
      <c r="S1317" t="n">
        <v>11</v>
      </c>
      <c r="T1317" t="n">
        <v>11</v>
      </c>
      <c r="U1317" t="inlineStr">
        <is>
          <t>2000-02-23</t>
        </is>
      </c>
      <c r="V1317" t="inlineStr">
        <is>
          <t>2000-02-23</t>
        </is>
      </c>
      <c r="W1317" t="inlineStr">
        <is>
          <t>1993-05-03</t>
        </is>
      </c>
      <c r="X1317" t="inlineStr">
        <is>
          <t>1993-05-03</t>
        </is>
      </c>
      <c r="Y1317" t="n">
        <v>215</v>
      </c>
      <c r="Z1317" t="n">
        <v>167</v>
      </c>
      <c r="AA1317" t="n">
        <v>193</v>
      </c>
      <c r="AB1317" t="n">
        <v>2</v>
      </c>
      <c r="AC1317" t="n">
        <v>2</v>
      </c>
      <c r="AD1317" t="n">
        <v>4</v>
      </c>
      <c r="AE1317" t="n">
        <v>4</v>
      </c>
      <c r="AF1317" t="n">
        <v>1</v>
      </c>
      <c r="AG1317" t="n">
        <v>1</v>
      </c>
      <c r="AH1317" t="n">
        <v>1</v>
      </c>
      <c r="AI1317" t="n">
        <v>1</v>
      </c>
      <c r="AJ1317" t="n">
        <v>1</v>
      </c>
      <c r="AK1317" t="n">
        <v>1</v>
      </c>
      <c r="AL1317" t="n">
        <v>1</v>
      </c>
      <c r="AM1317" t="n">
        <v>1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HYPERLINK("http://catalog.hathitrust.org/Record/000810554","HathiTrust Record")</f>
        <v/>
      </c>
      <c r="AS1317">
        <f>HYPERLINK("https://creighton-primo.hosted.exlibrisgroup.com/primo-explore/search?tab=default_tab&amp;search_scope=EVERYTHING&amp;vid=01CRU&amp;lang=en_US&amp;offset=0&amp;query=any,contains,991000957269702656","Catalog Record")</f>
        <v/>
      </c>
      <c r="AT1317">
        <f>HYPERLINK("http://www.worldcat.org/oclc/14719524","WorldCat Record")</f>
        <v/>
      </c>
      <c r="AU1317" t="inlineStr">
        <is>
          <t>439617982:eng</t>
        </is>
      </c>
      <c r="AV1317" t="inlineStr">
        <is>
          <t>14719524</t>
        </is>
      </c>
      <c r="AW1317" t="inlineStr">
        <is>
          <t>991000957269702656</t>
        </is>
      </c>
      <c r="AX1317" t="inlineStr">
        <is>
          <t>991000957269702656</t>
        </is>
      </c>
      <c r="AY1317" t="inlineStr">
        <is>
          <t>2254701720002656</t>
        </is>
      </c>
      <c r="AZ1317" t="inlineStr">
        <is>
          <t>BOOK</t>
        </is>
      </c>
      <c r="BB1317" t="inlineStr">
        <is>
          <t>9780803109391</t>
        </is>
      </c>
      <c r="BC1317" t="inlineStr">
        <is>
          <t>32285001642700</t>
        </is>
      </c>
      <c r="BD1317" t="inlineStr">
        <is>
          <t>893502971</t>
        </is>
      </c>
    </row>
    <row r="1318">
      <c r="A1318" t="inlineStr">
        <is>
          <t>No</t>
        </is>
      </c>
      <c r="B1318" t="inlineStr">
        <is>
          <t>QH541.5.W3 P74 1987</t>
        </is>
      </c>
      <c r="C1318" t="inlineStr">
        <is>
          <t>0                      QH 0541500W  3                  P  74          1987</t>
        </is>
      </c>
      <c r="D1318" t="inlineStr">
        <is>
          <t>Predation : direct and indirect impacts on aquatic communities / edited by W. Charles Kerfoot and Andrew Sih.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L1318" t="inlineStr">
        <is>
          <t>Hanover, NH : University Press of New England, 1987.</t>
        </is>
      </c>
      <c r="M1318" t="inlineStr">
        <is>
          <t>1987</t>
        </is>
      </c>
      <c r="O1318" t="inlineStr">
        <is>
          <t>eng</t>
        </is>
      </c>
      <c r="P1318" t="inlineStr">
        <is>
          <t>nhu</t>
        </is>
      </c>
      <c r="R1318" t="inlineStr">
        <is>
          <t xml:space="preserve">QH </t>
        </is>
      </c>
      <c r="S1318" t="n">
        <v>10</v>
      </c>
      <c r="T1318" t="n">
        <v>10</v>
      </c>
      <c r="U1318" t="inlineStr">
        <is>
          <t>1997-10-11</t>
        </is>
      </c>
      <c r="V1318" t="inlineStr">
        <is>
          <t>1997-10-11</t>
        </is>
      </c>
      <c r="W1318" t="inlineStr">
        <is>
          <t>1993-05-03</t>
        </is>
      </c>
      <c r="X1318" t="inlineStr">
        <is>
          <t>1993-05-03</t>
        </is>
      </c>
      <c r="Y1318" t="n">
        <v>489</v>
      </c>
      <c r="Z1318" t="n">
        <v>391</v>
      </c>
      <c r="AA1318" t="n">
        <v>393</v>
      </c>
      <c r="AB1318" t="n">
        <v>3</v>
      </c>
      <c r="AC1318" t="n">
        <v>3</v>
      </c>
      <c r="AD1318" t="n">
        <v>14</v>
      </c>
      <c r="AE1318" t="n">
        <v>14</v>
      </c>
      <c r="AF1318" t="n">
        <v>5</v>
      </c>
      <c r="AG1318" t="n">
        <v>5</v>
      </c>
      <c r="AH1318" t="n">
        <v>3</v>
      </c>
      <c r="AI1318" t="n">
        <v>3</v>
      </c>
      <c r="AJ1318" t="n">
        <v>8</v>
      </c>
      <c r="AK1318" t="n">
        <v>8</v>
      </c>
      <c r="AL1318" t="n">
        <v>2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HYPERLINK("http://catalog.hathitrust.org/Record/000818302","HathiTrust Record")</f>
        <v/>
      </c>
      <c r="AS1318">
        <f>HYPERLINK("https://creighton-primo.hosted.exlibrisgroup.com/primo-explore/search?tab=default_tab&amp;search_scope=EVERYTHING&amp;vid=01CRU&amp;lang=en_US&amp;offset=0&amp;query=any,contains,991000906799702656","Catalog Record")</f>
        <v/>
      </c>
      <c r="AT1318">
        <f>HYPERLINK("http://www.worldcat.org/oclc/14098824","WorldCat Record")</f>
        <v/>
      </c>
      <c r="AU1318" t="inlineStr">
        <is>
          <t>836664761:eng</t>
        </is>
      </c>
      <c r="AV1318" t="inlineStr">
        <is>
          <t>14098824</t>
        </is>
      </c>
      <c r="AW1318" t="inlineStr">
        <is>
          <t>991000906799702656</t>
        </is>
      </c>
      <c r="AX1318" t="inlineStr">
        <is>
          <t>991000906799702656</t>
        </is>
      </c>
      <c r="AY1318" t="inlineStr">
        <is>
          <t>2264544400002656</t>
        </is>
      </c>
      <c r="AZ1318" t="inlineStr">
        <is>
          <t>BOOK</t>
        </is>
      </c>
      <c r="BB1318" t="inlineStr">
        <is>
          <t>9780874513769</t>
        </is>
      </c>
      <c r="BC1318" t="inlineStr">
        <is>
          <t>32285001642718</t>
        </is>
      </c>
      <c r="BD1318" t="inlineStr">
        <is>
          <t>893772094</t>
        </is>
      </c>
    </row>
    <row r="1319">
      <c r="A1319" t="inlineStr">
        <is>
          <t>No</t>
        </is>
      </c>
      <c r="B1319" t="inlineStr">
        <is>
          <t>QH541.5.W3 S44 1982</t>
        </is>
      </c>
      <c r="C1319" t="inlineStr">
        <is>
          <t>0                      QH 0541500W  3                  S  44          1982</t>
        </is>
      </c>
      <c r="D1319" t="inlineStr">
        <is>
          <t>Organic materials in aquatic ecosystems / author, Humitake Seki.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Seki, Fumitake, 1937-</t>
        </is>
      </c>
      <c r="L1319" t="inlineStr">
        <is>
          <t>Boca Raton, Fla. : CRC Press, c1982.</t>
        </is>
      </c>
      <c r="M1319" t="inlineStr">
        <is>
          <t>1982</t>
        </is>
      </c>
      <c r="O1319" t="inlineStr">
        <is>
          <t>eng</t>
        </is>
      </c>
      <c r="P1319" t="inlineStr">
        <is>
          <t>flu</t>
        </is>
      </c>
      <c r="R1319" t="inlineStr">
        <is>
          <t xml:space="preserve">QH </t>
        </is>
      </c>
      <c r="S1319" t="n">
        <v>15</v>
      </c>
      <c r="T1319" t="n">
        <v>15</v>
      </c>
      <c r="U1319" t="inlineStr">
        <is>
          <t>2000-04-19</t>
        </is>
      </c>
      <c r="V1319" t="inlineStr">
        <is>
          <t>2000-04-19</t>
        </is>
      </c>
      <c r="W1319" t="inlineStr">
        <is>
          <t>1990-03-28</t>
        </is>
      </c>
      <c r="X1319" t="inlineStr">
        <is>
          <t>1990-03-28</t>
        </is>
      </c>
      <c r="Y1319" t="n">
        <v>268</v>
      </c>
      <c r="Z1319" t="n">
        <v>192</v>
      </c>
      <c r="AA1319" t="n">
        <v>199</v>
      </c>
      <c r="AB1319" t="n">
        <v>2</v>
      </c>
      <c r="AC1319" t="n">
        <v>2</v>
      </c>
      <c r="AD1319" t="n">
        <v>3</v>
      </c>
      <c r="AE1319" t="n">
        <v>3</v>
      </c>
      <c r="AF1319" t="n">
        <v>1</v>
      </c>
      <c r="AG1319" t="n">
        <v>1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HYPERLINK("http://catalog.hathitrust.org/Record/000308339","HathiTrust Record")</f>
        <v/>
      </c>
      <c r="AS1319">
        <f>HYPERLINK("https://creighton-primo.hosted.exlibrisgroup.com/primo-explore/search?tab=default_tab&amp;search_scope=EVERYTHING&amp;vid=01CRU&amp;lang=en_US&amp;offset=0&amp;query=any,contains,991005126029702656","Catalog Record")</f>
        <v/>
      </c>
      <c r="AT1319">
        <f>HYPERLINK("http://www.worldcat.org/oclc/7553625","WorldCat Record")</f>
        <v/>
      </c>
      <c r="AU1319" t="inlineStr">
        <is>
          <t>508928:eng</t>
        </is>
      </c>
      <c r="AV1319" t="inlineStr">
        <is>
          <t>7553625</t>
        </is>
      </c>
      <c r="AW1319" t="inlineStr">
        <is>
          <t>991005126029702656</t>
        </is>
      </c>
      <c r="AX1319" t="inlineStr">
        <is>
          <t>991005126029702656</t>
        </is>
      </c>
      <c r="AY1319" t="inlineStr">
        <is>
          <t>2262597650002656</t>
        </is>
      </c>
      <c r="AZ1319" t="inlineStr">
        <is>
          <t>BOOK</t>
        </is>
      </c>
      <c r="BB1319" t="inlineStr">
        <is>
          <t>9780849364464</t>
        </is>
      </c>
      <c r="BC1319" t="inlineStr">
        <is>
          <t>32285000097336</t>
        </is>
      </c>
      <c r="BD1319" t="inlineStr">
        <is>
          <t>893870559</t>
        </is>
      </c>
    </row>
    <row r="1320">
      <c r="A1320" t="inlineStr">
        <is>
          <t>No</t>
        </is>
      </c>
      <c r="B1320" t="inlineStr">
        <is>
          <t>QH542.5 .H84 1995</t>
        </is>
      </c>
      <c r="C1320" t="inlineStr">
        <is>
          <t>0                      QH 0542500H  84          1995</t>
        </is>
      </c>
      <c r="D1320" t="inlineStr">
        <is>
          <t>Geoecology : an evolutionary approach / Richard John Huggett.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Huggett, Richard J.</t>
        </is>
      </c>
      <c r="L1320" t="inlineStr">
        <is>
          <t>London ; New York : Routledge, 1995.</t>
        </is>
      </c>
      <c r="M1320" t="inlineStr">
        <is>
          <t>1995</t>
        </is>
      </c>
      <c r="O1320" t="inlineStr">
        <is>
          <t>eng</t>
        </is>
      </c>
      <c r="P1320" t="inlineStr">
        <is>
          <t>enk</t>
        </is>
      </c>
      <c r="R1320" t="inlineStr">
        <is>
          <t xml:space="preserve">QH </t>
        </is>
      </c>
      <c r="S1320" t="n">
        <v>4</v>
      </c>
      <c r="T1320" t="n">
        <v>4</v>
      </c>
      <c r="U1320" t="inlineStr">
        <is>
          <t>1998-11-29</t>
        </is>
      </c>
      <c r="V1320" t="inlineStr">
        <is>
          <t>1998-11-29</t>
        </is>
      </c>
      <c r="W1320" t="inlineStr">
        <is>
          <t>1996-02-05</t>
        </is>
      </c>
      <c r="X1320" t="inlineStr">
        <is>
          <t>1996-02-05</t>
        </is>
      </c>
      <c r="Y1320" t="n">
        <v>368</v>
      </c>
      <c r="Z1320" t="n">
        <v>211</v>
      </c>
      <c r="AA1320" t="n">
        <v>246</v>
      </c>
      <c r="AB1320" t="n">
        <v>3</v>
      </c>
      <c r="AC1320" t="n">
        <v>3</v>
      </c>
      <c r="AD1320" t="n">
        <v>6</v>
      </c>
      <c r="AE1320" t="n">
        <v>6</v>
      </c>
      <c r="AF1320" t="n">
        <v>1</v>
      </c>
      <c r="AG1320" t="n">
        <v>1</v>
      </c>
      <c r="AH1320" t="n">
        <v>1</v>
      </c>
      <c r="AI1320" t="n">
        <v>1</v>
      </c>
      <c r="AJ1320" t="n">
        <v>3</v>
      </c>
      <c r="AK1320" t="n">
        <v>3</v>
      </c>
      <c r="AL1320" t="n">
        <v>2</v>
      </c>
      <c r="AM1320" t="n">
        <v>2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HYPERLINK("https://creighton-primo.hosted.exlibrisgroup.com/primo-explore/search?tab=default_tab&amp;search_scope=EVERYTHING&amp;vid=01CRU&amp;lang=en_US&amp;offset=0&amp;query=any,contains,991002395469702656","Catalog Record")</f>
        <v/>
      </c>
      <c r="AT1320">
        <f>HYPERLINK("http://www.worldcat.org/oclc/31131322","WorldCat Record")</f>
        <v/>
      </c>
      <c r="AU1320" t="inlineStr">
        <is>
          <t>800267045:eng</t>
        </is>
      </c>
      <c r="AV1320" t="inlineStr">
        <is>
          <t>31131322</t>
        </is>
      </c>
      <c r="AW1320" t="inlineStr">
        <is>
          <t>991002395469702656</t>
        </is>
      </c>
      <c r="AX1320" t="inlineStr">
        <is>
          <t>991002395469702656</t>
        </is>
      </c>
      <c r="AY1320" t="inlineStr">
        <is>
          <t>2269851700002656</t>
        </is>
      </c>
      <c r="AZ1320" t="inlineStr">
        <is>
          <t>BOOK</t>
        </is>
      </c>
      <c r="BB1320" t="inlineStr">
        <is>
          <t>9780415086899</t>
        </is>
      </c>
      <c r="BC1320" t="inlineStr">
        <is>
          <t>32285002127842</t>
        </is>
      </c>
      <c r="BD1320" t="inlineStr">
        <is>
          <t>893504347</t>
        </is>
      </c>
    </row>
    <row r="1321">
      <c r="A1321" t="inlineStr">
        <is>
          <t>No</t>
        </is>
      </c>
      <c r="B1321" t="inlineStr">
        <is>
          <t>QH543 .F67 1982</t>
        </is>
      </c>
      <c r="C1321" t="inlineStr">
        <is>
          <t>0                      QH 0543000F  67          1982</t>
        </is>
      </c>
      <c r="D1321" t="inlineStr">
        <is>
          <t>The changing climate : responses of the natural fauna and flora / Michael J. Ford.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Ford, Michael J. (Michael John), 1950-</t>
        </is>
      </c>
      <c r="L1321" t="inlineStr">
        <is>
          <t>London ; Boston, MA : G. Allen and Unwin, 1982.</t>
        </is>
      </c>
      <c r="M1321" t="inlineStr">
        <is>
          <t>1982</t>
        </is>
      </c>
      <c r="O1321" t="inlineStr">
        <is>
          <t>eng</t>
        </is>
      </c>
      <c r="P1321" t="inlineStr">
        <is>
          <t>enk</t>
        </is>
      </c>
      <c r="R1321" t="inlineStr">
        <is>
          <t xml:space="preserve">QH </t>
        </is>
      </c>
      <c r="S1321" t="n">
        <v>9</v>
      </c>
      <c r="T1321" t="n">
        <v>9</v>
      </c>
      <c r="U1321" t="inlineStr">
        <is>
          <t>2008-04-07</t>
        </is>
      </c>
      <c r="V1321" t="inlineStr">
        <is>
          <t>2008-04-07</t>
        </is>
      </c>
      <c r="W1321" t="inlineStr">
        <is>
          <t>1993-05-03</t>
        </is>
      </c>
      <c r="X1321" t="inlineStr">
        <is>
          <t>1993-05-03</t>
        </is>
      </c>
      <c r="Y1321" t="n">
        <v>446</v>
      </c>
      <c r="Z1321" t="n">
        <v>279</v>
      </c>
      <c r="AA1321" t="n">
        <v>279</v>
      </c>
      <c r="AB1321" t="n">
        <v>4</v>
      </c>
      <c r="AC1321" t="n">
        <v>4</v>
      </c>
      <c r="AD1321" t="n">
        <v>5</v>
      </c>
      <c r="AE1321" t="n">
        <v>5</v>
      </c>
      <c r="AF1321" t="n">
        <v>0</v>
      </c>
      <c r="AG1321" t="n">
        <v>0</v>
      </c>
      <c r="AH1321" t="n">
        <v>0</v>
      </c>
      <c r="AI1321" t="n">
        <v>0</v>
      </c>
      <c r="AJ1321" t="n">
        <v>2</v>
      </c>
      <c r="AK1321" t="n">
        <v>2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HYPERLINK("https://creighton-primo.hosted.exlibrisgroup.com/primo-explore/search?tab=default_tab&amp;search_scope=EVERYTHING&amp;vid=01CRU&amp;lang=en_US&amp;offset=0&amp;query=any,contains,991005190669702656","Catalog Record")</f>
        <v/>
      </c>
      <c r="AT1321">
        <f>HYPERLINK("http://www.worldcat.org/oclc/7998783","WorldCat Record")</f>
        <v/>
      </c>
      <c r="AU1321" t="inlineStr">
        <is>
          <t>836890274:eng</t>
        </is>
      </c>
      <c r="AV1321" t="inlineStr">
        <is>
          <t>7998783</t>
        </is>
      </c>
      <c r="AW1321" t="inlineStr">
        <is>
          <t>991005190669702656</t>
        </is>
      </c>
      <c r="AX1321" t="inlineStr">
        <is>
          <t>991005190669702656</t>
        </is>
      </c>
      <c r="AY1321" t="inlineStr">
        <is>
          <t>2257756610002656</t>
        </is>
      </c>
      <c r="AZ1321" t="inlineStr">
        <is>
          <t>BOOK</t>
        </is>
      </c>
      <c r="BB1321" t="inlineStr">
        <is>
          <t>9780045740178</t>
        </is>
      </c>
      <c r="BC1321" t="inlineStr">
        <is>
          <t>32285001642734</t>
        </is>
      </c>
      <c r="BD1321" t="inlineStr">
        <is>
          <t>893783167</t>
        </is>
      </c>
    </row>
    <row r="1322">
      <c r="A1322" t="inlineStr">
        <is>
          <t>No</t>
        </is>
      </c>
      <c r="B1322" t="inlineStr">
        <is>
          <t>QH543 .L69</t>
        </is>
      </c>
      <c r="C1322" t="inlineStr">
        <is>
          <t>0                      QH 0543000L  69</t>
        </is>
      </c>
      <c r="D1322" t="inlineStr">
        <is>
          <t>Weather and life : an introduction to biometeorology / [by] William P. Lowry.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Lowry, William P. (William Prescott), 1927-1998.</t>
        </is>
      </c>
      <c r="L1322" t="inlineStr">
        <is>
          <t>New York : Academic Press, [1969]</t>
        </is>
      </c>
      <c r="M1322" t="inlineStr">
        <is>
          <t>1969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QH </t>
        </is>
      </c>
      <c r="S1322" t="n">
        <v>5</v>
      </c>
      <c r="T1322" t="n">
        <v>5</v>
      </c>
      <c r="U1322" t="inlineStr">
        <is>
          <t>2004-05-06</t>
        </is>
      </c>
      <c r="V1322" t="inlineStr">
        <is>
          <t>2004-05-06</t>
        </is>
      </c>
      <c r="W1322" t="inlineStr">
        <is>
          <t>1994-01-27</t>
        </is>
      </c>
      <c r="X1322" t="inlineStr">
        <is>
          <t>1994-01-27</t>
        </is>
      </c>
      <c r="Y1322" t="n">
        <v>747</v>
      </c>
      <c r="Z1322" t="n">
        <v>585</v>
      </c>
      <c r="AA1322" t="n">
        <v>628</v>
      </c>
      <c r="AB1322" t="n">
        <v>4</v>
      </c>
      <c r="AC1322" t="n">
        <v>4</v>
      </c>
      <c r="AD1322" t="n">
        <v>20</v>
      </c>
      <c r="AE1322" t="n">
        <v>23</v>
      </c>
      <c r="AF1322" t="n">
        <v>5</v>
      </c>
      <c r="AG1322" t="n">
        <v>7</v>
      </c>
      <c r="AH1322" t="n">
        <v>4</v>
      </c>
      <c r="AI1322" t="n">
        <v>6</v>
      </c>
      <c r="AJ1322" t="n">
        <v>9</v>
      </c>
      <c r="AK1322" t="n">
        <v>9</v>
      </c>
      <c r="AL1322" t="n">
        <v>3</v>
      </c>
      <c r="AM1322" t="n">
        <v>3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HYPERLINK("http://catalog.hathitrust.org/Record/000000258","HathiTrust Record")</f>
        <v/>
      </c>
      <c r="AS1322">
        <f>HYPERLINK("https://creighton-primo.hosted.exlibrisgroup.com/primo-explore/search?tab=default_tab&amp;search_scope=EVERYTHING&amp;vid=01CRU&amp;lang=en_US&amp;offset=0&amp;query=any,contains,991000055729702656","Catalog Record")</f>
        <v/>
      </c>
      <c r="AT1322">
        <f>HYPERLINK("http://www.worldcat.org/oclc/23465","WorldCat Record")</f>
        <v/>
      </c>
      <c r="AU1322" t="inlineStr">
        <is>
          <t>41236527:eng</t>
        </is>
      </c>
      <c r="AV1322" t="inlineStr">
        <is>
          <t>23465</t>
        </is>
      </c>
      <c r="AW1322" t="inlineStr">
        <is>
          <t>991000055729702656</t>
        </is>
      </c>
      <c r="AX1322" t="inlineStr">
        <is>
          <t>991000055729702656</t>
        </is>
      </c>
      <c r="AY1322" t="inlineStr">
        <is>
          <t>2265514870002656</t>
        </is>
      </c>
      <c r="AZ1322" t="inlineStr">
        <is>
          <t>BOOK</t>
        </is>
      </c>
      <c r="BC1322" t="inlineStr">
        <is>
          <t>32285001836229</t>
        </is>
      </c>
      <c r="BD1322" t="inlineStr">
        <is>
          <t>893626179</t>
        </is>
      </c>
    </row>
    <row r="1323">
      <c r="A1323" t="inlineStr">
        <is>
          <t>No</t>
        </is>
      </c>
      <c r="B1323" t="inlineStr">
        <is>
          <t>QH543 .R6 1983</t>
        </is>
      </c>
      <c r="C1323" t="inlineStr">
        <is>
          <t>0                      QH 0543000R  6           1983</t>
        </is>
      </c>
      <c r="D1323" t="inlineStr">
        <is>
          <t>Microclimate : the biological environment / Norman J. Rosenberg, Blaine L. Blad, Shashi B. Verma.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Rosenberg, Norman J., 1930-</t>
        </is>
      </c>
      <c r="L1323" t="inlineStr">
        <is>
          <t>New York : Wiley, c1983.</t>
        </is>
      </c>
      <c r="M1323" t="inlineStr">
        <is>
          <t>1983</t>
        </is>
      </c>
      <c r="N1323" t="inlineStr">
        <is>
          <t>2nd ed.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QH </t>
        </is>
      </c>
      <c r="S1323" t="n">
        <v>3</v>
      </c>
      <c r="T1323" t="n">
        <v>3</v>
      </c>
      <c r="U1323" t="inlineStr">
        <is>
          <t>2009-09-02</t>
        </is>
      </c>
      <c r="V1323" t="inlineStr">
        <is>
          <t>2009-09-02</t>
        </is>
      </c>
      <c r="W1323" t="inlineStr">
        <is>
          <t>1993-05-03</t>
        </is>
      </c>
      <c r="X1323" t="inlineStr">
        <is>
          <t>1993-05-03</t>
        </is>
      </c>
      <c r="Y1323" t="n">
        <v>410</v>
      </c>
      <c r="Z1323" t="n">
        <v>280</v>
      </c>
      <c r="AA1323" t="n">
        <v>523</v>
      </c>
      <c r="AB1323" t="n">
        <v>4</v>
      </c>
      <c r="AC1323" t="n">
        <v>5</v>
      </c>
      <c r="AD1323" t="n">
        <v>7</v>
      </c>
      <c r="AE1323" t="n">
        <v>16</v>
      </c>
      <c r="AF1323" t="n">
        <v>1</v>
      </c>
      <c r="AG1323" t="n">
        <v>4</v>
      </c>
      <c r="AH1323" t="n">
        <v>2</v>
      </c>
      <c r="AI1323" t="n">
        <v>4</v>
      </c>
      <c r="AJ1323" t="n">
        <v>3</v>
      </c>
      <c r="AK1323" t="n">
        <v>7</v>
      </c>
      <c r="AL1323" t="n">
        <v>3</v>
      </c>
      <c r="AM1323" t="n">
        <v>4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HYPERLINK("https://creighton-primo.hosted.exlibrisgroup.com/primo-explore/search?tab=default_tab&amp;search_scope=EVERYTHING&amp;vid=01CRU&amp;lang=en_US&amp;offset=0&amp;query=any,contains,991000192019702656","Catalog Record")</f>
        <v/>
      </c>
      <c r="AT1323">
        <f>HYPERLINK("http://www.worldcat.org/oclc/9413214","WorldCat Record")</f>
        <v/>
      </c>
      <c r="AU1323" t="inlineStr">
        <is>
          <t>1857432:eng</t>
        </is>
      </c>
      <c r="AV1323" t="inlineStr">
        <is>
          <t>9413214</t>
        </is>
      </c>
      <c r="AW1323" t="inlineStr">
        <is>
          <t>991000192019702656</t>
        </is>
      </c>
      <c r="AX1323" t="inlineStr">
        <is>
          <t>991000192019702656</t>
        </is>
      </c>
      <c r="AY1323" t="inlineStr">
        <is>
          <t>2263974060002656</t>
        </is>
      </c>
      <c r="AZ1323" t="inlineStr">
        <is>
          <t>BOOK</t>
        </is>
      </c>
      <c r="BB1323" t="inlineStr">
        <is>
          <t>9780471060666</t>
        </is>
      </c>
      <c r="BC1323" t="inlineStr">
        <is>
          <t>32285001642742</t>
        </is>
      </c>
      <c r="BD1323" t="inlineStr">
        <is>
          <t>893314762</t>
        </is>
      </c>
    </row>
    <row r="1324">
      <c r="A1324" t="inlineStr">
        <is>
          <t>No</t>
        </is>
      </c>
      <c r="B1324" t="inlineStr">
        <is>
          <t>QH543.5 .R3313</t>
        </is>
      </c>
      <c r="C1324" t="inlineStr">
        <is>
          <t>0                      QH 0543500R  3313</t>
        </is>
      </c>
      <c r="D1324" t="inlineStr">
        <is>
          <t>Radioecology / edited by V. M. Klechkovskii, G. G. Polikarpov, and R. M. Aleksakhin. Translated from Russian by N. Kaner and H. Mills. Translation edited by D. Greenberg.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Radioėkologii͡a. English.</t>
        </is>
      </c>
      <c r="L1324" t="inlineStr">
        <is>
          <t>New York : [Distributed by] J. Wiley for Israel Program for Scientific Translations, Jerusalem, [c1973]</t>
        </is>
      </c>
      <c r="M1324" t="inlineStr">
        <is>
          <t>1973</t>
        </is>
      </c>
      <c r="O1324" t="inlineStr">
        <is>
          <t>eng</t>
        </is>
      </c>
      <c r="P1324" t="inlineStr">
        <is>
          <t>nyu</t>
        </is>
      </c>
      <c r="R1324" t="inlineStr">
        <is>
          <t xml:space="preserve">QH </t>
        </is>
      </c>
      <c r="S1324" t="n">
        <v>4</v>
      </c>
      <c r="T1324" t="n">
        <v>4</v>
      </c>
      <c r="U1324" t="inlineStr">
        <is>
          <t>1995-02-28</t>
        </is>
      </c>
      <c r="V1324" t="inlineStr">
        <is>
          <t>1995-02-28</t>
        </is>
      </c>
      <c r="W1324" t="inlineStr">
        <is>
          <t>1994-08-29</t>
        </is>
      </c>
      <c r="X1324" t="inlineStr">
        <is>
          <t>1994-08-29</t>
        </is>
      </c>
      <c r="Y1324" t="n">
        <v>185</v>
      </c>
      <c r="Z1324" t="n">
        <v>133</v>
      </c>
      <c r="AA1324" t="n">
        <v>135</v>
      </c>
      <c r="AB1324" t="n">
        <v>3</v>
      </c>
      <c r="AC1324" t="n">
        <v>3</v>
      </c>
      <c r="AD1324" t="n">
        <v>4</v>
      </c>
      <c r="AE1324" t="n">
        <v>4</v>
      </c>
      <c r="AF1324" t="n">
        <v>0</v>
      </c>
      <c r="AG1324" t="n">
        <v>0</v>
      </c>
      <c r="AH1324" t="n">
        <v>0</v>
      </c>
      <c r="AI1324" t="n">
        <v>0</v>
      </c>
      <c r="AJ1324" t="n">
        <v>2</v>
      </c>
      <c r="AK1324" t="n">
        <v>2</v>
      </c>
      <c r="AL1324" t="n">
        <v>2</v>
      </c>
      <c r="AM1324" t="n">
        <v>2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HYPERLINK("http://catalog.hathitrust.org/Record/001492828","HathiTrust Record")</f>
        <v/>
      </c>
      <c r="AS1324">
        <f>HYPERLINK("https://creighton-primo.hosted.exlibrisgroup.com/primo-explore/search?tab=default_tab&amp;search_scope=EVERYTHING&amp;vid=01CRU&amp;lang=en_US&amp;offset=0&amp;query=any,contains,991003039609702656","Catalog Record")</f>
        <v/>
      </c>
      <c r="AT1324">
        <f>HYPERLINK("http://www.worldcat.org/oclc/601204","WorldCat Record")</f>
        <v/>
      </c>
      <c r="AU1324" t="inlineStr">
        <is>
          <t>1600208:eng</t>
        </is>
      </c>
      <c r="AV1324" t="inlineStr">
        <is>
          <t>601204</t>
        </is>
      </c>
      <c r="AW1324" t="inlineStr">
        <is>
          <t>991003039609702656</t>
        </is>
      </c>
      <c r="AX1324" t="inlineStr">
        <is>
          <t>991003039609702656</t>
        </is>
      </c>
      <c r="AY1324" t="inlineStr">
        <is>
          <t>2261798320002656</t>
        </is>
      </c>
      <c r="AZ1324" t="inlineStr">
        <is>
          <t>BOOK</t>
        </is>
      </c>
      <c r="BB1324" t="inlineStr">
        <is>
          <t>9780470490358</t>
        </is>
      </c>
      <c r="BC1324" t="inlineStr">
        <is>
          <t>32285001938868</t>
        </is>
      </c>
      <c r="BD1324" t="inlineStr">
        <is>
          <t>893428368</t>
        </is>
      </c>
    </row>
    <row r="1325">
      <c r="A1325" t="inlineStr">
        <is>
          <t>No</t>
        </is>
      </c>
      <c r="B1325" t="inlineStr">
        <is>
          <t>QH543.5.A1 I5 1979</t>
        </is>
      </c>
      <c r="C1325" t="inlineStr">
        <is>
          <t>0                      QH 0543500A  1                  I  5           1979</t>
        </is>
      </c>
      <c r="D1325" t="inlineStr">
        <is>
          <t>Radiation effects on aquatic organisms / edited by Nobuo Egami.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International Symposium on Radiation Effects on Aquatic Organisms (1979 : Zushi-shi, Japan)</t>
        </is>
      </c>
      <c r="L1325" t="inlineStr">
        <is>
          <t>Tokyo : Japan Scientific Societies Press ; Baltimore : University Park Press, c1980.</t>
        </is>
      </c>
      <c r="M1325" t="inlineStr">
        <is>
          <t>1980</t>
        </is>
      </c>
      <c r="O1325" t="inlineStr">
        <is>
          <t>eng</t>
        </is>
      </c>
      <c r="P1325" t="inlineStr">
        <is>
          <t xml:space="preserve">ja </t>
        </is>
      </c>
      <c r="R1325" t="inlineStr">
        <is>
          <t xml:space="preserve">QH </t>
        </is>
      </c>
      <c r="S1325" t="n">
        <v>5</v>
      </c>
      <c r="T1325" t="n">
        <v>5</v>
      </c>
      <c r="U1325" t="inlineStr">
        <is>
          <t>1997-10-11</t>
        </is>
      </c>
      <c r="V1325" t="inlineStr">
        <is>
          <t>1997-10-11</t>
        </is>
      </c>
      <c r="W1325" t="inlineStr">
        <is>
          <t>1993-05-03</t>
        </is>
      </c>
      <c r="X1325" t="inlineStr">
        <is>
          <t>1993-05-03</t>
        </is>
      </c>
      <c r="Y1325" t="n">
        <v>139</v>
      </c>
      <c r="Z1325" t="n">
        <v>112</v>
      </c>
      <c r="AA1325" t="n">
        <v>113</v>
      </c>
      <c r="AB1325" t="n">
        <v>2</v>
      </c>
      <c r="AC1325" t="n">
        <v>2</v>
      </c>
      <c r="AD1325" t="n">
        <v>3</v>
      </c>
      <c r="AE1325" t="n">
        <v>3</v>
      </c>
      <c r="AF1325" t="n">
        <v>1</v>
      </c>
      <c r="AG1325" t="n">
        <v>1</v>
      </c>
      <c r="AH1325" t="n">
        <v>1</v>
      </c>
      <c r="AI1325" t="n">
        <v>1</v>
      </c>
      <c r="AJ1325" t="n">
        <v>2</v>
      </c>
      <c r="AK1325" t="n">
        <v>2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HYPERLINK("http://catalog.hathitrust.org/Record/007159813","HathiTrust Record")</f>
        <v/>
      </c>
      <c r="AS1325">
        <f>HYPERLINK("https://creighton-primo.hosted.exlibrisgroup.com/primo-explore/search?tab=default_tab&amp;search_scope=EVERYTHING&amp;vid=01CRU&amp;lang=en_US&amp;offset=0&amp;query=any,contains,991005041339702656","Catalog Record")</f>
        <v/>
      </c>
      <c r="AT1325">
        <f>HYPERLINK("http://www.worldcat.org/oclc/19552846","WorldCat Record")</f>
        <v/>
      </c>
      <c r="AU1325" t="inlineStr">
        <is>
          <t>21127159:eng</t>
        </is>
      </c>
      <c r="AV1325" t="inlineStr">
        <is>
          <t>19552846</t>
        </is>
      </c>
      <c r="AW1325" t="inlineStr">
        <is>
          <t>991005041339702656</t>
        </is>
      </c>
      <c r="AX1325" t="inlineStr">
        <is>
          <t>991005041339702656</t>
        </is>
      </c>
      <c r="AY1325" t="inlineStr">
        <is>
          <t>2267581430002656</t>
        </is>
      </c>
      <c r="AZ1325" t="inlineStr">
        <is>
          <t>BOOK</t>
        </is>
      </c>
      <c r="BB1325" t="inlineStr">
        <is>
          <t>9780839141259</t>
        </is>
      </c>
      <c r="BC1325" t="inlineStr">
        <is>
          <t>32285001642767</t>
        </is>
      </c>
      <c r="BD1325" t="inlineStr">
        <is>
          <t>893513940</t>
        </is>
      </c>
    </row>
    <row r="1326">
      <c r="A1326" t="inlineStr">
        <is>
          <t>No</t>
        </is>
      </c>
      <c r="B1326" t="inlineStr">
        <is>
          <t>QH545.A1 C64 1990</t>
        </is>
      </c>
      <c r="C1326" t="inlineStr">
        <is>
          <t>0                      QH 0545000A  1                  C  64          1990</t>
        </is>
      </c>
      <c r="D1326" t="inlineStr">
        <is>
          <t>Making peace with the planet / Barry Commoner.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Commoner, Barry, 1917-2012.</t>
        </is>
      </c>
      <c r="L1326" t="inlineStr">
        <is>
          <t>New York : Pantheon Books, c1990.</t>
        </is>
      </c>
      <c r="M1326" t="inlineStr">
        <is>
          <t>1990</t>
        </is>
      </c>
      <c r="N1326" t="inlineStr">
        <is>
          <t>1st ed.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QH </t>
        </is>
      </c>
      <c r="S1326" t="n">
        <v>6</v>
      </c>
      <c r="T1326" t="n">
        <v>6</v>
      </c>
      <c r="U1326" t="inlineStr">
        <is>
          <t>1994-03-30</t>
        </is>
      </c>
      <c r="V1326" t="inlineStr">
        <is>
          <t>1994-03-30</t>
        </is>
      </c>
      <c r="W1326" t="inlineStr">
        <is>
          <t>1990-06-21</t>
        </is>
      </c>
      <c r="X1326" t="inlineStr">
        <is>
          <t>1990-06-21</t>
        </is>
      </c>
      <c r="Y1326" t="n">
        <v>1471</v>
      </c>
      <c r="Z1326" t="n">
        <v>1365</v>
      </c>
      <c r="AA1326" t="n">
        <v>1491</v>
      </c>
      <c r="AB1326" t="n">
        <v>9</v>
      </c>
      <c r="AC1326" t="n">
        <v>10</v>
      </c>
      <c r="AD1326" t="n">
        <v>30</v>
      </c>
      <c r="AE1326" t="n">
        <v>36</v>
      </c>
      <c r="AF1326" t="n">
        <v>13</v>
      </c>
      <c r="AG1326" t="n">
        <v>15</v>
      </c>
      <c r="AH1326" t="n">
        <v>4</v>
      </c>
      <c r="AI1326" t="n">
        <v>6</v>
      </c>
      <c r="AJ1326" t="n">
        <v>13</v>
      </c>
      <c r="AK1326" t="n">
        <v>15</v>
      </c>
      <c r="AL1326" t="n">
        <v>6</v>
      </c>
      <c r="AM1326" t="n">
        <v>7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HYPERLINK("http://catalog.hathitrust.org/Record/001951132","HathiTrust Record")</f>
        <v/>
      </c>
      <c r="AS1326">
        <f>HYPERLINK("https://creighton-primo.hosted.exlibrisgroup.com/primo-explore/search?tab=default_tab&amp;search_scope=EVERYTHING&amp;vid=01CRU&amp;lang=en_US&amp;offset=0&amp;query=any,contains,991001588399702656","Catalog Record")</f>
        <v/>
      </c>
      <c r="AT1326">
        <f>HYPERLINK("http://www.worldcat.org/oclc/20561508","WorldCat Record")</f>
        <v/>
      </c>
      <c r="AU1326" t="inlineStr">
        <is>
          <t>19534704:eng</t>
        </is>
      </c>
      <c r="AV1326" t="inlineStr">
        <is>
          <t>20561508</t>
        </is>
      </c>
      <c r="AW1326" t="inlineStr">
        <is>
          <t>991001588399702656</t>
        </is>
      </c>
      <c r="AX1326" t="inlineStr">
        <is>
          <t>991001588399702656</t>
        </is>
      </c>
      <c r="AY1326" t="inlineStr">
        <is>
          <t>2258664990002656</t>
        </is>
      </c>
      <c r="AZ1326" t="inlineStr">
        <is>
          <t>BOOK</t>
        </is>
      </c>
      <c r="BB1326" t="inlineStr">
        <is>
          <t>9780394565989</t>
        </is>
      </c>
      <c r="BC1326" t="inlineStr">
        <is>
          <t>32285000178979</t>
        </is>
      </c>
      <c r="BD1326" t="inlineStr">
        <is>
          <t>893684416</t>
        </is>
      </c>
    </row>
    <row r="1327">
      <c r="A1327" t="inlineStr">
        <is>
          <t>No</t>
        </is>
      </c>
      <c r="B1327" t="inlineStr">
        <is>
          <t>QH545.A1 D83 1980</t>
        </is>
      </c>
      <c r="C1327" t="inlineStr">
        <is>
          <t>0                      QH 0545000A  1                  D  83          1980</t>
        </is>
      </c>
      <c r="D1327" t="inlineStr">
        <is>
          <t>Environmental Toxicology / John H. Duffus.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Duffus, John H.</t>
        </is>
      </c>
      <c r="L1327" t="inlineStr">
        <is>
          <t>New York : Halsted Press, 1980.</t>
        </is>
      </c>
      <c r="M1327" t="inlineStr">
        <is>
          <t>1980</t>
        </is>
      </c>
      <c r="O1327" t="inlineStr">
        <is>
          <t>eng</t>
        </is>
      </c>
      <c r="P1327" t="inlineStr">
        <is>
          <t>nyu</t>
        </is>
      </c>
      <c r="Q1327" t="inlineStr">
        <is>
          <t>Resource and environmental sciences series</t>
        </is>
      </c>
      <c r="R1327" t="inlineStr">
        <is>
          <t xml:space="preserve">QH </t>
        </is>
      </c>
      <c r="S1327" t="n">
        <v>3</v>
      </c>
      <c r="T1327" t="n">
        <v>3</v>
      </c>
      <c r="U1327" t="inlineStr">
        <is>
          <t>2002-10-19</t>
        </is>
      </c>
      <c r="V1327" t="inlineStr">
        <is>
          <t>2002-10-19</t>
        </is>
      </c>
      <c r="W1327" t="inlineStr">
        <is>
          <t>1995-05-16</t>
        </is>
      </c>
      <c r="X1327" t="inlineStr">
        <is>
          <t>1995-05-16</t>
        </is>
      </c>
      <c r="Y1327" t="n">
        <v>293</v>
      </c>
      <c r="Z1327" t="n">
        <v>275</v>
      </c>
      <c r="AA1327" t="n">
        <v>333</v>
      </c>
      <c r="AB1327" t="n">
        <v>3</v>
      </c>
      <c r="AC1327" t="n">
        <v>3</v>
      </c>
      <c r="AD1327" t="n">
        <v>9</v>
      </c>
      <c r="AE1327" t="n">
        <v>11</v>
      </c>
      <c r="AF1327" t="n">
        <v>4</v>
      </c>
      <c r="AG1327" t="n">
        <v>4</v>
      </c>
      <c r="AH1327" t="n">
        <v>1</v>
      </c>
      <c r="AI1327" t="n">
        <v>3</v>
      </c>
      <c r="AJ1327" t="n">
        <v>4</v>
      </c>
      <c r="AK1327" t="n">
        <v>4</v>
      </c>
      <c r="AL1327" t="n">
        <v>2</v>
      </c>
      <c r="AM1327" t="n">
        <v>2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HYPERLINK("https://creighton-primo.hosted.exlibrisgroup.com/primo-explore/search?tab=default_tab&amp;search_scope=EVERYTHING&amp;vid=01CRU&amp;lang=en_US&amp;offset=0&amp;query=any,contains,991005011529702656","Catalog Record")</f>
        <v/>
      </c>
      <c r="AT1327">
        <f>HYPERLINK("http://www.worldcat.org/oclc/6603062","WorldCat Record")</f>
        <v/>
      </c>
      <c r="AU1327" t="inlineStr">
        <is>
          <t>487992:eng</t>
        </is>
      </c>
      <c r="AV1327" t="inlineStr">
        <is>
          <t>6603062</t>
        </is>
      </c>
      <c r="AW1327" t="inlineStr">
        <is>
          <t>991005011529702656</t>
        </is>
      </c>
      <c r="AX1327" t="inlineStr">
        <is>
          <t>991005011529702656</t>
        </is>
      </c>
      <c r="AY1327" t="inlineStr">
        <is>
          <t>2254856710002656</t>
        </is>
      </c>
      <c r="AZ1327" t="inlineStr">
        <is>
          <t>BOOK</t>
        </is>
      </c>
      <c r="BB1327" t="inlineStr">
        <is>
          <t>9780470270516</t>
        </is>
      </c>
      <c r="BC1327" t="inlineStr">
        <is>
          <t>32285002034105</t>
        </is>
      </c>
      <c r="BD1327" t="inlineStr">
        <is>
          <t>893326048</t>
        </is>
      </c>
    </row>
    <row r="1328">
      <c r="A1328" t="inlineStr">
        <is>
          <t>No</t>
        </is>
      </c>
      <c r="B1328" t="inlineStr">
        <is>
          <t>QH545.A1 E277 2002</t>
        </is>
      </c>
      <c r="C1328" t="inlineStr">
        <is>
          <t>0                      QH 0545000A  1                  E  277         2002</t>
        </is>
      </c>
      <c r="D1328" t="inlineStr">
        <is>
          <t>Ecological modeling in risk assessment : chemical effects on populations, ecosystems, and landscapes / edited by Robert A. Pastorok ... [et al.].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Boca Raton, Fla. : Lewis Publishers, c2002.</t>
        </is>
      </c>
      <c r="M1328" t="inlineStr">
        <is>
          <t>2002</t>
        </is>
      </c>
      <c r="O1328" t="inlineStr">
        <is>
          <t>eng</t>
        </is>
      </c>
      <c r="P1328" t="inlineStr">
        <is>
          <t>flu</t>
        </is>
      </c>
      <c r="R1328" t="inlineStr">
        <is>
          <t xml:space="preserve">QH </t>
        </is>
      </c>
      <c r="S1328" t="n">
        <v>5</v>
      </c>
      <c r="T1328" t="n">
        <v>5</v>
      </c>
      <c r="U1328" t="inlineStr">
        <is>
          <t>2006-04-04</t>
        </is>
      </c>
      <c r="V1328" t="inlineStr">
        <is>
          <t>2006-04-04</t>
        </is>
      </c>
      <c r="W1328" t="inlineStr">
        <is>
          <t>2002-04-24</t>
        </is>
      </c>
      <c r="X1328" t="inlineStr">
        <is>
          <t>2002-04-24</t>
        </is>
      </c>
      <c r="Y1328" t="n">
        <v>245</v>
      </c>
      <c r="Z1328" t="n">
        <v>179</v>
      </c>
      <c r="AA1328" t="n">
        <v>229</v>
      </c>
      <c r="AB1328" t="n">
        <v>2</v>
      </c>
      <c r="AC1328" t="n">
        <v>2</v>
      </c>
      <c r="AD1328" t="n">
        <v>4</v>
      </c>
      <c r="AE1328" t="n">
        <v>4</v>
      </c>
      <c r="AF1328" t="n">
        <v>0</v>
      </c>
      <c r="AG1328" t="n">
        <v>0</v>
      </c>
      <c r="AH1328" t="n">
        <v>2</v>
      </c>
      <c r="AI1328" t="n">
        <v>2</v>
      </c>
      <c r="AJ1328" t="n">
        <v>2</v>
      </c>
      <c r="AK1328" t="n">
        <v>2</v>
      </c>
      <c r="AL1328" t="n">
        <v>1</v>
      </c>
      <c r="AM1328" t="n">
        <v>1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HYPERLINK("https://creighton-primo.hosted.exlibrisgroup.com/primo-explore/search?tab=default_tab&amp;search_scope=EVERYTHING&amp;vid=01CRU&amp;lang=en_US&amp;offset=0&amp;query=any,contains,991003770589702656","Catalog Record")</f>
        <v/>
      </c>
      <c r="AT1328">
        <f>HYPERLINK("http://www.worldcat.org/oclc/47240769","WorldCat Record")</f>
        <v/>
      </c>
      <c r="AU1328" t="inlineStr">
        <is>
          <t>800266924:eng</t>
        </is>
      </c>
      <c r="AV1328" t="inlineStr">
        <is>
          <t>47240769</t>
        </is>
      </c>
      <c r="AW1328" t="inlineStr">
        <is>
          <t>991003770589702656</t>
        </is>
      </c>
      <c r="AX1328" t="inlineStr">
        <is>
          <t>991003770589702656</t>
        </is>
      </c>
      <c r="AY1328" t="inlineStr">
        <is>
          <t>2258423390002656</t>
        </is>
      </c>
      <c r="AZ1328" t="inlineStr">
        <is>
          <t>BOOK</t>
        </is>
      </c>
      <c r="BB1328" t="inlineStr">
        <is>
          <t>9781566705745</t>
        </is>
      </c>
      <c r="BC1328" t="inlineStr">
        <is>
          <t>32285004483037</t>
        </is>
      </c>
      <c r="BD1328" t="inlineStr">
        <is>
          <t>893800149</t>
        </is>
      </c>
    </row>
    <row r="1329">
      <c r="A1329" t="inlineStr">
        <is>
          <t>No</t>
        </is>
      </c>
      <c r="B1329" t="inlineStr">
        <is>
          <t>QH545.A1 E2824 1999</t>
        </is>
      </c>
      <c r="C1329" t="inlineStr">
        <is>
          <t>0                      QH 0545000A  1                  E  2824        1999</t>
        </is>
      </c>
      <c r="D1329" t="inlineStr">
        <is>
          <t>Ecosystems of disturbed ground / edited by Lawrence R. Walker.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L1329" t="inlineStr">
        <is>
          <t>Amsterdam ; New York : Elsevier, 1999.</t>
        </is>
      </c>
      <c r="M1329" t="inlineStr">
        <is>
          <t>1999</t>
        </is>
      </c>
      <c r="N1329" t="inlineStr">
        <is>
          <t>1st ed.</t>
        </is>
      </c>
      <c r="O1329" t="inlineStr">
        <is>
          <t>eng</t>
        </is>
      </c>
      <c r="P1329" t="inlineStr">
        <is>
          <t xml:space="preserve">ne </t>
        </is>
      </c>
      <c r="Q1329" t="inlineStr">
        <is>
          <t>Ecosystems of the world ; 16</t>
        </is>
      </c>
      <c r="R1329" t="inlineStr">
        <is>
          <t xml:space="preserve">QH </t>
        </is>
      </c>
      <c r="S1329" t="n">
        <v>2</v>
      </c>
      <c r="T1329" t="n">
        <v>2</v>
      </c>
      <c r="U1329" t="inlineStr">
        <is>
          <t>2000-11-16</t>
        </is>
      </c>
      <c r="V1329" t="inlineStr">
        <is>
          <t>2000-11-16</t>
        </is>
      </c>
      <c r="W1329" t="inlineStr">
        <is>
          <t>2000-11-16</t>
        </is>
      </c>
      <c r="X1329" t="inlineStr">
        <is>
          <t>2000-11-16</t>
        </is>
      </c>
      <c r="Y1329" t="n">
        <v>244</v>
      </c>
      <c r="Z1329" t="n">
        <v>165</v>
      </c>
      <c r="AA1329" t="n">
        <v>184</v>
      </c>
      <c r="AB1329" t="n">
        <v>1</v>
      </c>
      <c r="AC1329" t="n">
        <v>1</v>
      </c>
      <c r="AD1329" t="n">
        <v>2</v>
      </c>
      <c r="AE1329" t="n">
        <v>2</v>
      </c>
      <c r="AF1329" t="n">
        <v>0</v>
      </c>
      <c r="AG1329" t="n">
        <v>0</v>
      </c>
      <c r="AH1329" t="n">
        <v>1</v>
      </c>
      <c r="AI1329" t="n">
        <v>1</v>
      </c>
      <c r="AJ1329" t="n">
        <v>1</v>
      </c>
      <c r="AK1329" t="n">
        <v>1</v>
      </c>
      <c r="AL1329" t="n">
        <v>0</v>
      </c>
      <c r="AM1329" t="n">
        <v>0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HYPERLINK("https://creighton-primo.hosted.exlibrisgroup.com/primo-explore/search?tab=default_tab&amp;search_scope=EVERYTHING&amp;vid=01CRU&amp;lang=en_US&amp;offset=0&amp;query=any,contains,991003261719702656","Catalog Record")</f>
        <v/>
      </c>
      <c r="AT1329">
        <f>HYPERLINK("http://www.worldcat.org/oclc/42080172","WorldCat Record")</f>
        <v/>
      </c>
      <c r="AU1329" t="inlineStr">
        <is>
          <t>863575366:eng</t>
        </is>
      </c>
      <c r="AV1329" t="inlineStr">
        <is>
          <t>42080172</t>
        </is>
      </c>
      <c r="AW1329" t="inlineStr">
        <is>
          <t>991003261719702656</t>
        </is>
      </c>
      <c r="AX1329" t="inlineStr">
        <is>
          <t>991003261719702656</t>
        </is>
      </c>
      <c r="AY1329" t="inlineStr">
        <is>
          <t>2262882520002656</t>
        </is>
      </c>
      <c r="AZ1329" t="inlineStr">
        <is>
          <t>BOOK</t>
        </is>
      </c>
      <c r="BB1329" t="inlineStr">
        <is>
          <t>9780444417022</t>
        </is>
      </c>
      <c r="BC1329" t="inlineStr">
        <is>
          <t>32285004266523</t>
        </is>
      </c>
      <c r="BD1329" t="inlineStr">
        <is>
          <t>893887297</t>
        </is>
      </c>
    </row>
    <row r="1330">
      <c r="A1330" t="inlineStr">
        <is>
          <t>No</t>
        </is>
      </c>
      <c r="B1330" t="inlineStr">
        <is>
          <t>QH545.A1 E285 1996</t>
        </is>
      </c>
      <c r="C1330" t="inlineStr">
        <is>
          <t>0                      QH 0545000A  1                  E  285         1996</t>
        </is>
      </c>
      <c r="D1330" t="inlineStr">
        <is>
          <t>Ecotoxicology : a hierarchical treatment / edited by Michael C. Newman, Charles H. Jagoe.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Boca Raton : Lewis Publishers, c1996.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flu</t>
        </is>
      </c>
      <c r="Q1330" t="inlineStr">
        <is>
          <t>Savannah River series on environmental sciences</t>
        </is>
      </c>
      <c r="R1330" t="inlineStr">
        <is>
          <t xml:space="preserve">QH </t>
        </is>
      </c>
      <c r="S1330" t="n">
        <v>3</v>
      </c>
      <c r="T1330" t="n">
        <v>3</v>
      </c>
      <c r="U1330" t="inlineStr">
        <is>
          <t>1997-10-29</t>
        </is>
      </c>
      <c r="V1330" t="inlineStr">
        <is>
          <t>1997-10-29</t>
        </is>
      </c>
      <c r="W1330" t="inlineStr">
        <is>
          <t>1997-01-23</t>
        </is>
      </c>
      <c r="X1330" t="inlineStr">
        <is>
          <t>1997-01-23</t>
        </is>
      </c>
      <c r="Y1330" t="n">
        <v>352</v>
      </c>
      <c r="Z1330" t="n">
        <v>270</v>
      </c>
      <c r="AA1330" t="n">
        <v>270</v>
      </c>
      <c r="AB1330" t="n">
        <v>1</v>
      </c>
      <c r="AC1330" t="n">
        <v>1</v>
      </c>
      <c r="AD1330" t="n">
        <v>6</v>
      </c>
      <c r="AE1330" t="n">
        <v>6</v>
      </c>
      <c r="AF1330" t="n">
        <v>4</v>
      </c>
      <c r="AG1330" t="n">
        <v>4</v>
      </c>
      <c r="AH1330" t="n">
        <v>1</v>
      </c>
      <c r="AI1330" t="n">
        <v>1</v>
      </c>
      <c r="AJ1330" t="n">
        <v>3</v>
      </c>
      <c r="AK1330" t="n">
        <v>3</v>
      </c>
      <c r="AL1330" t="n">
        <v>0</v>
      </c>
      <c r="AM1330" t="n">
        <v>0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HYPERLINK("https://creighton-primo.hosted.exlibrisgroup.com/primo-explore/search?tab=default_tab&amp;search_scope=EVERYTHING&amp;vid=01CRU&amp;lang=en_US&amp;offset=0&amp;query=any,contains,991002525689702656","Catalog Record")</f>
        <v/>
      </c>
      <c r="AT1330">
        <f>HYPERLINK("http://www.worldcat.org/oclc/32853347","WorldCat Record")</f>
        <v/>
      </c>
      <c r="AU1330" t="inlineStr">
        <is>
          <t>3769202647:eng</t>
        </is>
      </c>
      <c r="AV1330" t="inlineStr">
        <is>
          <t>32853347</t>
        </is>
      </c>
      <c r="AW1330" t="inlineStr">
        <is>
          <t>991002525689702656</t>
        </is>
      </c>
      <c r="AX1330" t="inlineStr">
        <is>
          <t>991002525689702656</t>
        </is>
      </c>
      <c r="AY1330" t="inlineStr">
        <is>
          <t>2269023020002656</t>
        </is>
      </c>
      <c r="AZ1330" t="inlineStr">
        <is>
          <t>BOOK</t>
        </is>
      </c>
      <c r="BB1330" t="inlineStr">
        <is>
          <t>9781566701273</t>
        </is>
      </c>
      <c r="BC1330" t="inlineStr">
        <is>
          <t>32285002410511</t>
        </is>
      </c>
      <c r="BD1330" t="inlineStr">
        <is>
          <t>893335409</t>
        </is>
      </c>
    </row>
    <row r="1331">
      <c r="A1331" t="inlineStr">
        <is>
          <t>No</t>
        </is>
      </c>
      <c r="B1331" t="inlineStr">
        <is>
          <t>QH545.A1 E293 1989</t>
        </is>
      </c>
      <c r="C1331" t="inlineStr">
        <is>
          <t>0                      QH 0545000A  1                  E  293         1989</t>
        </is>
      </c>
      <c r="D1331" t="inlineStr">
        <is>
          <t>Ecotoxicology : problems and approaches / Simon A. Levin ... [et al.], editors.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L1331" t="inlineStr">
        <is>
          <t>New York : Springer-Verlag, c1989.</t>
        </is>
      </c>
      <c r="M1331" t="inlineStr">
        <is>
          <t>1989</t>
        </is>
      </c>
      <c r="O1331" t="inlineStr">
        <is>
          <t>eng</t>
        </is>
      </c>
      <c r="P1331" t="inlineStr">
        <is>
          <t>nyu</t>
        </is>
      </c>
      <c r="Q1331" t="inlineStr">
        <is>
          <t>Springer advanced texts in life sciences</t>
        </is>
      </c>
      <c r="R1331" t="inlineStr">
        <is>
          <t xml:space="preserve">QH </t>
        </is>
      </c>
      <c r="S1331" t="n">
        <v>6</v>
      </c>
      <c r="T1331" t="n">
        <v>6</v>
      </c>
      <c r="U1331" t="inlineStr">
        <is>
          <t>1995-03-30</t>
        </is>
      </c>
      <c r="V1331" t="inlineStr">
        <is>
          <t>1995-03-30</t>
        </is>
      </c>
      <c r="W1331" t="inlineStr">
        <is>
          <t>1992-02-27</t>
        </is>
      </c>
      <c r="X1331" t="inlineStr">
        <is>
          <t>1992-02-27</t>
        </is>
      </c>
      <c r="Y1331" t="n">
        <v>396</v>
      </c>
      <c r="Z1331" t="n">
        <v>280</v>
      </c>
      <c r="AA1331" t="n">
        <v>304</v>
      </c>
      <c r="AB1331" t="n">
        <v>4</v>
      </c>
      <c r="AC1331" t="n">
        <v>4</v>
      </c>
      <c r="AD1331" t="n">
        <v>11</v>
      </c>
      <c r="AE1331" t="n">
        <v>12</v>
      </c>
      <c r="AF1331" t="n">
        <v>3</v>
      </c>
      <c r="AG1331" t="n">
        <v>4</v>
      </c>
      <c r="AH1331" t="n">
        <v>2</v>
      </c>
      <c r="AI1331" t="n">
        <v>2</v>
      </c>
      <c r="AJ1331" t="n">
        <v>4</v>
      </c>
      <c r="AK1331" t="n">
        <v>5</v>
      </c>
      <c r="AL1331" t="n">
        <v>3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HYPERLINK("https://creighton-primo.hosted.exlibrisgroup.com/primo-explore/search?tab=default_tab&amp;search_scope=EVERYTHING&amp;vid=01CRU&amp;lang=en_US&amp;offset=0&amp;query=any,contains,991001298719702656","Catalog Record")</f>
        <v/>
      </c>
      <c r="AT1331">
        <f>HYPERLINK("http://www.worldcat.org/oclc/18052101","WorldCat Record")</f>
        <v/>
      </c>
      <c r="AU1331" t="inlineStr">
        <is>
          <t>808078464:eng</t>
        </is>
      </c>
      <c r="AV1331" t="inlineStr">
        <is>
          <t>18052101</t>
        </is>
      </c>
      <c r="AW1331" t="inlineStr">
        <is>
          <t>991001298719702656</t>
        </is>
      </c>
      <c r="AX1331" t="inlineStr">
        <is>
          <t>991001298719702656</t>
        </is>
      </c>
      <c r="AY1331" t="inlineStr">
        <is>
          <t>2265491220002656</t>
        </is>
      </c>
      <c r="AZ1331" t="inlineStr">
        <is>
          <t>BOOK</t>
        </is>
      </c>
      <c r="BB1331" t="inlineStr">
        <is>
          <t>9780387967622</t>
        </is>
      </c>
      <c r="BC1331" t="inlineStr">
        <is>
          <t>32285000978436</t>
        </is>
      </c>
      <c r="BD1331" t="inlineStr">
        <is>
          <t>893244024</t>
        </is>
      </c>
    </row>
    <row r="1332">
      <c r="A1332" t="inlineStr">
        <is>
          <t>No</t>
        </is>
      </c>
      <c r="B1332" t="inlineStr">
        <is>
          <t>QH545.A1 F74 1995</t>
        </is>
      </c>
      <c r="C1332" t="inlineStr">
        <is>
          <t>0                      QH 0545000A  1                  F  74          1995</t>
        </is>
      </c>
      <c r="D1332" t="inlineStr">
        <is>
          <t>Environmental ecology : the ecological effects of pollution, disturbance, and other stresses / Bill Freedman.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Freedman, Bill.</t>
        </is>
      </c>
      <c r="L1332" t="inlineStr">
        <is>
          <t>San Diego : Academic Press, 1995.</t>
        </is>
      </c>
      <c r="M1332" t="inlineStr">
        <is>
          <t>1995</t>
        </is>
      </c>
      <c r="N1332" t="inlineStr">
        <is>
          <t>2nd ed.</t>
        </is>
      </c>
      <c r="O1332" t="inlineStr">
        <is>
          <t>eng</t>
        </is>
      </c>
      <c r="P1332" t="inlineStr">
        <is>
          <t>cau</t>
        </is>
      </c>
      <c r="R1332" t="inlineStr">
        <is>
          <t xml:space="preserve">QH </t>
        </is>
      </c>
      <c r="S1332" t="n">
        <v>15</v>
      </c>
      <c r="T1332" t="n">
        <v>15</v>
      </c>
      <c r="U1332" t="inlineStr">
        <is>
          <t>2001-02-20</t>
        </is>
      </c>
      <c r="V1332" t="inlineStr">
        <is>
          <t>2001-02-20</t>
        </is>
      </c>
      <c r="W1332" t="inlineStr">
        <is>
          <t>1994-12-22</t>
        </is>
      </c>
      <c r="X1332" t="inlineStr">
        <is>
          <t>1994-12-22</t>
        </is>
      </c>
      <c r="Y1332" t="n">
        <v>433</v>
      </c>
      <c r="Z1332" t="n">
        <v>247</v>
      </c>
      <c r="AA1332" t="n">
        <v>293</v>
      </c>
      <c r="AB1332" t="n">
        <v>2</v>
      </c>
      <c r="AC1332" t="n">
        <v>2</v>
      </c>
      <c r="AD1332" t="n">
        <v>11</v>
      </c>
      <c r="AE1332" t="n">
        <v>13</v>
      </c>
      <c r="AF1332" t="n">
        <v>4</v>
      </c>
      <c r="AG1332" t="n">
        <v>6</v>
      </c>
      <c r="AH1332" t="n">
        <v>2</v>
      </c>
      <c r="AI1332" t="n">
        <v>2</v>
      </c>
      <c r="AJ1332" t="n">
        <v>9</v>
      </c>
      <c r="AK1332" t="n">
        <v>9</v>
      </c>
      <c r="AL1332" t="n">
        <v>1</v>
      </c>
      <c r="AM1332" t="n">
        <v>1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HYPERLINK("http://catalog.hathitrust.org/Record/002908397","HathiTrust Record")</f>
        <v/>
      </c>
      <c r="AS1332">
        <f>HYPERLINK("https://creighton-primo.hosted.exlibrisgroup.com/primo-explore/search?tab=default_tab&amp;search_scope=EVERYTHING&amp;vid=01CRU&amp;lang=en_US&amp;offset=0&amp;query=any,contains,991002309669702656","Catalog Record")</f>
        <v/>
      </c>
      <c r="AT1332">
        <f>HYPERLINK("http://www.worldcat.org/oclc/29955023","WorldCat Record")</f>
        <v/>
      </c>
      <c r="AU1332" t="inlineStr">
        <is>
          <t>3902738270:eng</t>
        </is>
      </c>
      <c r="AV1332" t="inlineStr">
        <is>
          <t>29955023</t>
        </is>
      </c>
      <c r="AW1332" t="inlineStr">
        <is>
          <t>991002309669702656</t>
        </is>
      </c>
      <c r="AX1332" t="inlineStr">
        <is>
          <t>991002309669702656</t>
        </is>
      </c>
      <c r="AY1332" t="inlineStr">
        <is>
          <t>2258337960002656</t>
        </is>
      </c>
      <c r="AZ1332" t="inlineStr">
        <is>
          <t>BOOK</t>
        </is>
      </c>
      <c r="BB1332" t="inlineStr">
        <is>
          <t>9780122665417</t>
        </is>
      </c>
      <c r="BC1332" t="inlineStr">
        <is>
          <t>32285001978815</t>
        </is>
      </c>
      <c r="BD1332" t="inlineStr">
        <is>
          <t>893697620</t>
        </is>
      </c>
    </row>
    <row r="1333">
      <c r="A1333" t="inlineStr">
        <is>
          <t>No</t>
        </is>
      </c>
      <c r="B1333" t="inlineStr">
        <is>
          <t>QH545.A1 H36 1995</t>
        </is>
      </c>
      <c r="C1333" t="inlineStr">
        <is>
          <t>0                      QH 0545000A  1                  H  36          1995</t>
        </is>
      </c>
      <c r="D1333" t="inlineStr">
        <is>
          <t>Handbook of ecotoxicology / David J. Hoffman ... [et al.].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Boca Raton : Lewis Publishers, c1995.</t>
        </is>
      </c>
      <c r="M1333" t="inlineStr">
        <is>
          <t>1995</t>
        </is>
      </c>
      <c r="O1333" t="inlineStr">
        <is>
          <t>eng</t>
        </is>
      </c>
      <c r="P1333" t="inlineStr">
        <is>
          <t>flu</t>
        </is>
      </c>
      <c r="R1333" t="inlineStr">
        <is>
          <t xml:space="preserve">QH </t>
        </is>
      </c>
      <c r="S1333" t="n">
        <v>2</v>
      </c>
      <c r="T1333" t="n">
        <v>2</v>
      </c>
      <c r="U1333" t="inlineStr">
        <is>
          <t>2002-09-28</t>
        </is>
      </c>
      <c r="V1333" t="inlineStr">
        <is>
          <t>2002-09-28</t>
        </is>
      </c>
      <c r="W1333" t="inlineStr">
        <is>
          <t>1997-01-24</t>
        </is>
      </c>
      <c r="X1333" t="inlineStr">
        <is>
          <t>1997-01-24</t>
        </is>
      </c>
      <c r="Y1333" t="n">
        <v>490</v>
      </c>
      <c r="Z1333" t="n">
        <v>366</v>
      </c>
      <c r="AA1333" t="n">
        <v>492</v>
      </c>
      <c r="AB1333" t="n">
        <v>4</v>
      </c>
      <c r="AC1333" t="n">
        <v>6</v>
      </c>
      <c r="AD1333" t="n">
        <v>18</v>
      </c>
      <c r="AE1333" t="n">
        <v>24</v>
      </c>
      <c r="AF1333" t="n">
        <v>7</v>
      </c>
      <c r="AG1333" t="n">
        <v>8</v>
      </c>
      <c r="AH1333" t="n">
        <v>3</v>
      </c>
      <c r="AI1333" t="n">
        <v>4</v>
      </c>
      <c r="AJ1333" t="n">
        <v>11</v>
      </c>
      <c r="AK1333" t="n">
        <v>13</v>
      </c>
      <c r="AL1333" t="n">
        <v>2</v>
      </c>
      <c r="AM1333" t="n">
        <v>4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HYPERLINK("http://catalog.hathitrust.org/Record/004553280","HathiTrust Record")</f>
        <v/>
      </c>
      <c r="AS1333">
        <f>HYPERLINK("https://creighton-primo.hosted.exlibrisgroup.com/primo-explore/search?tab=default_tab&amp;search_scope=EVERYTHING&amp;vid=01CRU&amp;lang=en_US&amp;offset=0&amp;query=any,contains,991002348299702656","Catalog Record")</f>
        <v/>
      </c>
      <c r="AT1333">
        <f>HYPERLINK("http://www.worldcat.org/oclc/30593410","WorldCat Record")</f>
        <v/>
      </c>
      <c r="AU1333" t="inlineStr">
        <is>
          <t>766869449:eng</t>
        </is>
      </c>
      <c r="AV1333" t="inlineStr">
        <is>
          <t>30593410</t>
        </is>
      </c>
      <c r="AW1333" t="inlineStr">
        <is>
          <t>991002348299702656</t>
        </is>
      </c>
      <c r="AX1333" t="inlineStr">
        <is>
          <t>991002348299702656</t>
        </is>
      </c>
      <c r="AY1333" t="inlineStr">
        <is>
          <t>2263374810002656</t>
        </is>
      </c>
      <c r="AZ1333" t="inlineStr">
        <is>
          <t>BOOK</t>
        </is>
      </c>
      <c r="BB1333" t="inlineStr">
        <is>
          <t>9780873715850</t>
        </is>
      </c>
      <c r="BC1333" t="inlineStr">
        <is>
          <t>32285002411154</t>
        </is>
      </c>
      <c r="BD1333" t="inlineStr">
        <is>
          <t>893867095</t>
        </is>
      </c>
    </row>
    <row r="1334">
      <c r="A1334" t="inlineStr">
        <is>
          <t>No</t>
        </is>
      </c>
      <c r="B1334" t="inlineStr">
        <is>
          <t>QH545.A1 M668 1988</t>
        </is>
      </c>
      <c r="C1334" t="inlineStr">
        <is>
          <t>0                      QH 0545000A  1                  M  668         1988</t>
        </is>
      </c>
      <c r="D1334" t="inlineStr">
        <is>
          <t>Ecotoxicology : the study of pollutants in ecosystems / F. Moriarty.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Moriarty, F.</t>
        </is>
      </c>
      <c r="L1334" t="inlineStr">
        <is>
          <t>London ; New York : Academic, 1988.</t>
        </is>
      </c>
      <c r="M1334" t="inlineStr">
        <is>
          <t>1988</t>
        </is>
      </c>
      <c r="N1334" t="inlineStr">
        <is>
          <t>2nd ed.</t>
        </is>
      </c>
      <c r="O1334" t="inlineStr">
        <is>
          <t>eng</t>
        </is>
      </c>
      <c r="P1334" t="inlineStr">
        <is>
          <t>nyu</t>
        </is>
      </c>
      <c r="R1334" t="inlineStr">
        <is>
          <t xml:space="preserve">QH </t>
        </is>
      </c>
      <c r="S1334" t="n">
        <v>9</v>
      </c>
      <c r="T1334" t="n">
        <v>9</v>
      </c>
      <c r="U1334" t="inlineStr">
        <is>
          <t>2002-09-28</t>
        </is>
      </c>
      <c r="V1334" t="inlineStr">
        <is>
          <t>2002-09-28</t>
        </is>
      </c>
      <c r="W1334" t="inlineStr">
        <is>
          <t>1990-06-06</t>
        </is>
      </c>
      <c r="X1334" t="inlineStr">
        <is>
          <t>1990-06-06</t>
        </is>
      </c>
      <c r="Y1334" t="n">
        <v>333</v>
      </c>
      <c r="Z1334" t="n">
        <v>205</v>
      </c>
      <c r="AA1334" t="n">
        <v>544</v>
      </c>
      <c r="AB1334" t="n">
        <v>1</v>
      </c>
      <c r="AC1334" t="n">
        <v>3</v>
      </c>
      <c r="AD1334" t="n">
        <v>8</v>
      </c>
      <c r="AE1334" t="n">
        <v>20</v>
      </c>
      <c r="AF1334" t="n">
        <v>4</v>
      </c>
      <c r="AG1334" t="n">
        <v>10</v>
      </c>
      <c r="AH1334" t="n">
        <v>1</v>
      </c>
      <c r="AI1334" t="n">
        <v>5</v>
      </c>
      <c r="AJ1334" t="n">
        <v>4</v>
      </c>
      <c r="AK1334" t="n">
        <v>10</v>
      </c>
      <c r="AL1334" t="n">
        <v>0</v>
      </c>
      <c r="AM1334" t="n">
        <v>2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Yes</t>
        </is>
      </c>
      <c r="AR1334">
        <f>HYPERLINK("http://catalog.hathitrust.org/Record/001299904","HathiTrust Record")</f>
        <v/>
      </c>
      <c r="AS1334">
        <f>HYPERLINK("https://creighton-primo.hosted.exlibrisgroup.com/primo-explore/search?tab=default_tab&amp;search_scope=EVERYTHING&amp;vid=01CRU&amp;lang=en_US&amp;offset=0&amp;query=any,contains,991001427119702656","Catalog Record")</f>
        <v/>
      </c>
      <c r="AT1334">
        <f>HYPERLINK("http://www.worldcat.org/oclc/19052729","WorldCat Record")</f>
        <v/>
      </c>
      <c r="AU1334" t="inlineStr">
        <is>
          <t>793016014:eng</t>
        </is>
      </c>
      <c r="AV1334" t="inlineStr">
        <is>
          <t>19052729</t>
        </is>
      </c>
      <c r="AW1334" t="inlineStr">
        <is>
          <t>991001427119702656</t>
        </is>
      </c>
      <c r="AX1334" t="inlineStr">
        <is>
          <t>991001427119702656</t>
        </is>
      </c>
      <c r="AY1334" t="inlineStr">
        <is>
          <t>2264040030002656</t>
        </is>
      </c>
      <c r="AZ1334" t="inlineStr">
        <is>
          <t>BOOK</t>
        </is>
      </c>
      <c r="BB1334" t="inlineStr">
        <is>
          <t>9780125067614</t>
        </is>
      </c>
      <c r="BC1334" t="inlineStr">
        <is>
          <t>32285000175496</t>
        </is>
      </c>
      <c r="BD1334" t="inlineStr">
        <is>
          <t>893408128</t>
        </is>
      </c>
    </row>
    <row r="1335">
      <c r="A1335" t="inlineStr">
        <is>
          <t>No</t>
        </is>
      </c>
      <c r="B1335" t="inlineStr">
        <is>
          <t>QH545.A1 W37</t>
        </is>
      </c>
      <c r="C1335" t="inlineStr">
        <is>
          <t>0                      QH 0545000A  1                  W  37</t>
        </is>
      </c>
      <c r="D1335" t="inlineStr">
        <is>
          <t>Biological environmental impact studies : theory and methods / Diana Valiela Ward.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Ward, Diana Valiela.</t>
        </is>
      </c>
      <c r="L1335" t="inlineStr">
        <is>
          <t>New York : Academic Press, 1978.</t>
        </is>
      </c>
      <c r="M1335" t="inlineStr">
        <is>
          <t>1978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QH </t>
        </is>
      </c>
      <c r="S1335" t="n">
        <v>2</v>
      </c>
      <c r="T1335" t="n">
        <v>2</v>
      </c>
      <c r="U1335" t="inlineStr">
        <is>
          <t>1994-02-24</t>
        </is>
      </c>
      <c r="V1335" t="inlineStr">
        <is>
          <t>1994-02-24</t>
        </is>
      </c>
      <c r="W1335" t="inlineStr">
        <is>
          <t>1992-02-27</t>
        </is>
      </c>
      <c r="X1335" t="inlineStr">
        <is>
          <t>1992-02-27</t>
        </is>
      </c>
      <c r="Y1335" t="n">
        <v>509</v>
      </c>
      <c r="Z1335" t="n">
        <v>387</v>
      </c>
      <c r="AA1335" t="n">
        <v>428</v>
      </c>
      <c r="AB1335" t="n">
        <v>4</v>
      </c>
      <c r="AC1335" t="n">
        <v>4</v>
      </c>
      <c r="AD1335" t="n">
        <v>16</v>
      </c>
      <c r="AE1335" t="n">
        <v>19</v>
      </c>
      <c r="AF1335" t="n">
        <v>6</v>
      </c>
      <c r="AG1335" t="n">
        <v>8</v>
      </c>
      <c r="AH1335" t="n">
        <v>3</v>
      </c>
      <c r="AI1335" t="n">
        <v>5</v>
      </c>
      <c r="AJ1335" t="n">
        <v>8</v>
      </c>
      <c r="AK1335" t="n">
        <v>8</v>
      </c>
      <c r="AL1335" t="n">
        <v>3</v>
      </c>
      <c r="AM1335" t="n">
        <v>3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HYPERLINK("http://catalog.hathitrust.org/Record/000256391","HathiTrust Record")</f>
        <v/>
      </c>
      <c r="AS1335">
        <f>HYPERLINK("https://creighton-primo.hosted.exlibrisgroup.com/primo-explore/search?tab=default_tab&amp;search_scope=EVERYTHING&amp;vid=01CRU&amp;lang=en_US&amp;offset=0&amp;query=any,contains,991004658729702656","Catalog Record")</f>
        <v/>
      </c>
      <c r="AT1335">
        <f>HYPERLINK("http://www.worldcat.org/oclc/4496120","WorldCat Record")</f>
        <v/>
      </c>
      <c r="AU1335" t="inlineStr">
        <is>
          <t>196919730:eng</t>
        </is>
      </c>
      <c r="AV1335" t="inlineStr">
        <is>
          <t>4496120</t>
        </is>
      </c>
      <c r="AW1335" t="inlineStr">
        <is>
          <t>991004658729702656</t>
        </is>
      </c>
      <c r="AX1335" t="inlineStr">
        <is>
          <t>991004658729702656</t>
        </is>
      </c>
      <c r="AY1335" t="inlineStr">
        <is>
          <t>2268725700002656</t>
        </is>
      </c>
      <c r="AZ1335" t="inlineStr">
        <is>
          <t>BOOK</t>
        </is>
      </c>
      <c r="BB1335" t="inlineStr">
        <is>
          <t>9780127353500</t>
        </is>
      </c>
      <c r="BC1335" t="inlineStr">
        <is>
          <t>32285000978410</t>
        </is>
      </c>
      <c r="BD1335" t="inlineStr">
        <is>
          <t>893810629</t>
        </is>
      </c>
    </row>
    <row r="1336">
      <c r="A1336" t="inlineStr">
        <is>
          <t>No</t>
        </is>
      </c>
      <c r="B1336" t="inlineStr">
        <is>
          <t>QH545.A17 C37</t>
        </is>
      </c>
      <c r="C1336" t="inlineStr">
        <is>
          <t>0                      QH 0545000A  17                 C  37</t>
        </is>
      </c>
      <c r="D1336" t="inlineStr">
        <is>
          <t>Acid rain : an issue in Canadian-American relations / by John E. Carroll.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Carroll, John E.</t>
        </is>
      </c>
      <c r="L1336" t="inlineStr">
        <is>
          <t>Washington, D.C. ; Toronto : Canadian-American Committee, 1982.</t>
        </is>
      </c>
      <c r="M1336" t="inlineStr">
        <is>
          <t>1982</t>
        </is>
      </c>
      <c r="O1336" t="inlineStr">
        <is>
          <t>eng</t>
        </is>
      </c>
      <c r="P1336" t="inlineStr">
        <is>
          <t>dcu</t>
        </is>
      </c>
      <c r="R1336" t="inlineStr">
        <is>
          <t xml:space="preserve">QH </t>
        </is>
      </c>
      <c r="S1336" t="n">
        <v>3</v>
      </c>
      <c r="T1336" t="n">
        <v>3</v>
      </c>
      <c r="U1336" t="inlineStr">
        <is>
          <t>1995-04-04</t>
        </is>
      </c>
      <c r="V1336" t="inlineStr">
        <is>
          <t>1995-04-04</t>
        </is>
      </c>
      <c r="W1336" t="inlineStr">
        <is>
          <t>1995-05-25</t>
        </is>
      </c>
      <c r="X1336" t="inlineStr">
        <is>
          <t>1995-05-25</t>
        </is>
      </c>
      <c r="Y1336" t="n">
        <v>376</v>
      </c>
      <c r="Z1336" t="n">
        <v>307</v>
      </c>
      <c r="AA1336" t="n">
        <v>311</v>
      </c>
      <c r="AB1336" t="n">
        <v>5</v>
      </c>
      <c r="AC1336" t="n">
        <v>5</v>
      </c>
      <c r="AD1336" t="n">
        <v>12</v>
      </c>
      <c r="AE1336" t="n">
        <v>12</v>
      </c>
      <c r="AF1336" t="n">
        <v>2</v>
      </c>
      <c r="AG1336" t="n">
        <v>2</v>
      </c>
      <c r="AH1336" t="n">
        <v>1</v>
      </c>
      <c r="AI1336" t="n">
        <v>1</v>
      </c>
      <c r="AJ1336" t="n">
        <v>6</v>
      </c>
      <c r="AK1336" t="n">
        <v>6</v>
      </c>
      <c r="AL1336" t="n">
        <v>4</v>
      </c>
      <c r="AM1336" t="n">
        <v>4</v>
      </c>
      <c r="AN1336" t="n">
        <v>1</v>
      </c>
      <c r="AO1336" t="n">
        <v>1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HYPERLINK("http://catalog.hathitrust.org/Record/000230118","HathiTrust Record")</f>
        <v/>
      </c>
      <c r="AS1336">
        <f>HYPERLINK("https://creighton-primo.hosted.exlibrisgroup.com/primo-explore/search?tab=default_tab&amp;search_scope=EVERYTHING&amp;vid=01CRU&amp;lang=en_US&amp;offset=0&amp;query=any,contains,991000042449702656","Catalog Record")</f>
        <v/>
      </c>
      <c r="AT1336">
        <f>HYPERLINK("http://www.worldcat.org/oclc/8664657","WorldCat Record")</f>
        <v/>
      </c>
      <c r="AU1336" t="inlineStr">
        <is>
          <t>180122209:eng</t>
        </is>
      </c>
      <c r="AV1336" t="inlineStr">
        <is>
          <t>8664657</t>
        </is>
      </c>
      <c r="AW1336" t="inlineStr">
        <is>
          <t>991000042449702656</t>
        </is>
      </c>
      <c r="AX1336" t="inlineStr">
        <is>
          <t>991000042449702656</t>
        </is>
      </c>
      <c r="AY1336" t="inlineStr">
        <is>
          <t>2269749090002656</t>
        </is>
      </c>
      <c r="AZ1336" t="inlineStr">
        <is>
          <t>BOOK</t>
        </is>
      </c>
      <c r="BB1336" t="inlineStr">
        <is>
          <t>9780890680643</t>
        </is>
      </c>
      <c r="BC1336" t="inlineStr">
        <is>
          <t>32285002021367</t>
        </is>
      </c>
      <c r="BD1336" t="inlineStr">
        <is>
          <t>893249022</t>
        </is>
      </c>
    </row>
    <row r="1337">
      <c r="A1337" t="inlineStr">
        <is>
          <t>No</t>
        </is>
      </c>
      <c r="B1337" t="inlineStr">
        <is>
          <t>QH545.F5 K68</t>
        </is>
      </c>
      <c r="C1337" t="inlineStr">
        <is>
          <t>0                      QH 0545000F  5                  K  68</t>
        </is>
      </c>
      <c r="D1337" t="inlineStr">
        <is>
          <t>Fire and ecosystems / edited by T. T. Kozlowski [and] C. E. Ahlgren.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Kozlowski, T. T. (Theodore Thomas), 1917-</t>
        </is>
      </c>
      <c r="L1337" t="inlineStr">
        <is>
          <t>New York : Academic Press, 1974.</t>
        </is>
      </c>
      <c r="M1337" t="inlineStr">
        <is>
          <t>1974</t>
        </is>
      </c>
      <c r="O1337" t="inlineStr">
        <is>
          <t>eng</t>
        </is>
      </c>
      <c r="P1337" t="inlineStr">
        <is>
          <t>nyu</t>
        </is>
      </c>
      <c r="Q1337" t="inlineStr">
        <is>
          <t>Physiological ecology</t>
        </is>
      </c>
      <c r="R1337" t="inlineStr">
        <is>
          <t xml:space="preserve">QH </t>
        </is>
      </c>
      <c r="S1337" t="n">
        <v>3</v>
      </c>
      <c r="T1337" t="n">
        <v>3</v>
      </c>
      <c r="U1337" t="inlineStr">
        <is>
          <t>1999-02-07</t>
        </is>
      </c>
      <c r="V1337" t="inlineStr">
        <is>
          <t>1999-02-07</t>
        </is>
      </c>
      <c r="W1337" t="inlineStr">
        <is>
          <t>1995-02-24</t>
        </is>
      </c>
      <c r="X1337" t="inlineStr">
        <is>
          <t>1995-02-24</t>
        </is>
      </c>
      <c r="Y1337" t="n">
        <v>749</v>
      </c>
      <c r="Z1337" t="n">
        <v>548</v>
      </c>
      <c r="AA1337" t="n">
        <v>582</v>
      </c>
      <c r="AB1337" t="n">
        <v>6</v>
      </c>
      <c r="AC1337" t="n">
        <v>6</v>
      </c>
      <c r="AD1337" t="n">
        <v>16</v>
      </c>
      <c r="AE1337" t="n">
        <v>19</v>
      </c>
      <c r="AF1337" t="n">
        <v>3</v>
      </c>
      <c r="AG1337" t="n">
        <v>5</v>
      </c>
      <c r="AH1337" t="n">
        <v>4</v>
      </c>
      <c r="AI1337" t="n">
        <v>6</v>
      </c>
      <c r="AJ1337" t="n">
        <v>6</v>
      </c>
      <c r="AK1337" t="n">
        <v>6</v>
      </c>
      <c r="AL1337" t="n">
        <v>5</v>
      </c>
      <c r="AM1337" t="n">
        <v>5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HYPERLINK("http://catalog.hathitrust.org/Record/000021584","HathiTrust Record")</f>
        <v/>
      </c>
      <c r="AS1337">
        <f>HYPERLINK("https://creighton-primo.hosted.exlibrisgroup.com/primo-explore/search?tab=default_tab&amp;search_scope=EVERYTHING&amp;vid=01CRU&amp;lang=en_US&amp;offset=0&amp;query=any,contains,991003418849702656","Catalog Record")</f>
        <v/>
      </c>
      <c r="AT1337">
        <f>HYPERLINK("http://www.worldcat.org/oclc/960078","WorldCat Record")</f>
        <v/>
      </c>
      <c r="AU1337" t="inlineStr">
        <is>
          <t>146009144:eng</t>
        </is>
      </c>
      <c r="AV1337" t="inlineStr">
        <is>
          <t>960078</t>
        </is>
      </c>
      <c r="AW1337" t="inlineStr">
        <is>
          <t>991003418849702656</t>
        </is>
      </c>
      <c r="AX1337" t="inlineStr">
        <is>
          <t>991003418849702656</t>
        </is>
      </c>
      <c r="AY1337" t="inlineStr">
        <is>
          <t>2259023500002656</t>
        </is>
      </c>
      <c r="AZ1337" t="inlineStr">
        <is>
          <t>BOOK</t>
        </is>
      </c>
      <c r="BB1337" t="inlineStr">
        <is>
          <t>9780124242555</t>
        </is>
      </c>
      <c r="BC1337" t="inlineStr">
        <is>
          <t>32285002010261</t>
        </is>
      </c>
      <c r="BD1337" t="inlineStr">
        <is>
          <t>893246330</t>
        </is>
      </c>
    </row>
    <row r="1338">
      <c r="A1338" t="inlineStr">
        <is>
          <t>No</t>
        </is>
      </c>
      <c r="B1338" t="inlineStr">
        <is>
          <t>QH545.F55 P87 1988</t>
        </is>
      </c>
      <c r="C1338" t="inlineStr">
        <is>
          <t>0                      QH 0545000F  55                 P  87          1988</t>
        </is>
      </c>
      <c r="D1338" t="inlineStr">
        <is>
          <t>Taming the flood : a history and natural history of rivers and wetlands / Jeremy Purseglove.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Purseglove, Jeremy.</t>
        </is>
      </c>
      <c r="L1338" t="inlineStr">
        <is>
          <t>Oxford [Oxfordshire] ; New York : Oxford University Press, c1988.</t>
        </is>
      </c>
      <c r="M1338" t="inlineStr">
        <is>
          <t>1988</t>
        </is>
      </c>
      <c r="O1338" t="inlineStr">
        <is>
          <t>eng</t>
        </is>
      </c>
      <c r="P1338" t="inlineStr">
        <is>
          <t>enk</t>
        </is>
      </c>
      <c r="R1338" t="inlineStr">
        <is>
          <t xml:space="preserve">QH </t>
        </is>
      </c>
      <c r="S1338" t="n">
        <v>11</v>
      </c>
      <c r="T1338" t="n">
        <v>11</v>
      </c>
      <c r="U1338" t="inlineStr">
        <is>
          <t>1995-09-21</t>
        </is>
      </c>
      <c r="V1338" t="inlineStr">
        <is>
          <t>1995-09-21</t>
        </is>
      </c>
      <c r="W1338" t="inlineStr">
        <is>
          <t>1991-06-04</t>
        </is>
      </c>
      <c r="X1338" t="inlineStr">
        <is>
          <t>1991-06-04</t>
        </is>
      </c>
      <c r="Y1338" t="n">
        <v>297</v>
      </c>
      <c r="Z1338" t="n">
        <v>151</v>
      </c>
      <c r="AA1338" t="n">
        <v>158</v>
      </c>
      <c r="AB1338" t="n">
        <v>1</v>
      </c>
      <c r="AC1338" t="n">
        <v>1</v>
      </c>
      <c r="AD1338" t="n">
        <v>3</v>
      </c>
      <c r="AE1338" t="n">
        <v>3</v>
      </c>
      <c r="AF1338" t="n">
        <v>1</v>
      </c>
      <c r="AG1338" t="n">
        <v>1</v>
      </c>
      <c r="AH1338" t="n">
        <v>1</v>
      </c>
      <c r="AI1338" t="n">
        <v>1</v>
      </c>
      <c r="AJ1338" t="n">
        <v>2</v>
      </c>
      <c r="AK1338" t="n">
        <v>2</v>
      </c>
      <c r="AL1338" t="n">
        <v>0</v>
      </c>
      <c r="AM1338" t="n">
        <v>0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HYPERLINK("http://catalog.hathitrust.org/Record/001097246","HathiTrust Record")</f>
        <v/>
      </c>
      <c r="AS1338">
        <f>HYPERLINK("https://creighton-primo.hosted.exlibrisgroup.com/primo-explore/search?tab=default_tab&amp;search_scope=EVERYTHING&amp;vid=01CRU&amp;lang=en_US&amp;offset=0&amp;query=any,contains,991001110009702656","Catalog Record")</f>
        <v/>
      </c>
      <c r="AT1338">
        <f>HYPERLINK("http://www.worldcat.org/oclc/16465465","WorldCat Record")</f>
        <v/>
      </c>
      <c r="AU1338" t="inlineStr">
        <is>
          <t>12175259:eng</t>
        </is>
      </c>
      <c r="AV1338" t="inlineStr">
        <is>
          <t>16465465</t>
        </is>
      </c>
      <c r="AW1338" t="inlineStr">
        <is>
          <t>991001110009702656</t>
        </is>
      </c>
      <c r="AX1338" t="inlineStr">
        <is>
          <t>991001110009702656</t>
        </is>
      </c>
      <c r="AY1338" t="inlineStr">
        <is>
          <t>2269222730002656</t>
        </is>
      </c>
      <c r="AZ1338" t="inlineStr">
        <is>
          <t>BOOK</t>
        </is>
      </c>
      <c r="BB1338" t="inlineStr">
        <is>
          <t>9780192158918</t>
        </is>
      </c>
      <c r="BC1338" t="inlineStr">
        <is>
          <t>32285000591767</t>
        </is>
      </c>
      <c r="BD1338" t="inlineStr">
        <is>
          <t>893534437</t>
        </is>
      </c>
    </row>
    <row r="1339">
      <c r="A1339" t="inlineStr">
        <is>
          <t>No</t>
        </is>
      </c>
      <c r="B1339" t="inlineStr">
        <is>
          <t>QH545.M3 W45 1988</t>
        </is>
      </c>
      <c r="C1339" t="inlineStr">
        <is>
          <t>0                      QH 0545000M  3                  W  45          1988</t>
        </is>
      </c>
      <c r="D1339" t="inlineStr">
        <is>
          <t>Wetland modelling / edited by William J. Mitsch, Milan Straškraba, and Sven E. Jørgensen.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L1339" t="inlineStr">
        <is>
          <t>Amsterdam ; New York : Elsevier, 1988.</t>
        </is>
      </c>
      <c r="M1339" t="inlineStr">
        <is>
          <t>1988</t>
        </is>
      </c>
      <c r="O1339" t="inlineStr">
        <is>
          <t>eng</t>
        </is>
      </c>
      <c r="P1339" t="inlineStr">
        <is>
          <t xml:space="preserve">ne </t>
        </is>
      </c>
      <c r="Q1339" t="inlineStr">
        <is>
          <t>Developments in environmental modelling ; 12</t>
        </is>
      </c>
      <c r="R1339" t="inlineStr">
        <is>
          <t xml:space="preserve">QH </t>
        </is>
      </c>
      <c r="S1339" t="n">
        <v>9</v>
      </c>
      <c r="T1339" t="n">
        <v>9</v>
      </c>
      <c r="U1339" t="inlineStr">
        <is>
          <t>2000-05-22</t>
        </is>
      </c>
      <c r="V1339" t="inlineStr">
        <is>
          <t>2000-05-22</t>
        </is>
      </c>
      <c r="W1339" t="inlineStr">
        <is>
          <t>1992-09-28</t>
        </is>
      </c>
      <c r="X1339" t="inlineStr">
        <is>
          <t>1992-09-28</t>
        </is>
      </c>
      <c r="Y1339" t="n">
        <v>319</v>
      </c>
      <c r="Z1339" t="n">
        <v>226</v>
      </c>
      <c r="AA1339" t="n">
        <v>268</v>
      </c>
      <c r="AB1339" t="n">
        <v>2</v>
      </c>
      <c r="AC1339" t="n">
        <v>3</v>
      </c>
      <c r="AD1339" t="n">
        <v>7</v>
      </c>
      <c r="AE1339" t="n">
        <v>11</v>
      </c>
      <c r="AF1339" t="n">
        <v>1</v>
      </c>
      <c r="AG1339" t="n">
        <v>3</v>
      </c>
      <c r="AH1339" t="n">
        <v>2</v>
      </c>
      <c r="AI1339" t="n">
        <v>4</v>
      </c>
      <c r="AJ1339" t="n">
        <v>4</v>
      </c>
      <c r="AK1339" t="n">
        <v>4</v>
      </c>
      <c r="AL1339" t="n">
        <v>1</v>
      </c>
      <c r="AM1339" t="n">
        <v>2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HYPERLINK("http://catalog.hathitrust.org/Record/000916596","HathiTrust Record")</f>
        <v/>
      </c>
      <c r="AS1339">
        <f>HYPERLINK("https://creighton-primo.hosted.exlibrisgroup.com/primo-explore/search?tab=default_tab&amp;search_scope=EVERYTHING&amp;vid=01CRU&amp;lang=en_US&amp;offset=0&amp;query=any,contains,991005408849702656","Catalog Record")</f>
        <v/>
      </c>
      <c r="AT1339">
        <f>HYPERLINK("http://www.worldcat.org/oclc/17386110","WorldCat Record")</f>
        <v/>
      </c>
      <c r="AU1339" t="inlineStr">
        <is>
          <t>15984446:eng</t>
        </is>
      </c>
      <c r="AV1339" t="inlineStr">
        <is>
          <t>17386110</t>
        </is>
      </c>
      <c r="AW1339" t="inlineStr">
        <is>
          <t>991005408849702656</t>
        </is>
      </c>
      <c r="AX1339" t="inlineStr">
        <is>
          <t>991005408849702656</t>
        </is>
      </c>
      <c r="AY1339" t="inlineStr">
        <is>
          <t>2270602730002656</t>
        </is>
      </c>
      <c r="AZ1339" t="inlineStr">
        <is>
          <t>BOOK</t>
        </is>
      </c>
      <c r="BB1339" t="inlineStr">
        <is>
          <t>9780444429360</t>
        </is>
      </c>
      <c r="BC1339" t="inlineStr">
        <is>
          <t>32285001321230</t>
        </is>
      </c>
      <c r="BD1339" t="inlineStr">
        <is>
          <t>893689155</t>
        </is>
      </c>
    </row>
    <row r="1340">
      <c r="A1340" t="inlineStr">
        <is>
          <t>No</t>
        </is>
      </c>
      <c r="B1340" t="inlineStr">
        <is>
          <t>QH545.M4 D57</t>
        </is>
      </c>
      <c r="C1340" t="inlineStr">
        <is>
          <t>0                      QH 0545000M  4                  D  57</t>
        </is>
      </c>
      <c r="D1340" t="inlineStr">
        <is>
          <t>The environmental mercury problem : a report to the Michigan House of Representatives resulting from House Resolution 424, Great Lakes Contamination (Mercury) Committee / prepared by Frank M. D'Itri.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D'Itri, Frank M.</t>
        </is>
      </c>
      <c r="L1340" t="inlineStr">
        <is>
          <t>Lansing : Michigan House of Representatives, 1971.</t>
        </is>
      </c>
      <c r="M1340" t="inlineStr">
        <is>
          <t>1971</t>
        </is>
      </c>
      <c r="O1340" t="inlineStr">
        <is>
          <t>eng</t>
        </is>
      </c>
      <c r="P1340" t="inlineStr">
        <is>
          <t>miu</t>
        </is>
      </c>
      <c r="Q1340" t="inlineStr">
        <is>
          <t>Michigan House of Representatives. Legislative report</t>
        </is>
      </c>
      <c r="R1340" t="inlineStr">
        <is>
          <t xml:space="preserve">QH </t>
        </is>
      </c>
      <c r="S1340" t="n">
        <v>9</v>
      </c>
      <c r="T1340" t="n">
        <v>9</v>
      </c>
      <c r="U1340" t="inlineStr">
        <is>
          <t>2002-09-28</t>
        </is>
      </c>
      <c r="V1340" t="inlineStr">
        <is>
          <t>2002-09-28</t>
        </is>
      </c>
      <c r="W1340" t="inlineStr">
        <is>
          <t>1994-08-29</t>
        </is>
      </c>
      <c r="X1340" t="inlineStr">
        <is>
          <t>1994-08-29</t>
        </is>
      </c>
      <c r="Y1340" t="n">
        <v>48</v>
      </c>
      <c r="Z1340" t="n">
        <v>41</v>
      </c>
      <c r="AA1340" t="n">
        <v>51</v>
      </c>
      <c r="AB1340" t="n">
        <v>1</v>
      </c>
      <c r="AC1340" t="n">
        <v>1</v>
      </c>
      <c r="AD1340" t="n">
        <v>1</v>
      </c>
      <c r="AE1340" t="n">
        <v>1</v>
      </c>
      <c r="AF1340" t="n">
        <v>0</v>
      </c>
      <c r="AG1340" t="n">
        <v>0</v>
      </c>
      <c r="AH1340" t="n">
        <v>1</v>
      </c>
      <c r="AI1340" t="n">
        <v>1</v>
      </c>
      <c r="AJ1340" t="n">
        <v>0</v>
      </c>
      <c r="AK1340" t="n">
        <v>0</v>
      </c>
      <c r="AL1340" t="n">
        <v>0</v>
      </c>
      <c r="AM1340" t="n">
        <v>0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HYPERLINK("https://creighton-primo.hosted.exlibrisgroup.com/primo-explore/search?tab=default_tab&amp;search_scope=EVERYTHING&amp;vid=01CRU&amp;lang=en_US&amp;offset=0&amp;query=any,contains,991002208019702656","Catalog Record")</f>
        <v/>
      </c>
      <c r="AT1340">
        <f>HYPERLINK("http://www.worldcat.org/oclc/286880","WorldCat Record")</f>
        <v/>
      </c>
      <c r="AU1340" t="inlineStr">
        <is>
          <t>3943590874:eng</t>
        </is>
      </c>
      <c r="AV1340" t="inlineStr">
        <is>
          <t>286880</t>
        </is>
      </c>
      <c r="AW1340" t="inlineStr">
        <is>
          <t>991002208019702656</t>
        </is>
      </c>
      <c r="AX1340" t="inlineStr">
        <is>
          <t>991002208019702656</t>
        </is>
      </c>
      <c r="AY1340" t="inlineStr">
        <is>
          <t>2260884800002656</t>
        </is>
      </c>
      <c r="AZ1340" t="inlineStr">
        <is>
          <t>BOOK</t>
        </is>
      </c>
      <c r="BC1340" t="inlineStr">
        <is>
          <t>32285001938850</t>
        </is>
      </c>
      <c r="BD1340" t="inlineStr">
        <is>
          <t>893779544</t>
        </is>
      </c>
    </row>
    <row r="1341">
      <c r="A1341" t="inlineStr">
        <is>
          <t>No</t>
        </is>
      </c>
      <c r="B1341" t="inlineStr">
        <is>
          <t>QH545.N3 E28 1985</t>
        </is>
      </c>
      <c r="C1341" t="inlineStr">
        <is>
          <t>0                      QH 0545000N  3                  E  28          1985</t>
        </is>
      </c>
      <c r="D1341" t="inlineStr">
        <is>
          <t>The Ecology of natural disturbance and patch dynamics / edited by S.T.A. Pickett, P.S. White.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L1341" t="inlineStr">
        <is>
          <t>Orlando, Fla. : Academic Press, 1985.</t>
        </is>
      </c>
      <c r="M1341" t="inlineStr">
        <is>
          <t>1985</t>
        </is>
      </c>
      <c r="O1341" t="inlineStr">
        <is>
          <t>eng</t>
        </is>
      </c>
      <c r="P1341" t="inlineStr">
        <is>
          <t>flu</t>
        </is>
      </c>
      <c r="R1341" t="inlineStr">
        <is>
          <t xml:space="preserve">QH </t>
        </is>
      </c>
      <c r="S1341" t="n">
        <v>7</v>
      </c>
      <c r="T1341" t="n">
        <v>7</v>
      </c>
      <c r="U1341" t="inlineStr">
        <is>
          <t>2008-03-28</t>
        </is>
      </c>
      <c r="V1341" t="inlineStr">
        <is>
          <t>2008-03-28</t>
        </is>
      </c>
      <c r="W1341" t="inlineStr">
        <is>
          <t>1993-05-03</t>
        </is>
      </c>
      <c r="X1341" t="inlineStr">
        <is>
          <t>1993-05-03</t>
        </is>
      </c>
      <c r="Y1341" t="n">
        <v>722</v>
      </c>
      <c r="Z1341" t="n">
        <v>509</v>
      </c>
      <c r="AA1341" t="n">
        <v>551</v>
      </c>
      <c r="AB1341" t="n">
        <v>3</v>
      </c>
      <c r="AC1341" t="n">
        <v>3</v>
      </c>
      <c r="AD1341" t="n">
        <v>13</v>
      </c>
      <c r="AE1341" t="n">
        <v>15</v>
      </c>
      <c r="AF1341" t="n">
        <v>4</v>
      </c>
      <c r="AG1341" t="n">
        <v>5</v>
      </c>
      <c r="AH1341" t="n">
        <v>2</v>
      </c>
      <c r="AI1341" t="n">
        <v>4</v>
      </c>
      <c r="AJ1341" t="n">
        <v>8</v>
      </c>
      <c r="AK1341" t="n">
        <v>8</v>
      </c>
      <c r="AL1341" t="n">
        <v>2</v>
      </c>
      <c r="AM1341" t="n">
        <v>2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Yes</t>
        </is>
      </c>
      <c r="AR1341">
        <f>HYPERLINK("http://catalog.hathitrust.org/Record/000413847","HathiTrust Record")</f>
        <v/>
      </c>
      <c r="AS1341">
        <f>HYPERLINK("https://creighton-primo.hosted.exlibrisgroup.com/primo-explore/search?tab=default_tab&amp;search_scope=EVERYTHING&amp;vid=01CRU&amp;lang=en_US&amp;offset=0&amp;query=any,contains,991000495559702656","Catalog Record")</f>
        <v/>
      </c>
      <c r="AT1341">
        <f>HYPERLINK("http://www.worldcat.org/oclc/11134082","WorldCat Record")</f>
        <v/>
      </c>
      <c r="AU1341" t="inlineStr">
        <is>
          <t>429067901:eng</t>
        </is>
      </c>
      <c r="AV1341" t="inlineStr">
        <is>
          <t>11134082</t>
        </is>
      </c>
      <c r="AW1341" t="inlineStr">
        <is>
          <t>991000495559702656</t>
        </is>
      </c>
      <c r="AX1341" t="inlineStr">
        <is>
          <t>991000495559702656</t>
        </is>
      </c>
      <c r="AY1341" t="inlineStr">
        <is>
          <t>2254890680002656</t>
        </is>
      </c>
      <c r="AZ1341" t="inlineStr">
        <is>
          <t>BOOK</t>
        </is>
      </c>
      <c r="BB1341" t="inlineStr">
        <is>
          <t>9780125545204</t>
        </is>
      </c>
      <c r="BC1341" t="inlineStr">
        <is>
          <t>32285001642825</t>
        </is>
      </c>
      <c r="BD1341" t="inlineStr">
        <is>
          <t>893601798</t>
        </is>
      </c>
    </row>
    <row r="1342">
      <c r="A1342" t="inlineStr">
        <is>
          <t>No</t>
        </is>
      </c>
      <c r="B1342" t="inlineStr">
        <is>
          <t>QH545.O87 L53 1997</t>
        </is>
      </c>
      <c r="C1342" t="inlineStr">
        <is>
          <t>0                      QH 0545000O  87                 L  53          1997</t>
        </is>
      </c>
      <c r="D1342" t="inlineStr">
        <is>
          <t>Recreation ecology : the ecological impact of outdoor recreation and ecotourism / Michael Liddle.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Liddle, M. J.</t>
        </is>
      </c>
      <c r="L1342" t="inlineStr">
        <is>
          <t>London ; New York : Chapman &amp; Hall, c1997.</t>
        </is>
      </c>
      <c r="M1342" t="inlineStr">
        <is>
          <t>1997</t>
        </is>
      </c>
      <c r="N1342" t="inlineStr">
        <is>
          <t>1st ed.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QH </t>
        </is>
      </c>
      <c r="S1342" t="n">
        <v>3</v>
      </c>
      <c r="T1342" t="n">
        <v>3</v>
      </c>
      <c r="U1342" t="inlineStr">
        <is>
          <t>2008-04-03</t>
        </is>
      </c>
      <c r="V1342" t="inlineStr">
        <is>
          <t>2008-04-03</t>
        </is>
      </c>
      <c r="W1342" t="inlineStr">
        <is>
          <t>1998-04-20</t>
        </is>
      </c>
      <c r="X1342" t="inlineStr">
        <is>
          <t>1998-04-20</t>
        </is>
      </c>
      <c r="Y1342" t="n">
        <v>292</v>
      </c>
      <c r="Z1342" t="n">
        <v>152</v>
      </c>
      <c r="AA1342" t="n">
        <v>152</v>
      </c>
      <c r="AB1342" t="n">
        <v>2</v>
      </c>
      <c r="AC1342" t="n">
        <v>2</v>
      </c>
      <c r="AD1342" t="n">
        <v>2</v>
      </c>
      <c r="AE1342" t="n">
        <v>2</v>
      </c>
      <c r="AF1342" t="n">
        <v>0</v>
      </c>
      <c r="AG1342" t="n">
        <v>0</v>
      </c>
      <c r="AH1342" t="n">
        <v>1</v>
      </c>
      <c r="AI1342" t="n">
        <v>1</v>
      </c>
      <c r="AJ1342" t="n">
        <v>0</v>
      </c>
      <c r="AK1342" t="n">
        <v>0</v>
      </c>
      <c r="AL1342" t="n">
        <v>1</v>
      </c>
      <c r="AM1342" t="n">
        <v>1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HYPERLINK("https://creighton-primo.hosted.exlibrisgroup.com/primo-explore/search?tab=default_tab&amp;search_scope=EVERYTHING&amp;vid=01CRU&amp;lang=en_US&amp;offset=0&amp;query=any,contains,991002886729702656","Catalog Record")</f>
        <v/>
      </c>
      <c r="AT1342">
        <f>HYPERLINK("http://www.worldcat.org/oclc/38040278","WorldCat Record")</f>
        <v/>
      </c>
      <c r="AU1342" t="inlineStr">
        <is>
          <t>837028212:eng</t>
        </is>
      </c>
      <c r="AV1342" t="inlineStr">
        <is>
          <t>38040278</t>
        </is>
      </c>
      <c r="AW1342" t="inlineStr">
        <is>
          <t>991002886729702656</t>
        </is>
      </c>
      <c r="AX1342" t="inlineStr">
        <is>
          <t>991002886729702656</t>
        </is>
      </c>
      <c r="AY1342" t="inlineStr">
        <is>
          <t>2263116010002656</t>
        </is>
      </c>
      <c r="AZ1342" t="inlineStr">
        <is>
          <t>BOOK</t>
        </is>
      </c>
      <c r="BB1342" t="inlineStr">
        <is>
          <t>9780412266300</t>
        </is>
      </c>
      <c r="BC1342" t="inlineStr">
        <is>
          <t>32285003375648</t>
        </is>
      </c>
      <c r="BD1342" t="inlineStr">
        <is>
          <t>893717039</t>
        </is>
      </c>
    </row>
    <row r="1343">
      <c r="A1343" t="inlineStr">
        <is>
          <t>No</t>
        </is>
      </c>
      <c r="B1343" t="inlineStr">
        <is>
          <t>QH545.P4 B56</t>
        </is>
      </c>
      <c r="C1343" t="inlineStr">
        <is>
          <t>0                      QH 0545000P  4                  B  56</t>
        </is>
      </c>
      <c r="D1343" t="inlineStr">
        <is>
          <t>The Biological impact of pesticides in the environment : a symposium assessing the significance of pesticides in relation to ecological problems and health / James W. Gillett, editor.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L1343" t="inlineStr">
        <is>
          <t>[Corvallis : Environmental Health Sciences Center, Oregon State University; distributed by Oregon State University Press, c1970]</t>
        </is>
      </c>
      <c r="M1343" t="inlineStr">
        <is>
          <t>1970</t>
        </is>
      </c>
      <c r="O1343" t="inlineStr">
        <is>
          <t>eng</t>
        </is>
      </c>
      <c r="P1343" t="inlineStr">
        <is>
          <t>oru</t>
        </is>
      </c>
      <c r="Q1343" t="inlineStr">
        <is>
          <t>Environmental health sciences series ; no. 1</t>
        </is>
      </c>
      <c r="R1343" t="inlineStr">
        <is>
          <t xml:space="preserve">QH </t>
        </is>
      </c>
      <c r="S1343" t="n">
        <v>20</v>
      </c>
      <c r="T1343" t="n">
        <v>20</v>
      </c>
      <c r="U1343" t="inlineStr">
        <is>
          <t>2006-10-31</t>
        </is>
      </c>
      <c r="V1343" t="inlineStr">
        <is>
          <t>2006-10-31</t>
        </is>
      </c>
      <c r="W1343" t="inlineStr">
        <is>
          <t>1992-12-10</t>
        </is>
      </c>
      <c r="X1343" t="inlineStr">
        <is>
          <t>1992-12-10</t>
        </is>
      </c>
      <c r="Y1343" t="n">
        <v>262</v>
      </c>
      <c r="Z1343" t="n">
        <v>227</v>
      </c>
      <c r="AA1343" t="n">
        <v>229</v>
      </c>
      <c r="AB1343" t="n">
        <v>3</v>
      </c>
      <c r="AC1343" t="n">
        <v>3</v>
      </c>
      <c r="AD1343" t="n">
        <v>6</v>
      </c>
      <c r="AE1343" t="n">
        <v>6</v>
      </c>
      <c r="AF1343" t="n">
        <v>2</v>
      </c>
      <c r="AG1343" t="n">
        <v>2</v>
      </c>
      <c r="AH1343" t="n">
        <v>0</v>
      </c>
      <c r="AI1343" t="n">
        <v>0</v>
      </c>
      <c r="AJ1343" t="n">
        <v>3</v>
      </c>
      <c r="AK1343" t="n">
        <v>3</v>
      </c>
      <c r="AL1343" t="n">
        <v>2</v>
      </c>
      <c r="AM1343" t="n">
        <v>2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HYPERLINK("http://catalog.hathitrust.org/Record/001492839","HathiTrust Record")</f>
        <v/>
      </c>
      <c r="AS1343">
        <f>HYPERLINK("https://creighton-primo.hosted.exlibrisgroup.com/primo-explore/search?tab=default_tab&amp;search_scope=EVERYTHING&amp;vid=01CRU&amp;lang=en_US&amp;offset=0&amp;query=any,contains,991000906209702656","Catalog Record")</f>
        <v/>
      </c>
      <c r="AT1343">
        <f>HYPERLINK("http://www.worldcat.org/oclc/157242","WorldCat Record")</f>
        <v/>
      </c>
      <c r="AU1343" t="inlineStr">
        <is>
          <t>422202530:eng</t>
        </is>
      </c>
      <c r="AV1343" t="inlineStr">
        <is>
          <t>157242</t>
        </is>
      </c>
      <c r="AW1343" t="inlineStr">
        <is>
          <t>991000906209702656</t>
        </is>
      </c>
      <c r="AX1343" t="inlineStr">
        <is>
          <t>991000906209702656</t>
        </is>
      </c>
      <c r="AY1343" t="inlineStr">
        <is>
          <t>2255688700002656</t>
        </is>
      </c>
      <c r="AZ1343" t="inlineStr">
        <is>
          <t>BOOK</t>
        </is>
      </c>
      <c r="BC1343" t="inlineStr">
        <is>
          <t>32285001414142</t>
        </is>
      </c>
      <c r="BD1343" t="inlineStr">
        <is>
          <t>893683849</t>
        </is>
      </c>
    </row>
    <row r="1344">
      <c r="A1344" t="inlineStr">
        <is>
          <t>No</t>
        </is>
      </c>
      <c r="B1344" t="inlineStr">
        <is>
          <t>QH545.P4 P4793 1993</t>
        </is>
      </c>
      <c r="C1344" t="inlineStr">
        <is>
          <t>0                      QH 0545000P  4                  P  4793        1993</t>
        </is>
      </c>
      <c r="D1344" t="inlineStr">
        <is>
          <t>The Pesticide question : environment, economics, and ethics / David Pimentel, Hugh Lehman,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York : Chapman &amp; Hall, 1993.</t>
        </is>
      </c>
      <c r="M1344" t="inlineStr">
        <is>
          <t>1993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QH </t>
        </is>
      </c>
      <c r="S1344" t="n">
        <v>27</v>
      </c>
      <c r="T1344" t="n">
        <v>27</v>
      </c>
      <c r="U1344" t="inlineStr">
        <is>
          <t>2003-12-07</t>
        </is>
      </c>
      <c r="V1344" t="inlineStr">
        <is>
          <t>2003-12-07</t>
        </is>
      </c>
      <c r="W1344" t="inlineStr">
        <is>
          <t>1993-12-10</t>
        </is>
      </c>
      <c r="X1344" t="inlineStr">
        <is>
          <t>1993-12-10</t>
        </is>
      </c>
      <c r="Y1344" t="n">
        <v>477</v>
      </c>
      <c r="Z1344" t="n">
        <v>354</v>
      </c>
      <c r="AA1344" t="n">
        <v>406</v>
      </c>
      <c r="AB1344" t="n">
        <v>5</v>
      </c>
      <c r="AC1344" t="n">
        <v>5</v>
      </c>
      <c r="AD1344" t="n">
        <v>16</v>
      </c>
      <c r="AE1344" t="n">
        <v>18</v>
      </c>
      <c r="AF1344" t="n">
        <v>5</v>
      </c>
      <c r="AG1344" t="n">
        <v>6</v>
      </c>
      <c r="AH1344" t="n">
        <v>2</v>
      </c>
      <c r="AI1344" t="n">
        <v>3</v>
      </c>
      <c r="AJ1344" t="n">
        <v>10</v>
      </c>
      <c r="AK1344" t="n">
        <v>11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HYPERLINK("https://creighton-primo.hosted.exlibrisgroup.com/primo-explore/search?tab=default_tab&amp;search_scope=EVERYTHING&amp;vid=01CRU&amp;lang=en_US&amp;offset=0&amp;query=any,contains,991002024939702656","Catalog Record")</f>
        <v/>
      </c>
      <c r="AT1344">
        <f>HYPERLINK("http://www.worldcat.org/oclc/25748386","WorldCat Record")</f>
        <v/>
      </c>
      <c r="AU1344" t="inlineStr">
        <is>
          <t>800061998:eng</t>
        </is>
      </c>
      <c r="AV1344" t="inlineStr">
        <is>
          <t>25748386</t>
        </is>
      </c>
      <c r="AW1344" t="inlineStr">
        <is>
          <t>991002024939702656</t>
        </is>
      </c>
      <c r="AX1344" t="inlineStr">
        <is>
          <t>991002024939702656</t>
        </is>
      </c>
      <c r="AY1344" t="inlineStr">
        <is>
          <t>2271962210002656</t>
        </is>
      </c>
      <c r="AZ1344" t="inlineStr">
        <is>
          <t>BOOK</t>
        </is>
      </c>
      <c r="BB1344" t="inlineStr">
        <is>
          <t>9780412035814</t>
        </is>
      </c>
      <c r="BC1344" t="inlineStr">
        <is>
          <t>32285001814754</t>
        </is>
      </c>
      <c r="BD1344" t="inlineStr">
        <is>
          <t>893256778</t>
        </is>
      </c>
    </row>
    <row r="1345">
      <c r="A1345" t="inlineStr">
        <is>
          <t>No</t>
        </is>
      </c>
      <c r="B1345" t="inlineStr">
        <is>
          <t>QH545.S49 E3 1985</t>
        </is>
      </c>
      <c r="C1345" t="inlineStr">
        <is>
          <t>0                      QH 0545000S  49                 E  3           1985</t>
        </is>
      </c>
      <c r="D1345" t="inlineStr">
        <is>
          <t>Ecological considerations in wetlands treatment of municipal wastewaters / edited by Paul J. Godfrey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Van Nostrand Reinhold, c1985.</t>
        </is>
      </c>
      <c r="M1345" t="inlineStr">
        <is>
          <t>1985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QH </t>
        </is>
      </c>
      <c r="S1345" t="n">
        <v>7</v>
      </c>
      <c r="T1345" t="n">
        <v>7</v>
      </c>
      <c r="U1345" t="inlineStr">
        <is>
          <t>1995-01-30</t>
        </is>
      </c>
      <c r="V1345" t="inlineStr">
        <is>
          <t>1995-01-30</t>
        </is>
      </c>
      <c r="W1345" t="inlineStr">
        <is>
          <t>1991-11-13</t>
        </is>
      </c>
      <c r="X1345" t="inlineStr">
        <is>
          <t>1991-11-13</t>
        </is>
      </c>
      <c r="Y1345" t="n">
        <v>233</v>
      </c>
      <c r="Z1345" t="n">
        <v>194</v>
      </c>
      <c r="AA1345" t="n">
        <v>195</v>
      </c>
      <c r="AB1345" t="n">
        <v>2</v>
      </c>
      <c r="AC1345" t="n">
        <v>2</v>
      </c>
      <c r="AD1345" t="n">
        <v>3</v>
      </c>
      <c r="AE1345" t="n">
        <v>3</v>
      </c>
      <c r="AF1345" t="n">
        <v>1</v>
      </c>
      <c r="AG1345" t="n">
        <v>1</v>
      </c>
      <c r="AH1345" t="n">
        <v>1</v>
      </c>
      <c r="AI1345" t="n">
        <v>1</v>
      </c>
      <c r="AJ1345" t="n">
        <v>1</v>
      </c>
      <c r="AK1345" t="n">
        <v>1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HYPERLINK("http://catalog.hathitrust.org/Record/000467735","HathiTrust Record")</f>
        <v/>
      </c>
      <c r="AS1345">
        <f>HYPERLINK("https://creighton-primo.hosted.exlibrisgroup.com/primo-explore/search?tab=default_tab&amp;search_scope=EVERYTHING&amp;vid=01CRU&amp;lang=en_US&amp;offset=0&amp;query=any,contains,991000539339702656","Catalog Record")</f>
        <v/>
      </c>
      <c r="AT1345">
        <f>HYPERLINK("http://www.worldcat.org/oclc/11469733","WorldCat Record")</f>
        <v/>
      </c>
      <c r="AU1345" t="inlineStr">
        <is>
          <t>3980892:eng</t>
        </is>
      </c>
      <c r="AV1345" t="inlineStr">
        <is>
          <t>11469733</t>
        </is>
      </c>
      <c r="AW1345" t="inlineStr">
        <is>
          <t>991000539339702656</t>
        </is>
      </c>
      <c r="AX1345" t="inlineStr">
        <is>
          <t>991000539339702656</t>
        </is>
      </c>
      <c r="AY1345" t="inlineStr">
        <is>
          <t>2266337310002656</t>
        </is>
      </c>
      <c r="AZ1345" t="inlineStr">
        <is>
          <t>BOOK</t>
        </is>
      </c>
      <c r="BB1345" t="inlineStr">
        <is>
          <t>9780442230098</t>
        </is>
      </c>
      <c r="BC1345" t="inlineStr">
        <is>
          <t>32285000824325</t>
        </is>
      </c>
      <c r="BD1345" t="inlineStr">
        <is>
          <t>893315034</t>
        </is>
      </c>
    </row>
    <row r="1346">
      <c r="A1346" t="inlineStr">
        <is>
          <t>No</t>
        </is>
      </c>
      <c r="B1346" t="inlineStr">
        <is>
          <t>QH545.T4 G38 1993</t>
        </is>
      </c>
      <c r="C1346" t="inlineStr">
        <is>
          <t>0                      QH 0545000T  4                  G  38          1993</t>
        </is>
      </c>
      <c r="D1346" t="inlineStr">
        <is>
          <t>Climate change and its biological consequences / David M. Gates.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K1346" t="inlineStr">
        <is>
          <t>Gates, David M. (David Murray), 1921-2016.</t>
        </is>
      </c>
      <c r="L1346" t="inlineStr">
        <is>
          <t>Sunderland, Mass. : Sinauer Associates, c1993.</t>
        </is>
      </c>
      <c r="M1346" t="inlineStr">
        <is>
          <t>1993</t>
        </is>
      </c>
      <c r="O1346" t="inlineStr">
        <is>
          <t>eng</t>
        </is>
      </c>
      <c r="P1346" t="inlineStr">
        <is>
          <t>mau</t>
        </is>
      </c>
      <c r="R1346" t="inlineStr">
        <is>
          <t xml:space="preserve">QH </t>
        </is>
      </c>
      <c r="S1346" t="n">
        <v>17</v>
      </c>
      <c r="T1346" t="n">
        <v>17</v>
      </c>
      <c r="U1346" t="inlineStr">
        <is>
          <t>2010-01-25</t>
        </is>
      </c>
      <c r="V1346" t="inlineStr">
        <is>
          <t>2010-01-25</t>
        </is>
      </c>
      <c r="W1346" t="inlineStr">
        <is>
          <t>1994-12-06</t>
        </is>
      </c>
      <c r="X1346" t="inlineStr">
        <is>
          <t>1994-12-06</t>
        </is>
      </c>
      <c r="Y1346" t="n">
        <v>759</v>
      </c>
      <c r="Z1346" t="n">
        <v>563</v>
      </c>
      <c r="AA1346" t="n">
        <v>564</v>
      </c>
      <c r="AB1346" t="n">
        <v>5</v>
      </c>
      <c r="AC1346" t="n">
        <v>5</v>
      </c>
      <c r="AD1346" t="n">
        <v>27</v>
      </c>
      <c r="AE1346" t="n">
        <v>27</v>
      </c>
      <c r="AF1346" t="n">
        <v>12</v>
      </c>
      <c r="AG1346" t="n">
        <v>12</v>
      </c>
      <c r="AH1346" t="n">
        <v>7</v>
      </c>
      <c r="AI1346" t="n">
        <v>7</v>
      </c>
      <c r="AJ1346" t="n">
        <v>10</v>
      </c>
      <c r="AK1346" t="n">
        <v>10</v>
      </c>
      <c r="AL1346" t="n">
        <v>4</v>
      </c>
      <c r="AM1346" t="n">
        <v>4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HYPERLINK("http://catalog.hathitrust.org/Record/002627924","HathiTrust Record")</f>
        <v/>
      </c>
      <c r="AS1346">
        <f>HYPERLINK("https://creighton-primo.hosted.exlibrisgroup.com/primo-explore/search?tab=default_tab&amp;search_scope=EVERYTHING&amp;vid=01CRU&amp;lang=en_US&amp;offset=0&amp;query=any,contains,991002094259702656","Catalog Record")</f>
        <v/>
      </c>
      <c r="AT1346">
        <f>HYPERLINK("http://www.worldcat.org/oclc/26855157","WorldCat Record")</f>
        <v/>
      </c>
      <c r="AU1346" t="inlineStr">
        <is>
          <t>29246236:eng</t>
        </is>
      </c>
      <c r="AV1346" t="inlineStr">
        <is>
          <t>26855157</t>
        </is>
      </c>
      <c r="AW1346" t="inlineStr">
        <is>
          <t>991002094259702656</t>
        </is>
      </c>
      <c r="AX1346" t="inlineStr">
        <is>
          <t>991002094259702656</t>
        </is>
      </c>
      <c r="AY1346" t="inlineStr">
        <is>
          <t>2268017090002656</t>
        </is>
      </c>
      <c r="AZ1346" t="inlineStr">
        <is>
          <t>BOOK</t>
        </is>
      </c>
      <c r="BB1346" t="inlineStr">
        <is>
          <t>9780878932245</t>
        </is>
      </c>
      <c r="BC1346" t="inlineStr">
        <is>
          <t>32285001976488</t>
        </is>
      </c>
      <c r="BD1346" t="inlineStr">
        <is>
          <t>893597024</t>
        </is>
      </c>
    </row>
    <row r="1347">
      <c r="A1347" t="inlineStr">
        <is>
          <t>No</t>
        </is>
      </c>
      <c r="B1347" t="inlineStr">
        <is>
          <t>QH545.T8 C5</t>
        </is>
      </c>
      <c r="C1347" t="inlineStr">
        <is>
          <t>0                      QH 0545000T  8                  C  5</t>
        </is>
      </c>
      <c r="D1347" t="inlineStr">
        <is>
          <t>The effects of heated effluents from a nuclear reactor on species diversity, abundance, reproduction, and movement of fish.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Clugston, James P.</t>
        </is>
      </c>
      <c r="M1347" t="inlineStr">
        <is>
          <t>1973</t>
        </is>
      </c>
      <c r="O1347" t="inlineStr">
        <is>
          <t>eng</t>
        </is>
      </c>
      <c r="P1347" t="inlineStr">
        <is>
          <t xml:space="preserve">xx </t>
        </is>
      </c>
      <c r="R1347" t="inlineStr">
        <is>
          <t xml:space="preserve">QH </t>
        </is>
      </c>
      <c r="S1347" t="n">
        <v>2</v>
      </c>
      <c r="T1347" t="n">
        <v>2</v>
      </c>
      <c r="U1347" t="inlineStr">
        <is>
          <t>2002-04-09</t>
        </is>
      </c>
      <c r="V1347" t="inlineStr">
        <is>
          <t>2002-04-09</t>
        </is>
      </c>
      <c r="W1347" t="inlineStr">
        <is>
          <t>1992-02-25</t>
        </is>
      </c>
      <c r="X1347" t="inlineStr">
        <is>
          <t>1992-02-25</t>
        </is>
      </c>
      <c r="Y1347" t="n">
        <v>5</v>
      </c>
      <c r="Z1347" t="n">
        <v>5</v>
      </c>
      <c r="AA1347" t="n">
        <v>8</v>
      </c>
      <c r="AB1347" t="n">
        <v>1</v>
      </c>
      <c r="AC1347" t="n">
        <v>1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n">
        <v>0</v>
      </c>
      <c r="AJ1347" t="n">
        <v>0</v>
      </c>
      <c r="AK1347" t="n">
        <v>0</v>
      </c>
      <c r="AL1347" t="n">
        <v>0</v>
      </c>
      <c r="AM1347" t="n">
        <v>0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No</t>
        </is>
      </c>
      <c r="AS1347">
        <f>HYPERLINK("https://creighton-primo.hosted.exlibrisgroup.com/primo-explore/search?tab=default_tab&amp;search_scope=EVERYTHING&amp;vid=01CRU&amp;lang=en_US&amp;offset=0&amp;query=any,contains,991001249109702656","Catalog Record")</f>
        <v/>
      </c>
      <c r="AT1347">
        <f>HYPERLINK("http://www.worldcat.org/oclc/17670058","WorldCat Record")</f>
        <v/>
      </c>
      <c r="AU1347" t="inlineStr">
        <is>
          <t>9697778:eng</t>
        </is>
      </c>
      <c r="AV1347" t="inlineStr">
        <is>
          <t>17670058</t>
        </is>
      </c>
      <c r="AW1347" t="inlineStr">
        <is>
          <t>991001249109702656</t>
        </is>
      </c>
      <c r="AX1347" t="inlineStr">
        <is>
          <t>991001249109702656</t>
        </is>
      </c>
      <c r="AY1347" t="inlineStr">
        <is>
          <t>2263658320002656</t>
        </is>
      </c>
      <c r="AZ1347" t="inlineStr">
        <is>
          <t>BOOK</t>
        </is>
      </c>
      <c r="BC1347" t="inlineStr">
        <is>
          <t>32285000974757</t>
        </is>
      </c>
      <c r="BD1347" t="inlineStr">
        <is>
          <t>893256139</t>
        </is>
      </c>
    </row>
    <row r="1348">
      <c r="A1348" t="inlineStr">
        <is>
          <t>No</t>
        </is>
      </c>
      <c r="B1348" t="inlineStr">
        <is>
          <t>QH545.W26 B73 2009</t>
        </is>
      </c>
      <c r="C1348" t="inlineStr">
        <is>
          <t>0                      QH 0545000W  26                 B  73          2009</t>
        </is>
      </c>
      <c r="D1348" t="inlineStr">
        <is>
          <t>War and nature : the environmental consequences of war in a globalized world / Jurgen Brauer.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Brauer, Jurgen, 1957-</t>
        </is>
      </c>
      <c r="L1348" t="inlineStr">
        <is>
          <t>Lanham : AltaMira Press, c2009.</t>
        </is>
      </c>
      <c r="M1348" t="inlineStr">
        <is>
          <t>2009</t>
        </is>
      </c>
      <c r="O1348" t="inlineStr">
        <is>
          <t>eng</t>
        </is>
      </c>
      <c r="P1348" t="inlineStr">
        <is>
          <t>mdu</t>
        </is>
      </c>
      <c r="Q1348" t="inlineStr">
        <is>
          <t>Globalization and the environment series</t>
        </is>
      </c>
      <c r="R1348" t="inlineStr">
        <is>
          <t xml:space="preserve">QH </t>
        </is>
      </c>
      <c r="S1348" t="n">
        <v>2</v>
      </c>
      <c r="T1348" t="n">
        <v>2</v>
      </c>
      <c r="U1348" t="inlineStr">
        <is>
          <t>2010-05-05</t>
        </is>
      </c>
      <c r="V1348" t="inlineStr">
        <is>
          <t>2010-05-05</t>
        </is>
      </c>
      <c r="W1348" t="inlineStr">
        <is>
          <t>2010-05-05</t>
        </is>
      </c>
      <c r="X1348" t="inlineStr">
        <is>
          <t>2010-05-05</t>
        </is>
      </c>
      <c r="Y1348" t="n">
        <v>398</v>
      </c>
      <c r="Z1348" t="n">
        <v>346</v>
      </c>
      <c r="AA1348" t="n">
        <v>516</v>
      </c>
      <c r="AB1348" t="n">
        <v>3</v>
      </c>
      <c r="AC1348" t="n">
        <v>4</v>
      </c>
      <c r="AD1348" t="n">
        <v>15</v>
      </c>
      <c r="AE1348" t="n">
        <v>22</v>
      </c>
      <c r="AF1348" t="n">
        <v>5</v>
      </c>
      <c r="AG1348" t="n">
        <v>8</v>
      </c>
      <c r="AH1348" t="n">
        <v>5</v>
      </c>
      <c r="AI1348" t="n">
        <v>9</v>
      </c>
      <c r="AJ1348" t="n">
        <v>8</v>
      </c>
      <c r="AK1348" t="n">
        <v>9</v>
      </c>
      <c r="AL1348" t="n">
        <v>2</v>
      </c>
      <c r="AM1348" t="n">
        <v>3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HYPERLINK("https://creighton-primo.hosted.exlibrisgroup.com/primo-explore/search?tab=default_tab&amp;search_scope=EVERYTHING&amp;vid=01CRU&amp;lang=en_US&amp;offset=0&amp;query=any,contains,991005389479702656","Catalog Record")</f>
        <v/>
      </c>
      <c r="AT1348">
        <f>HYPERLINK("http://www.worldcat.org/oclc/320622563","WorldCat Record")</f>
        <v/>
      </c>
      <c r="AU1348" t="inlineStr">
        <is>
          <t>802946393:eng</t>
        </is>
      </c>
      <c r="AV1348" t="inlineStr">
        <is>
          <t>320622563</t>
        </is>
      </c>
      <c r="AW1348" t="inlineStr">
        <is>
          <t>991005389479702656</t>
        </is>
      </c>
      <c r="AX1348" t="inlineStr">
        <is>
          <t>991005389479702656</t>
        </is>
      </c>
      <c r="AY1348" t="inlineStr">
        <is>
          <t>2262172890002656</t>
        </is>
      </c>
      <c r="AZ1348" t="inlineStr">
        <is>
          <t>BOOK</t>
        </is>
      </c>
      <c r="BB1348" t="inlineStr">
        <is>
          <t>9780759112063</t>
        </is>
      </c>
      <c r="BC1348" t="inlineStr">
        <is>
          <t>32285005580138</t>
        </is>
      </c>
      <c r="BD1348" t="inlineStr">
        <is>
          <t>893508181</t>
        </is>
      </c>
    </row>
    <row r="1349">
      <c r="A1349" t="inlineStr">
        <is>
          <t>No</t>
        </is>
      </c>
      <c r="B1349" t="inlineStr">
        <is>
          <t>QH545.W26 S76 1976</t>
        </is>
      </c>
      <c r="C1349" t="inlineStr">
        <is>
          <t>0                      QH 0545000W  26                 S  76          1976</t>
        </is>
      </c>
      <c r="D1349" t="inlineStr">
        <is>
          <t>Ecological consequences of the Second Indochina War / Stockholm International Peace Research Institute; [text by Arthur H. Westing].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Stockholm International Peace Research Institute.</t>
        </is>
      </c>
      <c r="L1349" t="inlineStr">
        <is>
          <t>Stockholm : Almqvist &amp; Wiksell International ; [Atlantic Highlands, N.J. : available from Humanities Press], c1976.</t>
        </is>
      </c>
      <c r="M1349" t="inlineStr">
        <is>
          <t>1976</t>
        </is>
      </c>
      <c r="O1349" t="inlineStr">
        <is>
          <t>eng</t>
        </is>
      </c>
      <c r="P1349" t="inlineStr">
        <is>
          <t xml:space="preserve">sw </t>
        </is>
      </c>
      <c r="R1349" t="inlineStr">
        <is>
          <t xml:space="preserve">QH </t>
        </is>
      </c>
      <c r="S1349" t="n">
        <v>2</v>
      </c>
      <c r="T1349" t="n">
        <v>2</v>
      </c>
      <c r="U1349" t="inlineStr">
        <is>
          <t>2003-04-26</t>
        </is>
      </c>
      <c r="V1349" t="inlineStr">
        <is>
          <t>2003-04-26</t>
        </is>
      </c>
      <c r="W1349" t="inlineStr">
        <is>
          <t>1997-07-03</t>
        </is>
      </c>
      <c r="X1349" t="inlineStr">
        <is>
          <t>1997-07-03</t>
        </is>
      </c>
      <c r="Y1349" t="n">
        <v>403</v>
      </c>
      <c r="Z1349" t="n">
        <v>262</v>
      </c>
      <c r="AA1349" t="n">
        <v>262</v>
      </c>
      <c r="AB1349" t="n">
        <v>1</v>
      </c>
      <c r="AC1349" t="n">
        <v>1</v>
      </c>
      <c r="AD1349" t="n">
        <v>5</v>
      </c>
      <c r="AE1349" t="n">
        <v>5</v>
      </c>
      <c r="AF1349" t="n">
        <v>0</v>
      </c>
      <c r="AG1349" t="n">
        <v>0</v>
      </c>
      <c r="AH1349" t="n">
        <v>2</v>
      </c>
      <c r="AI1349" t="n">
        <v>2</v>
      </c>
      <c r="AJ1349" t="n">
        <v>3</v>
      </c>
      <c r="AK1349" t="n">
        <v>3</v>
      </c>
      <c r="AL1349" t="n">
        <v>0</v>
      </c>
      <c r="AM1349" t="n">
        <v>0</v>
      </c>
      <c r="AN1349" t="n">
        <v>1</v>
      </c>
      <c r="AO1349" t="n">
        <v>1</v>
      </c>
      <c r="AP1349" t="inlineStr">
        <is>
          <t>No</t>
        </is>
      </c>
      <c r="AQ1349" t="inlineStr">
        <is>
          <t>No</t>
        </is>
      </c>
      <c r="AS1349">
        <f>HYPERLINK("https://creighton-primo.hosted.exlibrisgroup.com/primo-explore/search?tab=default_tab&amp;search_scope=EVERYTHING&amp;vid=01CRU&amp;lang=en_US&amp;offset=0&amp;query=any,contains,991004372979702656","Catalog Record")</f>
        <v/>
      </c>
      <c r="AT1349">
        <f>HYPERLINK("http://www.worldcat.org/oclc/3202547","WorldCat Record")</f>
        <v/>
      </c>
      <c r="AU1349" t="inlineStr">
        <is>
          <t>118341031:eng</t>
        </is>
      </c>
      <c r="AV1349" t="inlineStr">
        <is>
          <t>3202547</t>
        </is>
      </c>
      <c r="AW1349" t="inlineStr">
        <is>
          <t>991004372979702656</t>
        </is>
      </c>
      <c r="AX1349" t="inlineStr">
        <is>
          <t>991004372979702656</t>
        </is>
      </c>
      <c r="AY1349" t="inlineStr">
        <is>
          <t>2270315190002656</t>
        </is>
      </c>
      <c r="AZ1349" t="inlineStr">
        <is>
          <t>BOOK</t>
        </is>
      </c>
      <c r="BB1349" t="inlineStr">
        <is>
          <t>9789122000624</t>
        </is>
      </c>
      <c r="BC1349" t="inlineStr">
        <is>
          <t>32285002913688</t>
        </is>
      </c>
      <c r="BD1349" t="inlineStr">
        <is>
          <t>893506776</t>
        </is>
      </c>
    </row>
    <row r="1350">
      <c r="A1350" t="inlineStr">
        <is>
          <t>No</t>
        </is>
      </c>
      <c r="B1350" t="inlineStr">
        <is>
          <t>QH545.W3 B85 1989</t>
        </is>
      </c>
      <c r="C1350" t="inlineStr">
        <is>
          <t>0                      QH 0545000W  3                  B  85          1989</t>
        </is>
      </c>
      <c r="D1350" t="inlineStr">
        <is>
          <t>The wasted ocean / David K. Bulloch.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Bulloch, David K.</t>
        </is>
      </c>
      <c r="L1350" t="inlineStr">
        <is>
          <t>New York, N.Y. : Lyons &amp; Burford, c1989.</t>
        </is>
      </c>
      <c r="M1350" t="inlineStr">
        <is>
          <t>1989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QH </t>
        </is>
      </c>
      <c r="S1350" t="n">
        <v>13</v>
      </c>
      <c r="T1350" t="n">
        <v>13</v>
      </c>
      <c r="U1350" t="inlineStr">
        <is>
          <t>2000-11-27</t>
        </is>
      </c>
      <c r="V1350" t="inlineStr">
        <is>
          <t>2000-11-27</t>
        </is>
      </c>
      <c r="W1350" t="inlineStr">
        <is>
          <t>1990-06-04</t>
        </is>
      </c>
      <c r="X1350" t="inlineStr">
        <is>
          <t>1990-06-04</t>
        </is>
      </c>
      <c r="Y1350" t="n">
        <v>910</v>
      </c>
      <c r="Z1350" t="n">
        <v>852</v>
      </c>
      <c r="AA1350" t="n">
        <v>872</v>
      </c>
      <c r="AB1350" t="n">
        <v>5</v>
      </c>
      <c r="AC1350" t="n">
        <v>5</v>
      </c>
      <c r="AD1350" t="n">
        <v>24</v>
      </c>
      <c r="AE1350" t="n">
        <v>25</v>
      </c>
      <c r="AF1350" t="n">
        <v>10</v>
      </c>
      <c r="AG1350" t="n">
        <v>11</v>
      </c>
      <c r="AH1350" t="n">
        <v>6</v>
      </c>
      <c r="AI1350" t="n">
        <v>6</v>
      </c>
      <c r="AJ1350" t="n">
        <v>11</v>
      </c>
      <c r="AK1350" t="n">
        <v>11</v>
      </c>
      <c r="AL1350" t="n">
        <v>3</v>
      </c>
      <c r="AM1350" t="n">
        <v>3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HYPERLINK("http://catalog.hathitrust.org/Record/001944917","HathiTrust Record")</f>
        <v/>
      </c>
      <c r="AS1350">
        <f>HYPERLINK("https://creighton-primo.hosted.exlibrisgroup.com/primo-explore/search?tab=default_tab&amp;search_scope=EVERYTHING&amp;vid=01CRU&amp;lang=en_US&amp;offset=0&amp;query=any,contains,991001431979702656","Catalog Record")</f>
        <v/>
      </c>
      <c r="AT1350">
        <f>HYPERLINK("http://www.worldcat.org/oclc/19122778","WorldCat Record")</f>
        <v/>
      </c>
      <c r="AU1350" t="inlineStr">
        <is>
          <t>18869613:eng</t>
        </is>
      </c>
      <c r="AV1350" t="inlineStr">
        <is>
          <t>19122778</t>
        </is>
      </c>
      <c r="AW1350" t="inlineStr">
        <is>
          <t>991001431979702656</t>
        </is>
      </c>
      <c r="AX1350" t="inlineStr">
        <is>
          <t>991001431979702656</t>
        </is>
      </c>
      <c r="AY1350" t="inlineStr">
        <is>
          <t>2272728290002656</t>
        </is>
      </c>
      <c r="AZ1350" t="inlineStr">
        <is>
          <t>BOOK</t>
        </is>
      </c>
      <c r="BB1350" t="inlineStr">
        <is>
          <t>9781558210349</t>
        </is>
      </c>
      <c r="BC1350" t="inlineStr">
        <is>
          <t>32285000158294</t>
        </is>
      </c>
      <c r="BD1350" t="inlineStr">
        <is>
          <t>893690628</t>
        </is>
      </c>
    </row>
    <row r="1351">
      <c r="A1351" t="inlineStr">
        <is>
          <t>No</t>
        </is>
      </c>
      <c r="B1351" t="inlineStr">
        <is>
          <t>QH545.W3 S38 1996</t>
        </is>
      </c>
      <c r="C1351" t="inlineStr">
        <is>
          <t>0                      QH 0545000W  3                  S  38          1996</t>
        </is>
      </c>
      <c r="D1351" t="inlineStr">
        <is>
          <t>Introduction to water pollution biology / Richard J. Schmitz.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Schmitz, Richard J.</t>
        </is>
      </c>
      <c r="L1351" t="inlineStr">
        <is>
          <t>Houston, TX : Gulf Pub., c1996.</t>
        </is>
      </c>
      <c r="M1351" t="inlineStr">
        <is>
          <t>1996</t>
        </is>
      </c>
      <c r="O1351" t="inlineStr">
        <is>
          <t>eng</t>
        </is>
      </c>
      <c r="P1351" t="inlineStr">
        <is>
          <t>txu</t>
        </is>
      </c>
      <c r="R1351" t="inlineStr">
        <is>
          <t xml:space="preserve">QH </t>
        </is>
      </c>
      <c r="S1351" t="n">
        <v>14</v>
      </c>
      <c r="T1351" t="n">
        <v>14</v>
      </c>
      <c r="U1351" t="inlineStr">
        <is>
          <t>2008-11-10</t>
        </is>
      </c>
      <c r="V1351" t="inlineStr">
        <is>
          <t>2008-11-10</t>
        </is>
      </c>
      <c r="W1351" t="inlineStr">
        <is>
          <t>1996-04-15</t>
        </is>
      </c>
      <c r="X1351" t="inlineStr">
        <is>
          <t>1996-04-15</t>
        </is>
      </c>
      <c r="Y1351" t="n">
        <v>188</v>
      </c>
      <c r="Z1351" t="n">
        <v>149</v>
      </c>
      <c r="AA1351" t="n">
        <v>151</v>
      </c>
      <c r="AB1351" t="n">
        <v>1</v>
      </c>
      <c r="AC1351" t="n">
        <v>1</v>
      </c>
      <c r="AD1351" t="n">
        <v>4</v>
      </c>
      <c r="AE1351" t="n">
        <v>4</v>
      </c>
      <c r="AF1351" t="n">
        <v>1</v>
      </c>
      <c r="AG1351" t="n">
        <v>1</v>
      </c>
      <c r="AH1351" t="n">
        <v>2</v>
      </c>
      <c r="AI1351" t="n">
        <v>2</v>
      </c>
      <c r="AJ1351" t="n">
        <v>4</v>
      </c>
      <c r="AK1351" t="n">
        <v>4</v>
      </c>
      <c r="AL1351" t="n">
        <v>0</v>
      </c>
      <c r="AM1351" t="n">
        <v>0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HYPERLINK("http://catalog.hathitrust.org/Record/007213299","HathiTrust Record")</f>
        <v/>
      </c>
      <c r="AS1351">
        <f>HYPERLINK("https://creighton-primo.hosted.exlibrisgroup.com/primo-explore/search?tab=default_tab&amp;search_scope=EVERYTHING&amp;vid=01CRU&amp;lang=en_US&amp;offset=0&amp;query=any,contains,991002530169702656","Catalog Record")</f>
        <v/>
      </c>
      <c r="AT1351">
        <f>HYPERLINK("http://www.worldcat.org/oclc/32892228","WorldCat Record")</f>
        <v/>
      </c>
      <c r="AU1351" t="inlineStr">
        <is>
          <t>38196577:eng</t>
        </is>
      </c>
      <c r="AV1351" t="inlineStr">
        <is>
          <t>32892228</t>
        </is>
      </c>
      <c r="AW1351" t="inlineStr">
        <is>
          <t>991002530169702656</t>
        </is>
      </c>
      <c r="AX1351" t="inlineStr">
        <is>
          <t>991002530169702656</t>
        </is>
      </c>
      <c r="AY1351" t="inlineStr">
        <is>
          <t>2254861500002656</t>
        </is>
      </c>
      <c r="AZ1351" t="inlineStr">
        <is>
          <t>BOOK</t>
        </is>
      </c>
      <c r="BC1351" t="inlineStr">
        <is>
          <t>32285002152964</t>
        </is>
      </c>
      <c r="BD1351" t="inlineStr">
        <is>
          <t>893323045</t>
        </is>
      </c>
    </row>
    <row r="1352">
      <c r="A1352" t="inlineStr">
        <is>
          <t>No</t>
        </is>
      </c>
      <c r="B1352" t="inlineStr">
        <is>
          <t>QH545.W3 S95 1977</t>
        </is>
      </c>
      <c r="C1352" t="inlineStr">
        <is>
          <t>0                      QH 0545000W  3                  S  95          1977</t>
        </is>
      </c>
      <c r="D1352" t="inlineStr">
        <is>
          <t>Aquatic toxicology : proceedings of the second annual Symposium on Aquatic Toxicology : a symposium / sponsored by ASTM Committee E-35 on Pesticides, American Society for Testing and Materials, Cleveland, Ohio, 31 Oct.-1 Nov. 1977.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Symposium on Aquatic Toxicology (2nd : 1977 : Cleveland, Ohio)</t>
        </is>
      </c>
      <c r="L1352" t="inlineStr">
        <is>
          <t>Philadelphia : ASTM, c1979.</t>
        </is>
      </c>
      <c r="M1352" t="inlineStr">
        <is>
          <t>1979</t>
        </is>
      </c>
      <c r="O1352" t="inlineStr">
        <is>
          <t>eng</t>
        </is>
      </c>
      <c r="P1352" t="inlineStr">
        <is>
          <t>pau</t>
        </is>
      </c>
      <c r="Q1352" t="inlineStr">
        <is>
          <t>ASTM special technical publication ; 667</t>
        </is>
      </c>
      <c r="R1352" t="inlineStr">
        <is>
          <t xml:space="preserve">QH </t>
        </is>
      </c>
      <c r="S1352" t="n">
        <v>12</v>
      </c>
      <c r="T1352" t="n">
        <v>12</v>
      </c>
      <c r="U1352" t="inlineStr">
        <is>
          <t>2008-09-26</t>
        </is>
      </c>
      <c r="V1352" t="inlineStr">
        <is>
          <t>2008-09-26</t>
        </is>
      </c>
      <c r="W1352" t="inlineStr">
        <is>
          <t>1992-12-01</t>
        </is>
      </c>
      <c r="X1352" t="inlineStr">
        <is>
          <t>1992-12-01</t>
        </is>
      </c>
      <c r="Y1352" t="n">
        <v>274</v>
      </c>
      <c r="Z1352" t="n">
        <v>241</v>
      </c>
      <c r="AA1352" t="n">
        <v>274</v>
      </c>
      <c r="AB1352" t="n">
        <v>2</v>
      </c>
      <c r="AC1352" t="n">
        <v>2</v>
      </c>
      <c r="AD1352" t="n">
        <v>5</v>
      </c>
      <c r="AE1352" t="n">
        <v>6</v>
      </c>
      <c r="AF1352" t="n">
        <v>2</v>
      </c>
      <c r="AG1352" t="n">
        <v>2</v>
      </c>
      <c r="AH1352" t="n">
        <v>1</v>
      </c>
      <c r="AI1352" t="n">
        <v>2</v>
      </c>
      <c r="AJ1352" t="n">
        <v>3</v>
      </c>
      <c r="AK1352" t="n">
        <v>3</v>
      </c>
      <c r="AL1352" t="n">
        <v>1</v>
      </c>
      <c r="AM1352" t="n">
        <v>1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HYPERLINK("http://catalog.hathitrust.org/Record/009507290","HathiTrust Record")</f>
        <v/>
      </c>
      <c r="AS1352">
        <f>HYPERLINK("https://creighton-primo.hosted.exlibrisgroup.com/primo-explore/search?tab=default_tab&amp;search_scope=EVERYTHING&amp;vid=01CRU&amp;lang=en_US&amp;offset=0&amp;query=any,contains,991004784829702656","Catalog Record")</f>
        <v/>
      </c>
      <c r="AT1352">
        <f>HYPERLINK("http://www.worldcat.org/oclc/7922840","WorldCat Record")</f>
        <v/>
      </c>
      <c r="AU1352" t="inlineStr">
        <is>
          <t>796636206:eng</t>
        </is>
      </c>
      <c r="AV1352" t="inlineStr">
        <is>
          <t>7922840</t>
        </is>
      </c>
      <c r="AW1352" t="inlineStr">
        <is>
          <t>991004784829702656</t>
        </is>
      </c>
      <c r="AX1352" t="inlineStr">
        <is>
          <t>991004784829702656</t>
        </is>
      </c>
      <c r="AY1352" t="inlineStr">
        <is>
          <t>2269870250002656</t>
        </is>
      </c>
      <c r="AZ1352" t="inlineStr">
        <is>
          <t>BOOK</t>
        </is>
      </c>
      <c r="BB1352" t="inlineStr">
        <is>
          <t>9780466700010</t>
        </is>
      </c>
      <c r="BC1352" t="inlineStr">
        <is>
          <t>32285001410793</t>
        </is>
      </c>
      <c r="BD1352" t="inlineStr">
        <is>
          <t>893513682</t>
        </is>
      </c>
    </row>
    <row r="1353">
      <c r="A1353" t="inlineStr">
        <is>
          <t>No</t>
        </is>
      </c>
      <c r="B1353" t="inlineStr">
        <is>
          <t>QH545.W3 S95 1978</t>
        </is>
      </c>
      <c r="C1353" t="inlineStr">
        <is>
          <t>0                      QH 0545000W  3                  S  95          1978</t>
        </is>
      </c>
      <c r="D1353" t="inlineStr">
        <is>
          <t>Aquatic toxicology : proceedings of the Third Annual Symposium on Aquatic Toxicology : a symposium / sponsored by ASTM Committee E-35 on Pesticides, American Society for Testing and Materials, New Orleans, La., 17-18 Oct. 1978 ; J.G. Eaton, P.R. Parrish, and A.C. Hendricks, editors.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Symposium on Aquatic Toxicology (3rd : 1978 : New Orleans, La.)</t>
        </is>
      </c>
      <c r="L1353" t="inlineStr">
        <is>
          <t>Philadelphia, Pa. : ASTM, 1980.</t>
        </is>
      </c>
      <c r="M1353" t="inlineStr">
        <is>
          <t>1980</t>
        </is>
      </c>
      <c r="O1353" t="inlineStr">
        <is>
          <t>eng</t>
        </is>
      </c>
      <c r="P1353" t="inlineStr">
        <is>
          <t>pau</t>
        </is>
      </c>
      <c r="Q1353" t="inlineStr">
        <is>
          <t>ASTM special technical publication ; 707</t>
        </is>
      </c>
      <c r="R1353" t="inlineStr">
        <is>
          <t xml:space="preserve">QH </t>
        </is>
      </c>
      <c r="S1353" t="n">
        <v>8</v>
      </c>
      <c r="T1353" t="n">
        <v>8</v>
      </c>
      <c r="U1353" t="inlineStr">
        <is>
          <t>1999-03-31</t>
        </is>
      </c>
      <c r="V1353" t="inlineStr">
        <is>
          <t>1999-03-31</t>
        </is>
      </c>
      <c r="W1353" t="inlineStr">
        <is>
          <t>1993-05-03</t>
        </is>
      </c>
      <c r="X1353" t="inlineStr">
        <is>
          <t>1993-05-03</t>
        </is>
      </c>
      <c r="Y1353" t="n">
        <v>239</v>
      </c>
      <c r="Z1353" t="n">
        <v>204</v>
      </c>
      <c r="AA1353" t="n">
        <v>244</v>
      </c>
      <c r="AB1353" t="n">
        <v>2</v>
      </c>
      <c r="AC1353" t="n">
        <v>2</v>
      </c>
      <c r="AD1353" t="n">
        <v>2</v>
      </c>
      <c r="AE1353" t="n">
        <v>3</v>
      </c>
      <c r="AF1353" t="n">
        <v>1</v>
      </c>
      <c r="AG1353" t="n">
        <v>1</v>
      </c>
      <c r="AH1353" t="n">
        <v>1</v>
      </c>
      <c r="AI1353" t="n">
        <v>2</v>
      </c>
      <c r="AJ1353" t="n">
        <v>0</v>
      </c>
      <c r="AK1353" t="n">
        <v>0</v>
      </c>
      <c r="AL1353" t="n">
        <v>1</v>
      </c>
      <c r="AM1353" t="n">
        <v>1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HYPERLINK("http://catalog.hathitrust.org/Record/102773664","HathiTrust Record")</f>
        <v/>
      </c>
      <c r="AS1353">
        <f>HYPERLINK("https://creighton-primo.hosted.exlibrisgroup.com/primo-explore/search?tab=default_tab&amp;search_scope=EVERYTHING&amp;vid=01CRU&amp;lang=en_US&amp;offset=0&amp;query=any,contains,991005035019702656","Catalog Record")</f>
        <v/>
      </c>
      <c r="AT1353">
        <f>HYPERLINK("http://www.worldcat.org/oclc/7740014","WorldCat Record")</f>
        <v/>
      </c>
      <c r="AU1353" t="inlineStr">
        <is>
          <t>151108344:eng</t>
        </is>
      </c>
      <c r="AV1353" t="inlineStr">
        <is>
          <t>7740014</t>
        </is>
      </c>
      <c r="AW1353" t="inlineStr">
        <is>
          <t>991005035019702656</t>
        </is>
      </c>
      <c r="AX1353" t="inlineStr">
        <is>
          <t>991005035019702656</t>
        </is>
      </c>
      <c r="AY1353" t="inlineStr">
        <is>
          <t>2267480410002656</t>
        </is>
      </c>
      <c r="AZ1353" t="inlineStr">
        <is>
          <t>BOOK</t>
        </is>
      </c>
      <c r="BC1353" t="inlineStr">
        <is>
          <t>32285001642908</t>
        </is>
      </c>
      <c r="BD1353" t="inlineStr">
        <is>
          <t>893700941</t>
        </is>
      </c>
    </row>
    <row r="1354">
      <c r="A1354" t="inlineStr">
        <is>
          <t>No</t>
        </is>
      </c>
      <c r="B1354" t="inlineStr">
        <is>
          <t>QH546 .B55 1993</t>
        </is>
      </c>
      <c r="C1354" t="inlineStr">
        <is>
          <t>0                      QH 0546000B  55          1993</t>
        </is>
      </c>
      <c r="D1354" t="inlineStr">
        <is>
          <t>Biotic interactions and global change / edited by Peter M. Kareiva, Joel G. Kingsolver, Raymond B. Huey.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Sunderland, Mass. : Sinauer Associates, c1993.</t>
        </is>
      </c>
      <c r="M1354" t="inlineStr">
        <is>
          <t>1993</t>
        </is>
      </c>
      <c r="O1354" t="inlineStr">
        <is>
          <t>eng</t>
        </is>
      </c>
      <c r="P1354" t="inlineStr">
        <is>
          <t>mau</t>
        </is>
      </c>
      <c r="R1354" t="inlineStr">
        <is>
          <t xml:space="preserve">QH </t>
        </is>
      </c>
      <c r="S1354" t="n">
        <v>23</v>
      </c>
      <c r="T1354" t="n">
        <v>23</v>
      </c>
      <c r="U1354" t="inlineStr">
        <is>
          <t>2010-11-01</t>
        </is>
      </c>
      <c r="V1354" t="inlineStr">
        <is>
          <t>2010-11-01</t>
        </is>
      </c>
      <c r="W1354" t="inlineStr">
        <is>
          <t>1995-08-30</t>
        </is>
      </c>
      <c r="X1354" t="inlineStr">
        <is>
          <t>1995-08-30</t>
        </is>
      </c>
      <c r="Y1354" t="n">
        <v>494</v>
      </c>
      <c r="Z1354" t="n">
        <v>388</v>
      </c>
      <c r="AA1354" t="n">
        <v>418</v>
      </c>
      <c r="AB1354" t="n">
        <v>5</v>
      </c>
      <c r="AC1354" t="n">
        <v>5</v>
      </c>
      <c r="AD1354" t="n">
        <v>19</v>
      </c>
      <c r="AE1354" t="n">
        <v>20</v>
      </c>
      <c r="AF1354" t="n">
        <v>9</v>
      </c>
      <c r="AG1354" t="n">
        <v>9</v>
      </c>
      <c r="AH1354" t="n">
        <v>4</v>
      </c>
      <c r="AI1354" t="n">
        <v>5</v>
      </c>
      <c r="AJ1354" t="n">
        <v>5</v>
      </c>
      <c r="AK1354" t="n">
        <v>6</v>
      </c>
      <c r="AL1354" t="n">
        <v>4</v>
      </c>
      <c r="AM1354" t="n">
        <v>4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HYPERLINK("http://catalog.hathitrust.org/Record/002608068","HathiTrust Record")</f>
        <v/>
      </c>
      <c r="AS1354">
        <f>HYPERLINK("https://creighton-primo.hosted.exlibrisgroup.com/primo-explore/search?tab=default_tab&amp;search_scope=EVERYTHING&amp;vid=01CRU&amp;lang=en_US&amp;offset=0&amp;query=any,contains,991002042459702656","Catalog Record")</f>
        <v/>
      </c>
      <c r="AT1354">
        <f>HYPERLINK("http://www.worldcat.org/oclc/26054956","WorldCat Record")</f>
        <v/>
      </c>
      <c r="AU1354" t="inlineStr">
        <is>
          <t>354741553:eng</t>
        </is>
      </c>
      <c r="AV1354" t="inlineStr">
        <is>
          <t>26054956</t>
        </is>
      </c>
      <c r="AW1354" t="inlineStr">
        <is>
          <t>991002042459702656</t>
        </is>
      </c>
      <c r="AX1354" t="inlineStr">
        <is>
          <t>991002042459702656</t>
        </is>
      </c>
      <c r="AY1354" t="inlineStr">
        <is>
          <t>2256289590002656</t>
        </is>
      </c>
      <c r="AZ1354" t="inlineStr">
        <is>
          <t>BOOK</t>
        </is>
      </c>
      <c r="BB1354" t="inlineStr">
        <is>
          <t>9780878934294</t>
        </is>
      </c>
      <c r="BC1354" t="inlineStr">
        <is>
          <t>32285002091048</t>
        </is>
      </c>
      <c r="BD1354" t="inlineStr">
        <is>
          <t>893347032</t>
        </is>
      </c>
    </row>
    <row r="1355">
      <c r="A1355" t="inlineStr">
        <is>
          <t>No</t>
        </is>
      </c>
      <c r="B1355" t="inlineStr">
        <is>
          <t>QH546 .C6 1957</t>
        </is>
      </c>
      <c r="C1355" t="inlineStr">
        <is>
          <t>0                      QH 0546000C  6           1957</t>
        </is>
      </c>
      <c r="D1355" t="inlineStr">
        <is>
          <t>Adaptive coloration in animals / with an introd. by Julian S. Huxley.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Cott, Hugh B. (Hugh Bamford)</t>
        </is>
      </c>
      <c r="L1355" t="inlineStr">
        <is>
          <t>London : Methuen, [1957]</t>
        </is>
      </c>
      <c r="M1355" t="inlineStr">
        <is>
          <t>1957</t>
        </is>
      </c>
      <c r="O1355" t="inlineStr">
        <is>
          <t>eng</t>
        </is>
      </c>
      <c r="P1355" t="inlineStr">
        <is>
          <t>enk</t>
        </is>
      </c>
      <c r="R1355" t="inlineStr">
        <is>
          <t xml:space="preserve">QH </t>
        </is>
      </c>
      <c r="S1355" t="n">
        <v>8</v>
      </c>
      <c r="T1355" t="n">
        <v>8</v>
      </c>
      <c r="U1355" t="inlineStr">
        <is>
          <t>2009-02-26</t>
        </is>
      </c>
      <c r="V1355" t="inlineStr">
        <is>
          <t>2009-02-26</t>
        </is>
      </c>
      <c r="W1355" t="inlineStr">
        <is>
          <t>1995-04-24</t>
        </is>
      </c>
      <c r="X1355" t="inlineStr">
        <is>
          <t>1995-04-24</t>
        </is>
      </c>
      <c r="Y1355" t="n">
        <v>244</v>
      </c>
      <c r="Z1355" t="n">
        <v>193</v>
      </c>
      <c r="AA1355" t="n">
        <v>562</v>
      </c>
      <c r="AB1355" t="n">
        <v>3</v>
      </c>
      <c r="AC1355" t="n">
        <v>4</v>
      </c>
      <c r="AD1355" t="n">
        <v>9</v>
      </c>
      <c r="AE1355" t="n">
        <v>22</v>
      </c>
      <c r="AF1355" t="n">
        <v>3</v>
      </c>
      <c r="AG1355" t="n">
        <v>8</v>
      </c>
      <c r="AH1355" t="n">
        <v>1</v>
      </c>
      <c r="AI1355" t="n">
        <v>4</v>
      </c>
      <c r="AJ1355" t="n">
        <v>5</v>
      </c>
      <c r="AK1355" t="n">
        <v>12</v>
      </c>
      <c r="AL1355" t="n">
        <v>2</v>
      </c>
      <c r="AM1355" t="n">
        <v>3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HYPERLINK("http://catalog.hathitrust.org/Record/002013208","HathiTrust Record")</f>
        <v/>
      </c>
      <c r="AS1355">
        <f>HYPERLINK("https://creighton-primo.hosted.exlibrisgroup.com/primo-explore/search?tab=default_tab&amp;search_scope=EVERYTHING&amp;vid=01CRU&amp;lang=en_US&amp;offset=0&amp;query=any,contains,991003790009702656","Catalog Record")</f>
        <v/>
      </c>
      <c r="AT1355">
        <f>HYPERLINK("http://www.worldcat.org/oclc/1508301","WorldCat Record")</f>
        <v/>
      </c>
      <c r="AU1355" t="inlineStr">
        <is>
          <t>1636857:eng</t>
        </is>
      </c>
      <c r="AV1355" t="inlineStr">
        <is>
          <t>1508301</t>
        </is>
      </c>
      <c r="AW1355" t="inlineStr">
        <is>
          <t>991003790009702656</t>
        </is>
      </c>
      <c r="AX1355" t="inlineStr">
        <is>
          <t>991003790009702656</t>
        </is>
      </c>
      <c r="AY1355" t="inlineStr">
        <is>
          <t>2256997860002656</t>
        </is>
      </c>
      <c r="AZ1355" t="inlineStr">
        <is>
          <t>BOOK</t>
        </is>
      </c>
      <c r="BC1355" t="inlineStr">
        <is>
          <t>32285002028305</t>
        </is>
      </c>
      <c r="BD1355" t="inlineStr">
        <is>
          <t>893800172</t>
        </is>
      </c>
    </row>
    <row r="1356">
      <c r="A1356" t="inlineStr">
        <is>
          <t>No</t>
        </is>
      </c>
      <c r="B1356" t="inlineStr">
        <is>
          <t>QH546 .C65 1983</t>
        </is>
      </c>
      <c r="C1356" t="inlineStr">
        <is>
          <t>0                      QH 0546000C  65          1983</t>
        </is>
      </c>
      <c r="D1356" t="inlineStr">
        <is>
          <t>Adaptability : the significance of variability from molecule to ecosystem / Michael Conrad.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Conrad, Michael, 1941-</t>
        </is>
      </c>
      <c r="L1356" t="inlineStr">
        <is>
          <t>New York : Plenum Press, c1983.</t>
        </is>
      </c>
      <c r="M1356" t="inlineStr">
        <is>
          <t>1983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QH </t>
        </is>
      </c>
      <c r="S1356" t="n">
        <v>8</v>
      </c>
      <c r="T1356" t="n">
        <v>8</v>
      </c>
      <c r="U1356" t="inlineStr">
        <is>
          <t>1998-02-22</t>
        </is>
      </c>
      <c r="V1356" t="inlineStr">
        <is>
          <t>1998-02-22</t>
        </is>
      </c>
      <c r="W1356" t="inlineStr">
        <is>
          <t>1993-05-03</t>
        </is>
      </c>
      <c r="X1356" t="inlineStr">
        <is>
          <t>1993-05-03</t>
        </is>
      </c>
      <c r="Y1356" t="n">
        <v>363</v>
      </c>
      <c r="Z1356" t="n">
        <v>279</v>
      </c>
      <c r="AA1356" t="n">
        <v>295</v>
      </c>
      <c r="AB1356" t="n">
        <v>2</v>
      </c>
      <c r="AC1356" t="n">
        <v>2</v>
      </c>
      <c r="AD1356" t="n">
        <v>15</v>
      </c>
      <c r="AE1356" t="n">
        <v>16</v>
      </c>
      <c r="AF1356" t="n">
        <v>4</v>
      </c>
      <c r="AG1356" t="n">
        <v>5</v>
      </c>
      <c r="AH1356" t="n">
        <v>4</v>
      </c>
      <c r="AI1356" t="n">
        <v>4</v>
      </c>
      <c r="AJ1356" t="n">
        <v>9</v>
      </c>
      <c r="AK1356" t="n">
        <v>10</v>
      </c>
      <c r="AL1356" t="n">
        <v>1</v>
      </c>
      <c r="AM1356" t="n">
        <v>1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HYPERLINK("http://catalog.hathitrust.org/Record/000322860","HathiTrust Record")</f>
        <v/>
      </c>
      <c r="AS1356">
        <f>HYPERLINK("https://creighton-primo.hosted.exlibrisgroup.com/primo-explore/search?tab=default_tab&amp;search_scope=EVERYTHING&amp;vid=01CRU&amp;lang=en_US&amp;offset=0&amp;query=any,contains,991000129179702656","Catalog Record")</f>
        <v/>
      </c>
      <c r="AT1356">
        <f>HYPERLINK("http://www.worldcat.org/oclc/9110177","WorldCat Record")</f>
        <v/>
      </c>
      <c r="AU1356" t="inlineStr">
        <is>
          <t>795682620:eng</t>
        </is>
      </c>
      <c r="AV1356" t="inlineStr">
        <is>
          <t>9110177</t>
        </is>
      </c>
      <c r="AW1356" t="inlineStr">
        <is>
          <t>991000129179702656</t>
        </is>
      </c>
      <c r="AX1356" t="inlineStr">
        <is>
          <t>991000129179702656</t>
        </is>
      </c>
      <c r="AY1356" t="inlineStr">
        <is>
          <t>2268700630002656</t>
        </is>
      </c>
      <c r="AZ1356" t="inlineStr">
        <is>
          <t>BOOK</t>
        </is>
      </c>
      <c r="BB1356" t="inlineStr">
        <is>
          <t>9780306412233</t>
        </is>
      </c>
      <c r="BC1356" t="inlineStr">
        <is>
          <t>32285001642924</t>
        </is>
      </c>
      <c r="BD1356" t="inlineStr">
        <is>
          <t>893502261</t>
        </is>
      </c>
    </row>
    <row r="1357">
      <c r="A1357" t="inlineStr">
        <is>
          <t>No</t>
        </is>
      </c>
      <c r="B1357" t="inlineStr">
        <is>
          <t>QH546 .F7</t>
        </is>
      </c>
      <c r="C1357" t="inlineStr">
        <is>
          <t>0                      QH 0546000F  7</t>
        </is>
      </c>
      <c r="D1357" t="inlineStr">
        <is>
          <t>Complex adaptations in evolving populations / T. H. Frazzetta.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Frazzetta, T. H. (Thomas H.)</t>
        </is>
      </c>
      <c r="L1357" t="inlineStr">
        <is>
          <t>Sunderland, Mass. : Sinauer Associates, [1975]</t>
        </is>
      </c>
      <c r="M1357" t="inlineStr">
        <is>
          <t>1975</t>
        </is>
      </c>
      <c r="N1357" t="inlineStr">
        <is>
          <t>1st ed.</t>
        </is>
      </c>
      <c r="O1357" t="inlineStr">
        <is>
          <t>eng</t>
        </is>
      </c>
      <c r="P1357" t="inlineStr">
        <is>
          <t>mau</t>
        </is>
      </c>
      <c r="R1357" t="inlineStr">
        <is>
          <t xml:space="preserve">QH </t>
        </is>
      </c>
      <c r="S1357" t="n">
        <v>2</v>
      </c>
      <c r="T1357" t="n">
        <v>2</v>
      </c>
      <c r="U1357" t="inlineStr">
        <is>
          <t>2010-09-28</t>
        </is>
      </c>
      <c r="V1357" t="inlineStr">
        <is>
          <t>2010-09-28</t>
        </is>
      </c>
      <c r="W1357" t="inlineStr">
        <is>
          <t>1997-07-03</t>
        </is>
      </c>
      <c r="X1357" t="inlineStr">
        <is>
          <t>1997-07-03</t>
        </is>
      </c>
      <c r="Y1357" t="n">
        <v>382</v>
      </c>
      <c r="Z1357" t="n">
        <v>296</v>
      </c>
      <c r="AA1357" t="n">
        <v>302</v>
      </c>
      <c r="AB1357" t="n">
        <v>3</v>
      </c>
      <c r="AC1357" t="n">
        <v>3</v>
      </c>
      <c r="AD1357" t="n">
        <v>11</v>
      </c>
      <c r="AE1357" t="n">
        <v>11</v>
      </c>
      <c r="AF1357" t="n">
        <v>2</v>
      </c>
      <c r="AG1357" t="n">
        <v>2</v>
      </c>
      <c r="AH1357" t="n">
        <v>5</v>
      </c>
      <c r="AI1357" t="n">
        <v>5</v>
      </c>
      <c r="AJ1357" t="n">
        <v>4</v>
      </c>
      <c r="AK1357" t="n">
        <v>4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HYPERLINK("http://catalog.hathitrust.org/Record/001492853","HathiTrust Record")</f>
        <v/>
      </c>
      <c r="AS1357">
        <f>HYPERLINK("https://creighton-primo.hosted.exlibrisgroup.com/primo-explore/search?tab=default_tab&amp;search_scope=EVERYTHING&amp;vid=01CRU&amp;lang=en_US&amp;offset=0&amp;query=any,contains,991003677039702656","Catalog Record")</f>
        <v/>
      </c>
      <c r="AT1357">
        <f>HYPERLINK("http://www.worldcat.org/oclc/1299447","WorldCat Record")</f>
        <v/>
      </c>
      <c r="AU1357" t="inlineStr">
        <is>
          <t>52347650:eng</t>
        </is>
      </c>
      <c r="AV1357" t="inlineStr">
        <is>
          <t>1299447</t>
        </is>
      </c>
      <c r="AW1357" t="inlineStr">
        <is>
          <t>991003677039702656</t>
        </is>
      </c>
      <c r="AX1357" t="inlineStr">
        <is>
          <t>991003677039702656</t>
        </is>
      </c>
      <c r="AY1357" t="inlineStr">
        <is>
          <t>2261477910002656</t>
        </is>
      </c>
      <c r="AZ1357" t="inlineStr">
        <is>
          <t>BOOK</t>
        </is>
      </c>
      <c r="BB1357" t="inlineStr">
        <is>
          <t>9780878931941</t>
        </is>
      </c>
      <c r="BC1357" t="inlineStr">
        <is>
          <t>32285002913704</t>
        </is>
      </c>
      <c r="BD1357" t="inlineStr">
        <is>
          <t>893531477</t>
        </is>
      </c>
    </row>
    <row r="1358">
      <c r="A1358" t="inlineStr">
        <is>
          <t>No</t>
        </is>
      </c>
      <c r="B1358" t="inlineStr">
        <is>
          <t>QH546 .H63 1997</t>
        </is>
      </c>
      <c r="C1358" t="inlineStr">
        <is>
          <t>0                      QH 0546000H  63          1997</t>
        </is>
      </c>
      <c r="D1358" t="inlineStr">
        <is>
          <t>Extreme environmental change and evolution / Ary A. Hoffmann, Peter A. Parsons.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Hoffmann, Ary A.</t>
        </is>
      </c>
      <c r="L1358" t="inlineStr">
        <is>
          <t>Cambridge ; New York : Cambridge University Press, 1997.</t>
        </is>
      </c>
      <c r="M1358" t="inlineStr">
        <is>
          <t>1997</t>
        </is>
      </c>
      <c r="O1358" t="inlineStr">
        <is>
          <t>eng</t>
        </is>
      </c>
      <c r="P1358" t="inlineStr">
        <is>
          <t>enk</t>
        </is>
      </c>
      <c r="R1358" t="inlineStr">
        <is>
          <t xml:space="preserve">QH </t>
        </is>
      </c>
      <c r="S1358" t="n">
        <v>3</v>
      </c>
      <c r="T1358" t="n">
        <v>3</v>
      </c>
      <c r="U1358" t="inlineStr">
        <is>
          <t>2010-09-28</t>
        </is>
      </c>
      <c r="V1358" t="inlineStr">
        <is>
          <t>2010-09-28</t>
        </is>
      </c>
      <c r="W1358" t="inlineStr">
        <is>
          <t>1999-02-09</t>
        </is>
      </c>
      <c r="X1358" t="inlineStr">
        <is>
          <t>1999-02-09</t>
        </is>
      </c>
      <c r="Y1358" t="n">
        <v>495</v>
      </c>
      <c r="Z1358" t="n">
        <v>378</v>
      </c>
      <c r="AA1358" t="n">
        <v>383</v>
      </c>
      <c r="AB1358" t="n">
        <v>4</v>
      </c>
      <c r="AC1358" t="n">
        <v>4</v>
      </c>
      <c r="AD1358" t="n">
        <v>18</v>
      </c>
      <c r="AE1358" t="n">
        <v>18</v>
      </c>
      <c r="AF1358" t="n">
        <v>5</v>
      </c>
      <c r="AG1358" t="n">
        <v>5</v>
      </c>
      <c r="AH1358" t="n">
        <v>3</v>
      </c>
      <c r="AI1358" t="n">
        <v>3</v>
      </c>
      <c r="AJ1358" t="n">
        <v>11</v>
      </c>
      <c r="AK1358" t="n">
        <v>11</v>
      </c>
      <c r="AL1358" t="n">
        <v>3</v>
      </c>
      <c r="AM1358" t="n">
        <v>3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No</t>
        </is>
      </c>
      <c r="AS1358">
        <f>HYPERLINK("https://creighton-primo.hosted.exlibrisgroup.com/primo-explore/search?tab=default_tab&amp;search_scope=EVERYTHING&amp;vid=01CRU&amp;lang=en_US&amp;offset=0&amp;query=any,contains,991002726139702656","Catalog Record")</f>
        <v/>
      </c>
      <c r="AT1358">
        <f>HYPERLINK("http://www.worldcat.org/oclc/35758247","WorldCat Record")</f>
        <v/>
      </c>
      <c r="AU1358" t="inlineStr">
        <is>
          <t>40251789:eng</t>
        </is>
      </c>
      <c r="AV1358" t="inlineStr">
        <is>
          <t>35758247</t>
        </is>
      </c>
      <c r="AW1358" t="inlineStr">
        <is>
          <t>991002726139702656</t>
        </is>
      </c>
      <c r="AX1358" t="inlineStr">
        <is>
          <t>991002726139702656</t>
        </is>
      </c>
      <c r="AY1358" t="inlineStr">
        <is>
          <t>2260273400002656</t>
        </is>
      </c>
      <c r="AZ1358" t="inlineStr">
        <is>
          <t>BOOK</t>
        </is>
      </c>
      <c r="BB1358" t="inlineStr">
        <is>
          <t>9780521441070</t>
        </is>
      </c>
      <c r="BC1358" t="inlineStr">
        <is>
          <t>32285003518197</t>
        </is>
      </c>
      <c r="BD1358" t="inlineStr">
        <is>
          <t>893880322</t>
        </is>
      </c>
    </row>
    <row r="1359">
      <c r="A1359" t="inlineStr">
        <is>
          <t>No</t>
        </is>
      </c>
      <c r="B1359" t="inlineStr">
        <is>
          <t>QH546 .M285 1999</t>
        </is>
      </c>
      <c r="C1359" t="inlineStr">
        <is>
          <t>0                      QH 0546000M  285         1999</t>
        </is>
      </c>
      <c r="D1359" t="inlineStr">
        <is>
          <t>Shaping life : genes, embryos, and evolution / John Maynard Smith.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Maynard Smith, John, 1920-2004.</t>
        </is>
      </c>
      <c r="L1359" t="inlineStr">
        <is>
          <t>New Haven : Yale University Press, 1999.</t>
        </is>
      </c>
      <c r="M1359" t="inlineStr">
        <is>
          <t>1999</t>
        </is>
      </c>
      <c r="O1359" t="inlineStr">
        <is>
          <t>eng</t>
        </is>
      </c>
      <c r="P1359" t="inlineStr">
        <is>
          <t>ctu</t>
        </is>
      </c>
      <c r="R1359" t="inlineStr">
        <is>
          <t xml:space="preserve">QH </t>
        </is>
      </c>
      <c r="S1359" t="n">
        <v>4</v>
      </c>
      <c r="T1359" t="n">
        <v>4</v>
      </c>
      <c r="U1359" t="inlineStr">
        <is>
          <t>2002-04-12</t>
        </is>
      </c>
      <c r="V1359" t="inlineStr">
        <is>
          <t>2002-04-12</t>
        </is>
      </c>
      <c r="W1359" t="inlineStr">
        <is>
          <t>2000-09-18</t>
        </is>
      </c>
      <c r="X1359" t="inlineStr">
        <is>
          <t>2000-09-18</t>
        </is>
      </c>
      <c r="Y1359" t="n">
        <v>386</v>
      </c>
      <c r="Z1359" t="n">
        <v>357</v>
      </c>
      <c r="AA1359" t="n">
        <v>378</v>
      </c>
      <c r="AB1359" t="n">
        <v>4</v>
      </c>
      <c r="AC1359" t="n">
        <v>4</v>
      </c>
      <c r="AD1359" t="n">
        <v>20</v>
      </c>
      <c r="AE1359" t="n">
        <v>20</v>
      </c>
      <c r="AF1359" t="n">
        <v>7</v>
      </c>
      <c r="AG1359" t="n">
        <v>7</v>
      </c>
      <c r="AH1359" t="n">
        <v>4</v>
      </c>
      <c r="AI1359" t="n">
        <v>4</v>
      </c>
      <c r="AJ1359" t="n">
        <v>11</v>
      </c>
      <c r="AK1359" t="n">
        <v>11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HYPERLINK("https://creighton-primo.hosted.exlibrisgroup.com/primo-explore/search?tab=default_tab&amp;search_scope=EVERYTHING&amp;vid=01CRU&amp;lang=en_US&amp;offset=0&amp;query=any,contains,991003262449702656","Catalog Record")</f>
        <v/>
      </c>
      <c r="AT1359">
        <f>HYPERLINK("http://www.worldcat.org/oclc/41137484","WorldCat Record")</f>
        <v/>
      </c>
      <c r="AU1359" t="inlineStr">
        <is>
          <t>231114831:eng</t>
        </is>
      </c>
      <c r="AV1359" t="inlineStr">
        <is>
          <t>41137484</t>
        </is>
      </c>
      <c r="AW1359" t="inlineStr">
        <is>
          <t>991003262449702656</t>
        </is>
      </c>
      <c r="AX1359" t="inlineStr">
        <is>
          <t>991003262449702656</t>
        </is>
      </c>
      <c r="AY1359" t="inlineStr">
        <is>
          <t>2265081870002656</t>
        </is>
      </c>
      <c r="AZ1359" t="inlineStr">
        <is>
          <t>BOOK</t>
        </is>
      </c>
      <c r="BB1359" t="inlineStr">
        <is>
          <t>9780300080223</t>
        </is>
      </c>
      <c r="BC1359" t="inlineStr">
        <is>
          <t>32285003762910</t>
        </is>
      </c>
      <c r="BD1359" t="inlineStr">
        <is>
          <t>893422367</t>
        </is>
      </c>
    </row>
    <row r="1360">
      <c r="A1360" t="inlineStr">
        <is>
          <t>No</t>
        </is>
      </c>
      <c r="B1360" t="inlineStr">
        <is>
          <t>QH546 .P653</t>
        </is>
      </c>
      <c r="C1360" t="inlineStr">
        <is>
          <t>0                      QH 0546000P  653</t>
        </is>
      </c>
      <c r="D1360" t="inlineStr">
        <is>
          <t>Animal camouflage / [Translated by A. J. Pomerans]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Portmann, Adolf, 1897-1982.</t>
        </is>
      </c>
      <c r="L1360" t="inlineStr">
        <is>
          <t>Ann Arbor : University of Michigan Press, [1959]</t>
        </is>
      </c>
      <c r="M1360" t="inlineStr">
        <is>
          <t>1959</t>
        </is>
      </c>
      <c r="O1360" t="inlineStr">
        <is>
          <t>eng</t>
        </is>
      </c>
      <c r="P1360" t="inlineStr">
        <is>
          <t>miu</t>
        </is>
      </c>
      <c r="Q1360" t="inlineStr">
        <is>
          <t>Ann Arbor science library</t>
        </is>
      </c>
      <c r="R1360" t="inlineStr">
        <is>
          <t xml:space="preserve">QH </t>
        </is>
      </c>
      <c r="S1360" t="n">
        <v>17</v>
      </c>
      <c r="T1360" t="n">
        <v>17</v>
      </c>
      <c r="U1360" t="inlineStr">
        <is>
          <t>2009-03-24</t>
        </is>
      </c>
      <c r="V1360" t="inlineStr">
        <is>
          <t>2009-03-24</t>
        </is>
      </c>
      <c r="W1360" t="inlineStr">
        <is>
          <t>1995-04-24</t>
        </is>
      </c>
      <c r="X1360" t="inlineStr">
        <is>
          <t>1995-04-24</t>
        </is>
      </c>
      <c r="Y1360" t="n">
        <v>855</v>
      </c>
      <c r="Z1360" t="n">
        <v>768</v>
      </c>
      <c r="AA1360" t="n">
        <v>787</v>
      </c>
      <c r="AB1360" t="n">
        <v>6</v>
      </c>
      <c r="AC1360" t="n">
        <v>6</v>
      </c>
      <c r="AD1360" t="n">
        <v>23</v>
      </c>
      <c r="AE1360" t="n">
        <v>25</v>
      </c>
      <c r="AF1360" t="n">
        <v>7</v>
      </c>
      <c r="AG1360" t="n">
        <v>7</v>
      </c>
      <c r="AH1360" t="n">
        <v>3</v>
      </c>
      <c r="AI1360" t="n">
        <v>3</v>
      </c>
      <c r="AJ1360" t="n">
        <v>11</v>
      </c>
      <c r="AK1360" t="n">
        <v>11</v>
      </c>
      <c r="AL1360" t="n">
        <v>5</v>
      </c>
      <c r="AM1360" t="n">
        <v>5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HYPERLINK("http://catalog.hathitrust.org/Record/001492859","HathiTrust Record")</f>
        <v/>
      </c>
      <c r="AS1360">
        <f>HYPERLINK("https://creighton-primo.hosted.exlibrisgroup.com/primo-explore/search?tab=default_tab&amp;search_scope=EVERYTHING&amp;vid=01CRU&amp;lang=en_US&amp;offset=0&amp;query=any,contains,991002981799702656","Catalog Record")</f>
        <v/>
      </c>
      <c r="AT1360">
        <f>HYPERLINK("http://www.worldcat.org/oclc/555376","WorldCat Record")</f>
        <v/>
      </c>
      <c r="AU1360" t="inlineStr">
        <is>
          <t>1150911804:eng</t>
        </is>
      </c>
      <c r="AV1360" t="inlineStr">
        <is>
          <t>555376</t>
        </is>
      </c>
      <c r="AW1360" t="inlineStr">
        <is>
          <t>991002981799702656</t>
        </is>
      </c>
      <c r="AX1360" t="inlineStr">
        <is>
          <t>991002981799702656</t>
        </is>
      </c>
      <c r="AY1360" t="inlineStr">
        <is>
          <t>2260376200002656</t>
        </is>
      </c>
      <c r="AZ1360" t="inlineStr">
        <is>
          <t>BOOK</t>
        </is>
      </c>
      <c r="BC1360" t="inlineStr">
        <is>
          <t>32285002028297</t>
        </is>
      </c>
      <c r="BD1360" t="inlineStr">
        <is>
          <t>893686041</t>
        </is>
      </c>
    </row>
    <row r="1361">
      <c r="A1361" t="inlineStr">
        <is>
          <t>No</t>
        </is>
      </c>
      <c r="B1361" t="inlineStr">
        <is>
          <t>QH546 .R5 1983</t>
        </is>
      </c>
      <c r="C1361" t="inlineStr">
        <is>
          <t>0                      QH 0546000R  5           1983</t>
        </is>
      </c>
      <c r="D1361" t="inlineStr">
        <is>
          <t>The explanation of organic diversity : the comparative method and adaptations for mating / by Mark Ridley.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K1361" t="inlineStr">
        <is>
          <t>Ridley, Mark.</t>
        </is>
      </c>
      <c r="L1361" t="inlineStr">
        <is>
          <t>Oxford : Clarendon Press, 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QH </t>
        </is>
      </c>
      <c r="S1361" t="n">
        <v>6</v>
      </c>
      <c r="T1361" t="n">
        <v>6</v>
      </c>
      <c r="U1361" t="inlineStr">
        <is>
          <t>1998-02-22</t>
        </is>
      </c>
      <c r="V1361" t="inlineStr">
        <is>
          <t>1998-02-22</t>
        </is>
      </c>
      <c r="W1361" t="inlineStr">
        <is>
          <t>1993-05-03</t>
        </is>
      </c>
      <c r="X1361" t="inlineStr">
        <is>
          <t>1993-05-03</t>
        </is>
      </c>
      <c r="Y1361" t="n">
        <v>256</v>
      </c>
      <c r="Z1361" t="n">
        <v>183</v>
      </c>
      <c r="AA1361" t="n">
        <v>191</v>
      </c>
      <c r="AB1361" t="n">
        <v>3</v>
      </c>
      <c r="AC1361" t="n">
        <v>3</v>
      </c>
      <c r="AD1361" t="n">
        <v>7</v>
      </c>
      <c r="AE1361" t="n">
        <v>7</v>
      </c>
      <c r="AF1361" t="n">
        <v>1</v>
      </c>
      <c r="AG1361" t="n">
        <v>1</v>
      </c>
      <c r="AH1361" t="n">
        <v>3</v>
      </c>
      <c r="AI1361" t="n">
        <v>3</v>
      </c>
      <c r="AJ1361" t="n">
        <v>4</v>
      </c>
      <c r="AK1361" t="n">
        <v>4</v>
      </c>
      <c r="AL1361" t="n">
        <v>2</v>
      </c>
      <c r="AM1361" t="n">
        <v>2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HYPERLINK("http://catalog.hathitrust.org/Record/000121033","HathiTrust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HYPERLINK("https://creighton-primo.hosted.exlibrisgroup.com/primo-explore/search?tab=default_tab&amp;search_scope=EVERYTHING&amp;vid=01CRU&amp;lang=en_US&amp;offset=0&amp;query=any,contains,991000361499702656","Catalog Record")</f>
        <v/>
      </c>
      <c r="AT1361">
        <f>HYPERLINK("http://www.worldcat.org/oclc/10372411","WorldCat Record")</f>
        <v/>
      </c>
      <c r="AU1361" t="inlineStr">
        <is>
          <t>3128856:eng</t>
        </is>
      </c>
      <c r="AV1361" t="inlineStr">
        <is>
          <t>10372411</t>
        </is>
      </c>
      <c r="AW1361" t="inlineStr">
        <is>
          <t>991000361499702656</t>
        </is>
      </c>
      <c r="AX1361" t="inlineStr">
        <is>
          <t>991000361499702656</t>
        </is>
      </c>
      <c r="AY1361" t="inlineStr">
        <is>
          <t>2258995860002656</t>
        </is>
      </c>
      <c r="AZ1361" t="inlineStr">
        <is>
          <t>BOOK</t>
        </is>
      </c>
      <c r="BB1361" t="inlineStr">
        <is>
          <t>9780198575979</t>
        </is>
      </c>
      <c r="BC1361" t="inlineStr">
        <is>
          <t>32285001642957</t>
        </is>
      </c>
      <c r="BD1361" t="inlineStr">
        <is>
          <t>893702038</t>
        </is>
      </c>
    </row>
    <row r="1362">
      <c r="A1362" t="inlineStr">
        <is>
          <t>No</t>
        </is>
      </c>
      <c r="B1362" t="inlineStr">
        <is>
          <t>QH546 .R58 1996</t>
        </is>
      </c>
      <c r="C1362" t="inlineStr">
        <is>
          <t>0                      QH 0546000R  58          1996</t>
        </is>
      </c>
      <c r="D1362" t="inlineStr">
        <is>
          <t>Adaptation / edited by Michael R. Rose, George V. Lauder.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San Diego : Academic Press, c1996.</t>
        </is>
      </c>
      <c r="M1362" t="inlineStr">
        <is>
          <t>1996</t>
        </is>
      </c>
      <c r="O1362" t="inlineStr">
        <is>
          <t>eng</t>
        </is>
      </c>
      <c r="P1362" t="inlineStr">
        <is>
          <t>cau</t>
        </is>
      </c>
      <c r="R1362" t="inlineStr">
        <is>
          <t xml:space="preserve">QH </t>
        </is>
      </c>
      <c r="S1362" t="n">
        <v>6</v>
      </c>
      <c r="T1362" t="n">
        <v>6</v>
      </c>
      <c r="U1362" t="inlineStr">
        <is>
          <t>2008-02-25</t>
        </is>
      </c>
      <c r="V1362" t="inlineStr">
        <is>
          <t>2008-02-25</t>
        </is>
      </c>
      <c r="W1362" t="inlineStr">
        <is>
          <t>1997-10-02</t>
        </is>
      </c>
      <c r="X1362" t="inlineStr">
        <is>
          <t>1997-10-02</t>
        </is>
      </c>
      <c r="Y1362" t="n">
        <v>476</v>
      </c>
      <c r="Z1362" t="n">
        <v>363</v>
      </c>
      <c r="AA1362" t="n">
        <v>366</v>
      </c>
      <c r="AB1362" t="n">
        <v>2</v>
      </c>
      <c r="AC1362" t="n">
        <v>2</v>
      </c>
      <c r="AD1362" t="n">
        <v>14</v>
      </c>
      <c r="AE1362" t="n">
        <v>14</v>
      </c>
      <c r="AF1362" t="n">
        <v>6</v>
      </c>
      <c r="AG1362" t="n">
        <v>6</v>
      </c>
      <c r="AH1362" t="n">
        <v>4</v>
      </c>
      <c r="AI1362" t="n">
        <v>4</v>
      </c>
      <c r="AJ1362" t="n">
        <v>8</v>
      </c>
      <c r="AK1362" t="n">
        <v>8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HYPERLINK("http://catalog.hathitrust.org/Record/004570390","HathiTrust Record")</f>
        <v/>
      </c>
      <c r="AS1362">
        <f>HYPERLINK("https://creighton-primo.hosted.exlibrisgroup.com/primo-explore/search?tab=default_tab&amp;search_scope=EVERYTHING&amp;vid=01CRU&amp;lang=en_US&amp;offset=0&amp;query=any,contains,991002614859702656","Catalog Record")</f>
        <v/>
      </c>
      <c r="AT1362">
        <f>HYPERLINK("http://www.worldcat.org/oclc/34282501","WorldCat Record")</f>
        <v/>
      </c>
      <c r="AU1362" t="inlineStr">
        <is>
          <t>3856853448:eng</t>
        </is>
      </c>
      <c r="AV1362" t="inlineStr">
        <is>
          <t>34282501</t>
        </is>
      </c>
      <c r="AW1362" t="inlineStr">
        <is>
          <t>991002614859702656</t>
        </is>
      </c>
      <c r="AX1362" t="inlineStr">
        <is>
          <t>991002614859702656</t>
        </is>
      </c>
      <c r="AY1362" t="inlineStr">
        <is>
          <t>2259524490002656</t>
        </is>
      </c>
      <c r="AZ1362" t="inlineStr">
        <is>
          <t>BOOK</t>
        </is>
      </c>
      <c r="BB1362" t="inlineStr">
        <is>
          <t>9780125964203</t>
        </is>
      </c>
      <c r="BC1362" t="inlineStr">
        <is>
          <t>32285003252268</t>
        </is>
      </c>
      <c r="BD1362" t="inlineStr">
        <is>
          <t>893233182</t>
        </is>
      </c>
    </row>
    <row r="1363">
      <c r="A1363" t="inlineStr">
        <is>
          <t>No</t>
        </is>
      </c>
      <c r="B1363" t="inlineStr">
        <is>
          <t>QH546 .S36 1998</t>
        </is>
      </c>
      <c r="C1363" t="inlineStr">
        <is>
          <t>0                      QH 0546000S  36          1998</t>
        </is>
      </c>
      <c r="D1363" t="inlineStr">
        <is>
          <t>Phenotypic evolution : a reaction norm perspective / Carl D. Schlichting, Massimo Pigliucci.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Schlichting, Carl.</t>
        </is>
      </c>
      <c r="L1363" t="inlineStr">
        <is>
          <t>Sunderland, Mass. : Sinauer,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mau</t>
        </is>
      </c>
      <c r="R1363" t="inlineStr">
        <is>
          <t xml:space="preserve">QH </t>
        </is>
      </c>
      <c r="S1363" t="n">
        <v>2</v>
      </c>
      <c r="T1363" t="n">
        <v>2</v>
      </c>
      <c r="U1363" t="inlineStr">
        <is>
          <t>2000-10-04</t>
        </is>
      </c>
      <c r="V1363" t="inlineStr">
        <is>
          <t>2000-10-04</t>
        </is>
      </c>
      <c r="W1363" t="inlineStr">
        <is>
          <t>2000-10-04</t>
        </is>
      </c>
      <c r="X1363" t="inlineStr">
        <is>
          <t>2000-10-04</t>
        </is>
      </c>
      <c r="Y1363" t="n">
        <v>400</v>
      </c>
      <c r="Z1363" t="n">
        <v>293</v>
      </c>
      <c r="AA1363" t="n">
        <v>295</v>
      </c>
      <c r="AB1363" t="n">
        <v>3</v>
      </c>
      <c r="AC1363" t="n">
        <v>3</v>
      </c>
      <c r="AD1363" t="n">
        <v>16</v>
      </c>
      <c r="AE1363" t="n">
        <v>16</v>
      </c>
      <c r="AF1363" t="n">
        <v>6</v>
      </c>
      <c r="AG1363" t="n">
        <v>6</v>
      </c>
      <c r="AH1363" t="n">
        <v>4</v>
      </c>
      <c r="AI1363" t="n">
        <v>4</v>
      </c>
      <c r="AJ1363" t="n">
        <v>8</v>
      </c>
      <c r="AK1363" t="n">
        <v>8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HYPERLINK("https://creighton-primo.hosted.exlibrisgroup.com/primo-explore/search?tab=default_tab&amp;search_scope=EVERYTHING&amp;vid=01CRU&amp;lang=en_US&amp;offset=0&amp;query=any,contains,991003263279702656","Catalog Record")</f>
        <v/>
      </c>
      <c r="AT1363">
        <f>HYPERLINK("http://www.worldcat.org/oclc/39013654","WorldCat Record")</f>
        <v/>
      </c>
      <c r="AU1363" t="inlineStr">
        <is>
          <t>863823963:eng</t>
        </is>
      </c>
      <c r="AV1363" t="inlineStr">
        <is>
          <t>39013654</t>
        </is>
      </c>
      <c r="AW1363" t="inlineStr">
        <is>
          <t>991003263279702656</t>
        </is>
      </c>
      <c r="AX1363" t="inlineStr">
        <is>
          <t>991003263279702656</t>
        </is>
      </c>
      <c r="AY1363" t="inlineStr">
        <is>
          <t>2260800390002656</t>
        </is>
      </c>
      <c r="AZ1363" t="inlineStr">
        <is>
          <t>BOOK</t>
        </is>
      </c>
      <c r="BB1363" t="inlineStr">
        <is>
          <t>9780878937998</t>
        </is>
      </c>
      <c r="BC1363" t="inlineStr">
        <is>
          <t>32285003766580</t>
        </is>
      </c>
      <c r="BD1363" t="inlineStr">
        <is>
          <t>893323933</t>
        </is>
      </c>
    </row>
    <row r="1364">
      <c r="A1364" t="inlineStr">
        <is>
          <t>No</t>
        </is>
      </c>
      <c r="B1364" t="inlineStr">
        <is>
          <t>QH546 .W556 1997</t>
        </is>
      </c>
      <c r="C1364" t="inlineStr">
        <is>
          <t>0                      QH 0546000W  556         1997</t>
        </is>
      </c>
      <c r="D1364" t="inlineStr">
        <is>
          <t>The pony fish's glow : and other clues to plan and purpose in nature / George C. Williams.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Williams, George C. (George Christopher), 1926-2010.</t>
        </is>
      </c>
      <c r="L1364" t="inlineStr">
        <is>
          <t>New York, NY : BasicBooks, c1997.</t>
        </is>
      </c>
      <c r="M1364" t="inlineStr">
        <is>
          <t>1997</t>
        </is>
      </c>
      <c r="N1364" t="inlineStr">
        <is>
          <t>1st ed.</t>
        </is>
      </c>
      <c r="O1364" t="inlineStr">
        <is>
          <t>eng</t>
        </is>
      </c>
      <c r="P1364" t="inlineStr">
        <is>
          <t>nyu</t>
        </is>
      </c>
      <c r="Q1364" t="inlineStr">
        <is>
          <t>Science masters series</t>
        </is>
      </c>
      <c r="R1364" t="inlineStr">
        <is>
          <t xml:space="preserve">QH </t>
        </is>
      </c>
      <c r="S1364" t="n">
        <v>5</v>
      </c>
      <c r="T1364" t="n">
        <v>5</v>
      </c>
      <c r="U1364" t="inlineStr">
        <is>
          <t>1997-12-05</t>
        </is>
      </c>
      <c r="V1364" t="inlineStr">
        <is>
          <t>1997-12-05</t>
        </is>
      </c>
      <c r="W1364" t="inlineStr">
        <is>
          <t>1997-09-11</t>
        </is>
      </c>
      <c r="X1364" t="inlineStr">
        <is>
          <t>1997-09-11</t>
        </is>
      </c>
      <c r="Y1364" t="n">
        <v>523</v>
      </c>
      <c r="Z1364" t="n">
        <v>482</v>
      </c>
      <c r="AA1364" t="n">
        <v>513</v>
      </c>
      <c r="AB1364" t="n">
        <v>3</v>
      </c>
      <c r="AC1364" t="n">
        <v>3</v>
      </c>
      <c r="AD1364" t="n">
        <v>20</v>
      </c>
      <c r="AE1364" t="n">
        <v>20</v>
      </c>
      <c r="AF1364" t="n">
        <v>9</v>
      </c>
      <c r="AG1364" t="n">
        <v>9</v>
      </c>
      <c r="AH1364" t="n">
        <v>4</v>
      </c>
      <c r="AI1364" t="n">
        <v>4</v>
      </c>
      <c r="AJ1364" t="n">
        <v>10</v>
      </c>
      <c r="AK1364" t="n">
        <v>10</v>
      </c>
      <c r="AL1364" t="n">
        <v>2</v>
      </c>
      <c r="AM1364" t="n">
        <v>2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HYPERLINK("https://creighton-primo.hosted.exlibrisgroup.com/primo-explore/search?tab=default_tab&amp;search_scope=EVERYTHING&amp;vid=01CRU&amp;lang=en_US&amp;offset=0&amp;query=any,contains,991002743199702656","Catalog Record")</f>
        <v/>
      </c>
      <c r="AT1364">
        <f>HYPERLINK("http://www.worldcat.org/oclc/36011734","WorldCat Record")</f>
        <v/>
      </c>
      <c r="AU1364" t="inlineStr">
        <is>
          <t>1173736223:eng</t>
        </is>
      </c>
      <c r="AV1364" t="inlineStr">
        <is>
          <t>36011734</t>
        </is>
      </c>
      <c r="AW1364" t="inlineStr">
        <is>
          <t>991002743199702656</t>
        </is>
      </c>
      <c r="AX1364" t="inlineStr">
        <is>
          <t>991002743199702656</t>
        </is>
      </c>
      <c r="AY1364" t="inlineStr">
        <is>
          <t>2254724770002656</t>
        </is>
      </c>
      <c r="AZ1364" t="inlineStr">
        <is>
          <t>BOOK</t>
        </is>
      </c>
      <c r="BB1364" t="inlineStr">
        <is>
          <t>9780465072811</t>
        </is>
      </c>
      <c r="BC1364" t="inlineStr">
        <is>
          <t>32285003175337</t>
        </is>
      </c>
      <c r="BD1364" t="inlineStr">
        <is>
          <t>893427960</t>
        </is>
      </c>
    </row>
    <row r="1365">
      <c r="A1365" t="inlineStr">
        <is>
          <t>No</t>
        </is>
      </c>
      <c r="B1365" t="inlineStr">
        <is>
          <t>QH546.3 .M635 1997</t>
        </is>
      </c>
      <c r="C1365" t="inlineStr">
        <is>
          <t>0                      QH 0546300M  635         1997</t>
        </is>
      </c>
      <c r="D1365" t="inlineStr">
        <is>
          <t>The evolution of sibling rivalry / Douglas W. Mock and Geoffrey A. Parker.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Mock, Douglas W.</t>
        </is>
      </c>
      <c r="L1365" t="inlineStr">
        <is>
          <t>Oxford ; New York : Oxford University Press, 1997.</t>
        </is>
      </c>
      <c r="M1365" t="inlineStr">
        <is>
          <t>1997</t>
        </is>
      </c>
      <c r="O1365" t="inlineStr">
        <is>
          <t>eng</t>
        </is>
      </c>
      <c r="P1365" t="inlineStr">
        <is>
          <t>enk</t>
        </is>
      </c>
      <c r="Q1365" t="inlineStr">
        <is>
          <t>Oxford series in ecology and evolution</t>
        </is>
      </c>
      <c r="R1365" t="inlineStr">
        <is>
          <t xml:space="preserve">QH </t>
        </is>
      </c>
      <c r="S1365" t="n">
        <v>5</v>
      </c>
      <c r="T1365" t="n">
        <v>5</v>
      </c>
      <c r="U1365" t="inlineStr">
        <is>
          <t>2001-11-27</t>
        </is>
      </c>
      <c r="V1365" t="inlineStr">
        <is>
          <t>2001-11-27</t>
        </is>
      </c>
      <c r="W1365" t="inlineStr">
        <is>
          <t>1998-03-20</t>
        </is>
      </c>
      <c r="X1365" t="inlineStr">
        <is>
          <t>1998-03-20</t>
        </is>
      </c>
      <c r="Y1365" t="n">
        <v>317</v>
      </c>
      <c r="Z1365" t="n">
        <v>224</v>
      </c>
      <c r="AA1365" t="n">
        <v>225</v>
      </c>
      <c r="AB1365" t="n">
        <v>3</v>
      </c>
      <c r="AC1365" t="n">
        <v>3</v>
      </c>
      <c r="AD1365" t="n">
        <v>11</v>
      </c>
      <c r="AE1365" t="n">
        <v>11</v>
      </c>
      <c r="AF1365" t="n">
        <v>4</v>
      </c>
      <c r="AG1365" t="n">
        <v>4</v>
      </c>
      <c r="AH1365" t="n">
        <v>2</v>
      </c>
      <c r="AI1365" t="n">
        <v>2</v>
      </c>
      <c r="AJ1365" t="n">
        <v>7</v>
      </c>
      <c r="AK1365" t="n">
        <v>7</v>
      </c>
      <c r="AL1365" t="n">
        <v>2</v>
      </c>
      <c r="AM1365" t="n">
        <v>2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HYPERLINK("http://catalog.hathitrust.org/Record/003943268","HathiTrust Record")</f>
        <v/>
      </c>
      <c r="AS1365">
        <f>HYPERLINK("https://creighton-primo.hosted.exlibrisgroup.com/primo-explore/search?tab=default_tab&amp;search_scope=EVERYTHING&amp;vid=01CRU&amp;lang=en_US&amp;offset=0&amp;query=any,contains,991002837659702656","Catalog Record")</f>
        <v/>
      </c>
      <c r="AT1365">
        <f>HYPERLINK("http://www.worldcat.org/oclc/37370665","WorldCat Record")</f>
        <v/>
      </c>
      <c r="AU1365" t="inlineStr">
        <is>
          <t>599623:eng</t>
        </is>
      </c>
      <c r="AV1365" t="inlineStr">
        <is>
          <t>37370665</t>
        </is>
      </c>
      <c r="AW1365" t="inlineStr">
        <is>
          <t>991002837659702656</t>
        </is>
      </c>
      <c r="AX1365" t="inlineStr">
        <is>
          <t>991002837659702656</t>
        </is>
      </c>
      <c r="AY1365" t="inlineStr">
        <is>
          <t>2267259540002656</t>
        </is>
      </c>
      <c r="AZ1365" t="inlineStr">
        <is>
          <t>BOOK</t>
        </is>
      </c>
      <c r="BB1365" t="inlineStr">
        <is>
          <t>9780198577430</t>
        </is>
      </c>
      <c r="BC1365" t="inlineStr">
        <is>
          <t>32285003359261</t>
        </is>
      </c>
      <c r="BD1365" t="inlineStr">
        <is>
          <t>893440580</t>
        </is>
      </c>
    </row>
    <row r="1366">
      <c r="A1366" t="inlineStr">
        <is>
          <t>No</t>
        </is>
      </c>
      <c r="B1366" t="inlineStr">
        <is>
          <t>QH548 .A86</t>
        </is>
      </c>
      <c r="C1366" t="inlineStr">
        <is>
          <t>0                      QH 0548000A  86</t>
        </is>
      </c>
      <c r="D1366" t="inlineStr">
        <is>
          <t>Aspects of the biology of symbiosis / edited by Thomas C. Cheng.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Baltimore : University Park Press, [1971]</t>
        </is>
      </c>
      <c r="M1366" t="inlineStr">
        <is>
          <t>1971</t>
        </is>
      </c>
      <c r="O1366" t="inlineStr">
        <is>
          <t>eng</t>
        </is>
      </c>
      <c r="P1366" t="inlineStr">
        <is>
          <t>mdu</t>
        </is>
      </c>
      <c r="R1366" t="inlineStr">
        <is>
          <t xml:space="preserve">QH </t>
        </is>
      </c>
      <c r="S1366" t="n">
        <v>11</v>
      </c>
      <c r="T1366" t="n">
        <v>11</v>
      </c>
      <c r="U1366" t="inlineStr">
        <is>
          <t>2004-12-14</t>
        </is>
      </c>
      <c r="V1366" t="inlineStr">
        <is>
          <t>2004-12-14</t>
        </is>
      </c>
      <c r="W1366" t="inlineStr">
        <is>
          <t>1995-01-14</t>
        </is>
      </c>
      <c r="X1366" t="inlineStr">
        <is>
          <t>1995-01-14</t>
        </is>
      </c>
      <c r="Y1366" t="n">
        <v>660</v>
      </c>
      <c r="Z1366" t="n">
        <v>526</v>
      </c>
      <c r="AA1366" t="n">
        <v>533</v>
      </c>
      <c r="AB1366" t="n">
        <v>7</v>
      </c>
      <c r="AC1366" t="n">
        <v>7</v>
      </c>
      <c r="AD1366" t="n">
        <v>21</v>
      </c>
      <c r="AE1366" t="n">
        <v>21</v>
      </c>
      <c r="AF1366" t="n">
        <v>7</v>
      </c>
      <c r="AG1366" t="n">
        <v>7</v>
      </c>
      <c r="AH1366" t="n">
        <v>4</v>
      </c>
      <c r="AI1366" t="n">
        <v>4</v>
      </c>
      <c r="AJ1366" t="n">
        <v>11</v>
      </c>
      <c r="AK1366" t="n">
        <v>11</v>
      </c>
      <c r="AL1366" t="n">
        <v>5</v>
      </c>
      <c r="AM1366" t="n">
        <v>5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HYPERLINK("http://catalog.hathitrust.org/Record/000713261","HathiTrust Record")</f>
        <v/>
      </c>
      <c r="AS1366">
        <f>HYPERLINK("https://creighton-primo.hosted.exlibrisgroup.com/primo-explore/search?tab=default_tab&amp;search_scope=EVERYTHING&amp;vid=01CRU&amp;lang=en_US&amp;offset=0&amp;query=any,contains,991000833259702656","Catalog Record")</f>
        <v/>
      </c>
      <c r="AT1366">
        <f>HYPERLINK("http://www.worldcat.org/oclc/148337","WorldCat Record")</f>
        <v/>
      </c>
      <c r="AU1366" t="inlineStr">
        <is>
          <t>365341233:eng</t>
        </is>
      </c>
      <c r="AV1366" t="inlineStr">
        <is>
          <t>148337</t>
        </is>
      </c>
      <c r="AW1366" t="inlineStr">
        <is>
          <t>991000833259702656</t>
        </is>
      </c>
      <c r="AX1366" t="inlineStr">
        <is>
          <t>991000833259702656</t>
        </is>
      </c>
      <c r="AY1366" t="inlineStr">
        <is>
          <t>2259969610002656</t>
        </is>
      </c>
      <c r="AZ1366" t="inlineStr">
        <is>
          <t>BOOK</t>
        </is>
      </c>
      <c r="BB1366" t="inlineStr">
        <is>
          <t>9780839100393</t>
        </is>
      </c>
      <c r="BC1366" t="inlineStr">
        <is>
          <t>32285001986727</t>
        </is>
      </c>
      <c r="BD1366" t="inlineStr">
        <is>
          <t>893608321</t>
        </is>
      </c>
    </row>
    <row r="1367">
      <c r="A1367" t="inlineStr">
        <is>
          <t>No</t>
        </is>
      </c>
      <c r="B1367" t="inlineStr">
        <is>
          <t>QH548 .C46</t>
        </is>
      </c>
      <c r="C1367" t="inlineStr">
        <is>
          <t>0                      QH 0548000C  46</t>
        </is>
      </c>
      <c r="D1367" t="inlineStr">
        <is>
          <t>Symbiosis; organisms living together [by] Thomas C. Cheng.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Cheng, Thomas C. (Thomas Clement)</t>
        </is>
      </c>
      <c r="L1367" t="inlineStr">
        <is>
          <t>New York, Pegasus [1970]</t>
        </is>
      </c>
      <c r="M1367" t="inlineStr">
        <is>
          <t>1970</t>
        </is>
      </c>
      <c r="O1367" t="inlineStr">
        <is>
          <t>eng</t>
        </is>
      </c>
      <c r="P1367" t="inlineStr">
        <is>
          <t>nyu</t>
        </is>
      </c>
      <c r="Q1367" t="inlineStr">
        <is>
          <t>Pegasus topics in biological science</t>
        </is>
      </c>
      <c r="R1367" t="inlineStr">
        <is>
          <t xml:space="preserve">QH </t>
        </is>
      </c>
      <c r="S1367" t="n">
        <v>5</v>
      </c>
      <c r="T1367" t="n">
        <v>5</v>
      </c>
      <c r="U1367" t="inlineStr">
        <is>
          <t>2000-11-20</t>
        </is>
      </c>
      <c r="V1367" t="inlineStr">
        <is>
          <t>2000-11-20</t>
        </is>
      </c>
      <c r="W1367" t="inlineStr">
        <is>
          <t>1997-07-03</t>
        </is>
      </c>
      <c r="X1367" t="inlineStr">
        <is>
          <t>1997-07-03</t>
        </is>
      </c>
      <c r="Y1367" t="n">
        <v>437</v>
      </c>
      <c r="Z1367" t="n">
        <v>381</v>
      </c>
      <c r="AA1367" t="n">
        <v>389</v>
      </c>
      <c r="AB1367" t="n">
        <v>3</v>
      </c>
      <c r="AC1367" t="n">
        <v>3</v>
      </c>
      <c r="AD1367" t="n">
        <v>8</v>
      </c>
      <c r="AE1367" t="n">
        <v>8</v>
      </c>
      <c r="AF1367" t="n">
        <v>3</v>
      </c>
      <c r="AG1367" t="n">
        <v>3</v>
      </c>
      <c r="AH1367" t="n">
        <v>1</v>
      </c>
      <c r="AI1367" t="n">
        <v>1</v>
      </c>
      <c r="AJ1367" t="n">
        <v>3</v>
      </c>
      <c r="AK1367" t="n">
        <v>3</v>
      </c>
      <c r="AL1367" t="n">
        <v>2</v>
      </c>
      <c r="AM1367" t="n">
        <v>2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HYPERLINK("https://creighton-primo.hosted.exlibrisgroup.com/primo-explore/search?tab=default_tab&amp;search_scope=EVERYTHING&amp;vid=01CRU&amp;lang=en_US&amp;offset=0&amp;query=any,contains,991000549799702656","Catalog Record")</f>
        <v/>
      </c>
      <c r="AT1367">
        <f>HYPERLINK("http://www.worldcat.org/oclc/92326","WorldCat Record")</f>
        <v/>
      </c>
      <c r="AU1367" t="inlineStr">
        <is>
          <t>1305498:eng</t>
        </is>
      </c>
      <c r="AV1367" t="inlineStr">
        <is>
          <t>92326</t>
        </is>
      </c>
      <c r="AW1367" t="inlineStr">
        <is>
          <t>991000549799702656</t>
        </is>
      </c>
      <c r="AX1367" t="inlineStr">
        <is>
          <t>991000549799702656</t>
        </is>
      </c>
      <c r="AY1367" t="inlineStr">
        <is>
          <t>2262647060002656</t>
        </is>
      </c>
      <c r="AZ1367" t="inlineStr">
        <is>
          <t>BOOK</t>
        </is>
      </c>
      <c r="BC1367" t="inlineStr">
        <is>
          <t>32285002913753</t>
        </is>
      </c>
      <c r="BD1367" t="inlineStr">
        <is>
          <t>893878154</t>
        </is>
      </c>
    </row>
    <row r="1368">
      <c r="A1368" t="inlineStr">
        <is>
          <t>No</t>
        </is>
      </c>
      <c r="B1368" t="inlineStr">
        <is>
          <t>QH548 .H4</t>
        </is>
      </c>
      <c r="C1368" t="inlineStr">
        <is>
          <t>0                      QH 0548000H  4</t>
        </is>
      </c>
      <c r="D1368" t="inlineStr">
        <is>
          <t>Symbiosis / edited by S. Mark Henry.</t>
        </is>
      </c>
      <c r="E1368" t="inlineStr">
        <is>
          <t>V.1</t>
        </is>
      </c>
      <c r="F1368" t="inlineStr">
        <is>
          <t>Yes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Henry, S. Mark.</t>
        </is>
      </c>
      <c r="L1368" t="inlineStr">
        <is>
          <t>New York : Academic Press, 1966-67.</t>
        </is>
      </c>
      <c r="M1368" t="inlineStr">
        <is>
          <t>1966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QH </t>
        </is>
      </c>
      <c r="S1368" t="n">
        <v>20</v>
      </c>
      <c r="T1368" t="n">
        <v>27</v>
      </c>
      <c r="U1368" t="inlineStr">
        <is>
          <t>2009-04-06</t>
        </is>
      </c>
      <c r="V1368" t="inlineStr">
        <is>
          <t>2009-04-06</t>
        </is>
      </c>
      <c r="W1368" t="inlineStr">
        <is>
          <t>1994-01-27</t>
        </is>
      </c>
      <c r="X1368" t="inlineStr">
        <is>
          <t>1994-01-27</t>
        </is>
      </c>
      <c r="Y1368" t="n">
        <v>819</v>
      </c>
      <c r="Z1368" t="n">
        <v>668</v>
      </c>
      <c r="AA1368" t="n">
        <v>676</v>
      </c>
      <c r="AB1368" t="n">
        <v>5</v>
      </c>
      <c r="AC1368" t="n">
        <v>5</v>
      </c>
      <c r="AD1368" t="n">
        <v>24</v>
      </c>
      <c r="AE1368" t="n">
        <v>24</v>
      </c>
      <c r="AF1368" t="n">
        <v>9</v>
      </c>
      <c r="AG1368" t="n">
        <v>9</v>
      </c>
      <c r="AH1368" t="n">
        <v>3</v>
      </c>
      <c r="AI1368" t="n">
        <v>3</v>
      </c>
      <c r="AJ1368" t="n">
        <v>13</v>
      </c>
      <c r="AK1368" t="n">
        <v>13</v>
      </c>
      <c r="AL1368" t="n">
        <v>4</v>
      </c>
      <c r="AM1368" t="n">
        <v>4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HYPERLINK("http://catalog.hathitrust.org/Record/001492867","HathiTrust Record")</f>
        <v/>
      </c>
      <c r="AS1368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8">
        <f>HYPERLINK("http://www.worldcat.org/oclc/553112","WorldCat Record")</f>
        <v/>
      </c>
      <c r="AU1368" t="inlineStr">
        <is>
          <t>3944336074:eng</t>
        </is>
      </c>
      <c r="AV1368" t="inlineStr">
        <is>
          <t>553112</t>
        </is>
      </c>
      <c r="AW1368" t="inlineStr">
        <is>
          <t>991002977989702656</t>
        </is>
      </c>
      <c r="AX1368" t="inlineStr">
        <is>
          <t>991002977989702656</t>
        </is>
      </c>
      <c r="AY1368" t="inlineStr">
        <is>
          <t>2259036730002656</t>
        </is>
      </c>
      <c r="AZ1368" t="inlineStr">
        <is>
          <t>BOOK</t>
        </is>
      </c>
      <c r="BC1368" t="inlineStr">
        <is>
          <t>32285001836203</t>
        </is>
      </c>
      <c r="BD1368" t="inlineStr">
        <is>
          <t>893227533</t>
        </is>
      </c>
    </row>
    <row r="1369">
      <c r="A1369" t="inlineStr">
        <is>
          <t>No</t>
        </is>
      </c>
      <c r="B1369" t="inlineStr">
        <is>
          <t>QH548 .H4</t>
        </is>
      </c>
      <c r="C1369" t="inlineStr">
        <is>
          <t>0                      QH 0548000H  4</t>
        </is>
      </c>
      <c r="D1369" t="inlineStr">
        <is>
          <t>Symbiosis / edited by S. Mark Henry.</t>
        </is>
      </c>
      <c r="E1369" t="inlineStr">
        <is>
          <t>V.2</t>
        </is>
      </c>
      <c r="F1369" t="inlineStr">
        <is>
          <t>Yes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Henry, S. Mark.</t>
        </is>
      </c>
      <c r="L1369" t="inlineStr">
        <is>
          <t>New York : Academic Press, 1966-67.</t>
        </is>
      </c>
      <c r="M1369" t="inlineStr">
        <is>
          <t>1966</t>
        </is>
      </c>
      <c r="O1369" t="inlineStr">
        <is>
          <t>eng</t>
        </is>
      </c>
      <c r="P1369" t="inlineStr">
        <is>
          <t>nyu</t>
        </is>
      </c>
      <c r="R1369" t="inlineStr">
        <is>
          <t xml:space="preserve">QH </t>
        </is>
      </c>
      <c r="S1369" t="n">
        <v>7</v>
      </c>
      <c r="T1369" t="n">
        <v>27</v>
      </c>
      <c r="U1369" t="inlineStr">
        <is>
          <t>1996-02-23</t>
        </is>
      </c>
      <c r="V1369" t="inlineStr">
        <is>
          <t>2009-04-06</t>
        </is>
      </c>
      <c r="W1369" t="inlineStr">
        <is>
          <t>1994-01-27</t>
        </is>
      </c>
      <c r="X1369" t="inlineStr">
        <is>
          <t>1994-01-27</t>
        </is>
      </c>
      <c r="Y1369" t="n">
        <v>819</v>
      </c>
      <c r="Z1369" t="n">
        <v>668</v>
      </c>
      <c r="AA1369" t="n">
        <v>676</v>
      </c>
      <c r="AB1369" t="n">
        <v>5</v>
      </c>
      <c r="AC1369" t="n">
        <v>5</v>
      </c>
      <c r="AD1369" t="n">
        <v>24</v>
      </c>
      <c r="AE1369" t="n">
        <v>24</v>
      </c>
      <c r="AF1369" t="n">
        <v>9</v>
      </c>
      <c r="AG1369" t="n">
        <v>9</v>
      </c>
      <c r="AH1369" t="n">
        <v>3</v>
      </c>
      <c r="AI1369" t="n">
        <v>3</v>
      </c>
      <c r="AJ1369" t="n">
        <v>13</v>
      </c>
      <c r="AK1369" t="n">
        <v>13</v>
      </c>
      <c r="AL1369" t="n">
        <v>4</v>
      </c>
      <c r="AM1369" t="n">
        <v>4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HYPERLINK("http://catalog.hathitrust.org/Record/001492867","HathiTrust Record")</f>
        <v/>
      </c>
      <c r="AS1369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9">
        <f>HYPERLINK("http://www.worldcat.org/oclc/553112","WorldCat Record")</f>
        <v/>
      </c>
      <c r="AU1369" t="inlineStr">
        <is>
          <t>3944336074:eng</t>
        </is>
      </c>
      <c r="AV1369" t="inlineStr">
        <is>
          <t>553112</t>
        </is>
      </c>
      <c r="AW1369" t="inlineStr">
        <is>
          <t>991002977989702656</t>
        </is>
      </c>
      <c r="AX1369" t="inlineStr">
        <is>
          <t>991002977989702656</t>
        </is>
      </c>
      <c r="AY1369" t="inlineStr">
        <is>
          <t>2259036730002656</t>
        </is>
      </c>
      <c r="AZ1369" t="inlineStr">
        <is>
          <t>BOOK</t>
        </is>
      </c>
      <c r="BC1369" t="inlineStr">
        <is>
          <t>32285001836211</t>
        </is>
      </c>
      <c r="BD1369" t="inlineStr">
        <is>
          <t>893245890</t>
        </is>
      </c>
    </row>
    <row r="1370">
      <c r="A1370" t="inlineStr">
        <is>
          <t>No</t>
        </is>
      </c>
      <c r="B1370" t="inlineStr">
        <is>
          <t>QH548 .T7</t>
        </is>
      </c>
      <c r="C1370" t="inlineStr">
        <is>
          <t>0                      QH 0548000T  7</t>
        </is>
      </c>
      <c r="D1370" t="inlineStr">
        <is>
          <t>Symbiosis.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Trager, William, 1910-</t>
        </is>
      </c>
      <c r="L1370" t="inlineStr">
        <is>
          <t>New York : Van Nostrand Reinhold, [1970]</t>
        </is>
      </c>
      <c r="M1370" t="inlineStr">
        <is>
          <t>1970</t>
        </is>
      </c>
      <c r="O1370" t="inlineStr">
        <is>
          <t>eng</t>
        </is>
      </c>
      <c r="P1370" t="inlineStr">
        <is>
          <t>nyu</t>
        </is>
      </c>
      <c r="Q1370" t="inlineStr">
        <is>
          <t>Selected topics in modern biology</t>
        </is>
      </c>
      <c r="R1370" t="inlineStr">
        <is>
          <t xml:space="preserve">QH </t>
        </is>
      </c>
      <c r="S1370" t="n">
        <v>18</v>
      </c>
      <c r="T1370" t="n">
        <v>18</v>
      </c>
      <c r="U1370" t="inlineStr">
        <is>
          <t>2000-02-08</t>
        </is>
      </c>
      <c r="V1370" t="inlineStr">
        <is>
          <t>2000-02-08</t>
        </is>
      </c>
      <c r="W1370" t="inlineStr">
        <is>
          <t>1995-01-14</t>
        </is>
      </c>
      <c r="X1370" t="inlineStr">
        <is>
          <t>1995-01-14</t>
        </is>
      </c>
      <c r="Y1370" t="n">
        <v>524</v>
      </c>
      <c r="Z1370" t="n">
        <v>442</v>
      </c>
      <c r="AA1370" t="n">
        <v>450</v>
      </c>
      <c r="AB1370" t="n">
        <v>6</v>
      </c>
      <c r="AC1370" t="n">
        <v>6</v>
      </c>
      <c r="AD1370" t="n">
        <v>16</v>
      </c>
      <c r="AE1370" t="n">
        <v>16</v>
      </c>
      <c r="AF1370" t="n">
        <v>5</v>
      </c>
      <c r="AG1370" t="n">
        <v>5</v>
      </c>
      <c r="AH1370" t="n">
        <v>4</v>
      </c>
      <c r="AI1370" t="n">
        <v>4</v>
      </c>
      <c r="AJ1370" t="n">
        <v>7</v>
      </c>
      <c r="AK1370" t="n">
        <v>7</v>
      </c>
      <c r="AL1370" t="n">
        <v>5</v>
      </c>
      <c r="AM1370" t="n">
        <v>5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HYPERLINK("http://catalog.hathitrust.org/Record/001492868","HathiTrust Record")</f>
        <v/>
      </c>
      <c r="AS1370">
        <f>HYPERLINK("https://creighton-primo.hosted.exlibrisgroup.com/primo-explore/search?tab=default_tab&amp;search_scope=EVERYTHING&amp;vid=01CRU&amp;lang=en_US&amp;offset=0&amp;query=any,contains,991000673029702656","Catalog Record")</f>
        <v/>
      </c>
      <c r="AT1370">
        <f>HYPERLINK("http://www.worldcat.org/oclc/119479","WorldCat Record")</f>
        <v/>
      </c>
      <c r="AU1370" t="inlineStr">
        <is>
          <t>1239622:eng</t>
        </is>
      </c>
      <c r="AV1370" t="inlineStr">
        <is>
          <t>119479</t>
        </is>
      </c>
      <c r="AW1370" t="inlineStr">
        <is>
          <t>991000673029702656</t>
        </is>
      </c>
      <c r="AX1370" t="inlineStr">
        <is>
          <t>991000673029702656</t>
        </is>
      </c>
      <c r="AY1370" t="inlineStr">
        <is>
          <t>2264302850002656</t>
        </is>
      </c>
      <c r="AZ1370" t="inlineStr">
        <is>
          <t>BOOK</t>
        </is>
      </c>
      <c r="BC1370" t="inlineStr">
        <is>
          <t>32285001986735</t>
        </is>
      </c>
      <c r="BD1370" t="inlineStr">
        <is>
          <t>893315137</t>
        </is>
      </c>
    </row>
    <row r="1371">
      <c r="A1371" t="inlineStr">
        <is>
          <t>No</t>
        </is>
      </c>
      <c r="B1371" t="inlineStr">
        <is>
          <t>QH548 .W25 2001</t>
        </is>
      </c>
      <c r="C1371" t="inlineStr">
        <is>
          <t>0                      QH 0548000W  25          2001</t>
        </is>
      </c>
      <c r="D1371" t="inlineStr">
        <is>
          <t>Liaisons of life : from hornworts to hippos, how the unassuming microbe has driven evolution / Tom Wakeford.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Wakeford, Tom.</t>
        </is>
      </c>
      <c r="L1371" t="inlineStr">
        <is>
          <t>New York : J. Wiley, c2001.</t>
        </is>
      </c>
      <c r="M1371" t="inlineStr">
        <is>
          <t>2001</t>
        </is>
      </c>
      <c r="O1371" t="inlineStr">
        <is>
          <t>eng</t>
        </is>
      </c>
      <c r="P1371" t="inlineStr">
        <is>
          <t>nyu</t>
        </is>
      </c>
      <c r="R1371" t="inlineStr">
        <is>
          <t xml:space="preserve">QH </t>
        </is>
      </c>
      <c r="S1371" t="n">
        <v>6</v>
      </c>
      <c r="T1371" t="n">
        <v>6</v>
      </c>
      <c r="U1371" t="inlineStr">
        <is>
          <t>2003-03-18</t>
        </is>
      </c>
      <c r="V1371" t="inlineStr">
        <is>
          <t>2003-03-18</t>
        </is>
      </c>
      <c r="W1371" t="inlineStr">
        <is>
          <t>2001-09-05</t>
        </is>
      </c>
      <c r="X1371" t="inlineStr">
        <is>
          <t>2001-09-05</t>
        </is>
      </c>
      <c r="Y1371" t="n">
        <v>603</v>
      </c>
      <c r="Z1371" t="n">
        <v>521</v>
      </c>
      <c r="AA1371" t="n">
        <v>1096</v>
      </c>
      <c r="AB1371" t="n">
        <v>6</v>
      </c>
      <c r="AC1371" t="n">
        <v>8</v>
      </c>
      <c r="AD1371" t="n">
        <v>17</v>
      </c>
      <c r="AE1371" t="n">
        <v>25</v>
      </c>
      <c r="AF1371" t="n">
        <v>5</v>
      </c>
      <c r="AG1371" t="n">
        <v>10</v>
      </c>
      <c r="AH1371" t="n">
        <v>4</v>
      </c>
      <c r="AI1371" t="n">
        <v>6</v>
      </c>
      <c r="AJ1371" t="n">
        <v>9</v>
      </c>
      <c r="AK1371" t="n">
        <v>10</v>
      </c>
      <c r="AL1371" t="n">
        <v>3</v>
      </c>
      <c r="AM1371" t="n">
        <v>4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HYPERLINK("https://creighton-primo.hosted.exlibrisgroup.com/primo-explore/search?tab=default_tab&amp;search_scope=EVERYTHING&amp;vid=01CRU&amp;lang=en_US&amp;offset=0&amp;query=any,contains,991003592759702656","Catalog Record")</f>
        <v/>
      </c>
      <c r="AT1371">
        <f>HYPERLINK("http://www.worldcat.org/oclc/44883758","WorldCat Record")</f>
        <v/>
      </c>
      <c r="AU1371" t="inlineStr">
        <is>
          <t>793876499:eng</t>
        </is>
      </c>
      <c r="AV1371" t="inlineStr">
        <is>
          <t>44883758</t>
        </is>
      </c>
      <c r="AW1371" t="inlineStr">
        <is>
          <t>991003592759702656</t>
        </is>
      </c>
      <c r="AX1371" t="inlineStr">
        <is>
          <t>991003592759702656</t>
        </is>
      </c>
      <c r="AY1371" t="inlineStr">
        <is>
          <t>2263113130002656</t>
        </is>
      </c>
      <c r="AZ1371" t="inlineStr">
        <is>
          <t>BOOK</t>
        </is>
      </c>
      <c r="BB1371" t="inlineStr">
        <is>
          <t>9780471399728</t>
        </is>
      </c>
      <c r="BC1371" t="inlineStr">
        <is>
          <t>32285004390018</t>
        </is>
      </c>
      <c r="BD1371" t="inlineStr">
        <is>
          <t>893598736</t>
        </is>
      </c>
    </row>
    <row r="1372">
      <c r="A1372" t="inlineStr">
        <is>
          <t>No</t>
        </is>
      </c>
      <c r="B1372" t="inlineStr">
        <is>
          <t>QH573 .A26 1993, v.6</t>
        </is>
      </c>
      <c r="C1372" t="inlineStr">
        <is>
          <t>0                      QH 0573000A  26          1993                                        v.6</t>
        </is>
      </c>
      <c r="D1372" t="inlineStr">
        <is>
          <t>Extracellular matrix / guest editor, Hynda K. Kleinman.</t>
        </is>
      </c>
      <c r="E1372" t="inlineStr">
        <is>
          <t>V. 6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L1372" t="inlineStr">
        <is>
          <t>Greenwich, Conn. : JAI Press, 1993.</t>
        </is>
      </c>
      <c r="M1372" t="inlineStr">
        <is>
          <t>1993</t>
        </is>
      </c>
      <c r="O1372" t="inlineStr">
        <is>
          <t>eng</t>
        </is>
      </c>
      <c r="P1372" t="inlineStr">
        <is>
          <t>ctu</t>
        </is>
      </c>
      <c r="Q1372" t="inlineStr">
        <is>
          <t>Advances in molecular and cell biology ; v. 6</t>
        </is>
      </c>
      <c r="R1372" t="inlineStr">
        <is>
          <t xml:space="preserve">QH </t>
        </is>
      </c>
      <c r="S1372" t="n">
        <v>5</v>
      </c>
      <c r="T1372" t="n">
        <v>5</v>
      </c>
      <c r="U1372" t="inlineStr">
        <is>
          <t>2002-05-23</t>
        </is>
      </c>
      <c r="V1372" t="inlineStr">
        <is>
          <t>2002-05-23</t>
        </is>
      </c>
      <c r="W1372" t="inlineStr">
        <is>
          <t>1994-04-21</t>
        </is>
      </c>
      <c r="X1372" t="inlineStr">
        <is>
          <t>1994-04-21</t>
        </is>
      </c>
      <c r="Y1372" t="n">
        <v>25</v>
      </c>
      <c r="Z1372" t="n">
        <v>14</v>
      </c>
      <c r="AA1372" t="n">
        <v>15</v>
      </c>
      <c r="AB1372" t="n">
        <v>1</v>
      </c>
      <c r="AC1372" t="n">
        <v>1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I1372" t="n">
        <v>0</v>
      </c>
      <c r="AJ1372" t="n">
        <v>0</v>
      </c>
      <c r="AK1372" t="n">
        <v>0</v>
      </c>
      <c r="AL1372" t="n">
        <v>0</v>
      </c>
      <c r="AM1372" t="n">
        <v>0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HYPERLINK("https://creighton-primo.hosted.exlibrisgroup.com/primo-explore/search?tab=default_tab&amp;search_scope=EVERYTHING&amp;vid=01CRU&amp;lang=en_US&amp;offset=0&amp;query=any,contains,991002264769702656","Catalog Record")</f>
        <v/>
      </c>
      <c r="AT1372">
        <f>HYPERLINK("http://www.worldcat.org/oclc/29367840","WorldCat Record")</f>
        <v/>
      </c>
      <c r="AU1372" t="inlineStr">
        <is>
          <t>5445863951:eng</t>
        </is>
      </c>
      <c r="AV1372" t="inlineStr">
        <is>
          <t>29367840</t>
        </is>
      </c>
      <c r="AW1372" t="inlineStr">
        <is>
          <t>991002264769702656</t>
        </is>
      </c>
      <c r="AX1372" t="inlineStr">
        <is>
          <t>991002264769702656</t>
        </is>
      </c>
      <c r="AY1372" t="inlineStr">
        <is>
          <t>2260385850002656</t>
        </is>
      </c>
      <c r="AZ1372" t="inlineStr">
        <is>
          <t>BOOK</t>
        </is>
      </c>
      <c r="BB1372" t="inlineStr">
        <is>
          <t>9781559385152</t>
        </is>
      </c>
      <c r="BC1372" t="inlineStr">
        <is>
          <t>32285001877207</t>
        </is>
      </c>
      <c r="BD1372" t="inlineStr">
        <is>
          <t>893898550</t>
        </is>
      </c>
    </row>
    <row r="1373">
      <c r="A1373" t="inlineStr">
        <is>
          <t>No</t>
        </is>
      </c>
      <c r="B1373" t="inlineStr">
        <is>
          <t>QH573 .M63 1990, v.9</t>
        </is>
      </c>
      <c r="C1373" t="inlineStr">
        <is>
          <t>0                      QH 0573000M  63          1990                                        v.9</t>
        </is>
      </c>
      <c r="D1373" t="inlineStr">
        <is>
          <t>Noninvasive techniques in cell biology / editors, J. Kevin Foskett, Sergio Grinstein.</t>
        </is>
      </c>
      <c r="E1373" t="inlineStr">
        <is>
          <t>V.9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New York : Wiley-Liss, c1990.</t>
        </is>
      </c>
      <c r="M1373" t="inlineStr">
        <is>
          <t>1990</t>
        </is>
      </c>
      <c r="O1373" t="inlineStr">
        <is>
          <t>eng</t>
        </is>
      </c>
      <c r="P1373" t="inlineStr">
        <is>
          <t>nyu</t>
        </is>
      </c>
      <c r="Q1373" t="inlineStr">
        <is>
          <t>Modern cell biology ; v. 9</t>
        </is>
      </c>
      <c r="R1373" t="inlineStr">
        <is>
          <t xml:space="preserve">QH </t>
        </is>
      </c>
      <c r="S1373" t="n">
        <v>7</v>
      </c>
      <c r="T1373" t="n">
        <v>7</v>
      </c>
      <c r="U1373" t="inlineStr">
        <is>
          <t>2002-05-24</t>
        </is>
      </c>
      <c r="V1373" t="inlineStr">
        <is>
          <t>2002-05-24</t>
        </is>
      </c>
      <c r="W1373" t="inlineStr">
        <is>
          <t>1991-09-20</t>
        </is>
      </c>
      <c r="X1373" t="inlineStr">
        <is>
          <t>1991-09-20</t>
        </is>
      </c>
      <c r="Y1373" t="n">
        <v>215</v>
      </c>
      <c r="Z1373" t="n">
        <v>166</v>
      </c>
      <c r="AA1373" t="n">
        <v>172</v>
      </c>
      <c r="AB1373" t="n">
        <v>1</v>
      </c>
      <c r="AC1373" t="n">
        <v>1</v>
      </c>
      <c r="AD1373" t="n">
        <v>7</v>
      </c>
      <c r="AE1373" t="n">
        <v>7</v>
      </c>
      <c r="AF1373" t="n">
        <v>2</v>
      </c>
      <c r="AG1373" t="n">
        <v>2</v>
      </c>
      <c r="AH1373" t="n">
        <v>2</v>
      </c>
      <c r="AI1373" t="n">
        <v>2</v>
      </c>
      <c r="AJ1373" t="n">
        <v>4</v>
      </c>
      <c r="AK1373" t="n">
        <v>4</v>
      </c>
      <c r="AL1373" t="n">
        <v>0</v>
      </c>
      <c r="AM1373" t="n">
        <v>0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HYPERLINK("http://catalog.hathitrust.org/Record/002233428","HathiTrust Record")</f>
        <v/>
      </c>
      <c r="AS1373">
        <f>HYPERLINK("https://creighton-primo.hosted.exlibrisgroup.com/primo-explore/search?tab=default_tab&amp;search_scope=EVERYTHING&amp;vid=01CRU&amp;lang=en_US&amp;offset=0&amp;query=any,contains,991001691939702656","Catalog Record")</f>
        <v/>
      </c>
      <c r="AT1373">
        <f>HYPERLINK("http://www.worldcat.org/oclc/21445323","WorldCat Record")</f>
        <v/>
      </c>
      <c r="AU1373" t="inlineStr">
        <is>
          <t>350325727:eng</t>
        </is>
      </c>
      <c r="AV1373" t="inlineStr">
        <is>
          <t>21445323</t>
        </is>
      </c>
      <c r="AW1373" t="inlineStr">
        <is>
          <t>991001691939702656</t>
        </is>
      </c>
      <c r="AX1373" t="inlineStr">
        <is>
          <t>991001691939702656</t>
        </is>
      </c>
      <c r="AY1373" t="inlineStr">
        <is>
          <t>2256978180002656</t>
        </is>
      </c>
      <c r="AZ1373" t="inlineStr">
        <is>
          <t>BOOK</t>
        </is>
      </c>
      <c r="BB1373" t="inlineStr">
        <is>
          <t>9780471568094</t>
        </is>
      </c>
      <c r="BC1373" t="inlineStr">
        <is>
          <t>32285000704683</t>
        </is>
      </c>
      <c r="BD1373" t="inlineStr">
        <is>
          <t>893797744</t>
        </is>
      </c>
    </row>
    <row r="1374">
      <c r="A1374" t="inlineStr">
        <is>
          <t>No</t>
        </is>
      </c>
      <c r="B1374" t="inlineStr">
        <is>
          <t>QH573 .M63 1991 v.10</t>
        </is>
      </c>
      <c r="C1374" t="inlineStr">
        <is>
          <t>0                      QH 0573000M  63          1991                                        v.10</t>
        </is>
      </c>
      <c r="D1374" t="inlineStr">
        <is>
          <t>Sensory receptors and signal transduction / editors, John L. Spudich, Birgit H. Satir.</t>
        </is>
      </c>
      <c r="E1374" t="inlineStr">
        <is>
          <t>V.10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L1374" t="inlineStr">
        <is>
          <t>New York : Wiley-Liss, c1991.</t>
        </is>
      </c>
      <c r="M1374" t="inlineStr">
        <is>
          <t>1991</t>
        </is>
      </c>
      <c r="O1374" t="inlineStr">
        <is>
          <t>eng</t>
        </is>
      </c>
      <c r="P1374" t="inlineStr">
        <is>
          <t>nyu</t>
        </is>
      </c>
      <c r="Q1374" t="inlineStr">
        <is>
          <t>Modern cell biology ; v. 10</t>
        </is>
      </c>
      <c r="R1374" t="inlineStr">
        <is>
          <t xml:space="preserve">QH </t>
        </is>
      </c>
      <c r="S1374" t="n">
        <v>4</v>
      </c>
      <c r="T1374" t="n">
        <v>4</v>
      </c>
      <c r="U1374" t="inlineStr">
        <is>
          <t>1995-04-05</t>
        </is>
      </c>
      <c r="V1374" t="inlineStr">
        <is>
          <t>1995-04-05</t>
        </is>
      </c>
      <c r="W1374" t="inlineStr">
        <is>
          <t>1992-06-16</t>
        </is>
      </c>
      <c r="X1374" t="inlineStr">
        <is>
          <t>1992-06-16</t>
        </is>
      </c>
      <c r="Y1374" t="n">
        <v>181</v>
      </c>
      <c r="Z1374" t="n">
        <v>128</v>
      </c>
      <c r="AA1374" t="n">
        <v>135</v>
      </c>
      <c r="AB1374" t="n">
        <v>1</v>
      </c>
      <c r="AC1374" t="n">
        <v>1</v>
      </c>
      <c r="AD1374" t="n">
        <v>5</v>
      </c>
      <c r="AE1374" t="n">
        <v>5</v>
      </c>
      <c r="AF1374" t="n">
        <v>1</v>
      </c>
      <c r="AG1374" t="n">
        <v>1</v>
      </c>
      <c r="AH1374" t="n">
        <v>3</v>
      </c>
      <c r="AI1374" t="n">
        <v>3</v>
      </c>
      <c r="AJ1374" t="n">
        <v>3</v>
      </c>
      <c r="AK1374" t="n">
        <v>3</v>
      </c>
      <c r="AL1374" t="n">
        <v>0</v>
      </c>
      <c r="AM1374" t="n">
        <v>0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HYPERLINK("http://catalog.hathitrust.org/Record/002505662","HathiTrust Record")</f>
        <v/>
      </c>
      <c r="AS1374">
        <f>HYPERLINK("https://creighton-primo.hosted.exlibrisgroup.com/primo-explore/search?tab=default_tab&amp;search_scope=EVERYTHING&amp;vid=01CRU&amp;lang=en_US&amp;offset=0&amp;query=any,contains,991001900909702656","Catalog Record")</f>
        <v/>
      </c>
      <c r="AT1374">
        <f>HYPERLINK("http://www.worldcat.org/oclc/24010138","WorldCat Record")</f>
        <v/>
      </c>
      <c r="AU1374" t="inlineStr">
        <is>
          <t>24984612:eng</t>
        </is>
      </c>
      <c r="AV1374" t="inlineStr">
        <is>
          <t>24010138</t>
        </is>
      </c>
      <c r="AW1374" t="inlineStr">
        <is>
          <t>991001900909702656</t>
        </is>
      </c>
      <c r="AX1374" t="inlineStr">
        <is>
          <t>991001900909702656</t>
        </is>
      </c>
      <c r="AY1374" t="inlineStr">
        <is>
          <t>2264720600002656</t>
        </is>
      </c>
      <c r="AZ1374" t="inlineStr">
        <is>
          <t>BOOK</t>
        </is>
      </c>
      <c r="BB1374" t="inlineStr">
        <is>
          <t>9780471561057</t>
        </is>
      </c>
      <c r="BC1374" t="inlineStr">
        <is>
          <t>32285001129831</t>
        </is>
      </c>
      <c r="BD1374" t="inlineStr">
        <is>
          <t>893334696</t>
        </is>
      </c>
    </row>
    <row r="1375">
      <c r="A1375" t="inlineStr">
        <is>
          <t>No</t>
        </is>
      </c>
      <c r="B1375" t="inlineStr">
        <is>
          <t>QH573 .M63 1992 v.11</t>
        </is>
      </c>
      <c r="C1375" t="inlineStr">
        <is>
          <t>0                      QH 0573000M  63          1992                                        v.11</t>
        </is>
      </c>
      <c r="D1375" t="inlineStr">
        <is>
          <t>Antisense RNA and DNA / James A.H. Murray, editor.</t>
        </is>
      </c>
      <c r="E1375" t="inlineStr">
        <is>
          <t>V.11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New York : Wiley-Liss,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nyu</t>
        </is>
      </c>
      <c r="Q1375" t="inlineStr">
        <is>
          <t>Modern cell biology ; v. 11</t>
        </is>
      </c>
      <c r="R1375" t="inlineStr">
        <is>
          <t xml:space="preserve">QH </t>
        </is>
      </c>
      <c r="S1375" t="n">
        <v>13</v>
      </c>
      <c r="T1375" t="n">
        <v>13</v>
      </c>
      <c r="U1375" t="inlineStr">
        <is>
          <t>2006-09-25</t>
        </is>
      </c>
      <c r="V1375" t="inlineStr">
        <is>
          <t>2006-09-25</t>
        </is>
      </c>
      <c r="W1375" t="inlineStr">
        <is>
          <t>1992-12-10</t>
        </is>
      </c>
      <c r="X1375" t="inlineStr">
        <is>
          <t>1992-12-10</t>
        </is>
      </c>
      <c r="Y1375" t="n">
        <v>272</v>
      </c>
      <c r="Z1375" t="n">
        <v>193</v>
      </c>
      <c r="AA1375" t="n">
        <v>194</v>
      </c>
      <c r="AB1375" t="n">
        <v>1</v>
      </c>
      <c r="AC1375" t="n">
        <v>1</v>
      </c>
      <c r="AD1375" t="n">
        <v>9</v>
      </c>
      <c r="AE1375" t="n">
        <v>9</v>
      </c>
      <c r="AF1375" t="n">
        <v>0</v>
      </c>
      <c r="AG1375" t="n">
        <v>0</v>
      </c>
      <c r="AH1375" t="n">
        <v>4</v>
      </c>
      <c r="AI1375" t="n">
        <v>4</v>
      </c>
      <c r="AJ1375" t="n">
        <v>6</v>
      </c>
      <c r="AK1375" t="n">
        <v>6</v>
      </c>
      <c r="AL1375" t="n">
        <v>0</v>
      </c>
      <c r="AM1375" t="n">
        <v>0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HYPERLINK("https://creighton-primo.hosted.exlibrisgroup.com/primo-explore/search?tab=default_tab&amp;search_scope=EVERYTHING&amp;vid=01CRU&amp;lang=en_US&amp;offset=0&amp;query=any,contains,991001989259702656","Catalog Record")</f>
        <v/>
      </c>
      <c r="AT1375">
        <f>HYPERLINK("http://www.worldcat.org/oclc/25281470","WorldCat Record")</f>
        <v/>
      </c>
      <c r="AU1375" t="inlineStr">
        <is>
          <t>17913598:eng</t>
        </is>
      </c>
      <c r="AV1375" t="inlineStr">
        <is>
          <t>25281470</t>
        </is>
      </c>
      <c r="AW1375" t="inlineStr">
        <is>
          <t>991001989259702656</t>
        </is>
      </c>
      <c r="AX1375" t="inlineStr">
        <is>
          <t>991001989259702656</t>
        </is>
      </c>
      <c r="AY1375" t="inlineStr">
        <is>
          <t>2256149080002656</t>
        </is>
      </c>
      <c r="AZ1375" t="inlineStr">
        <is>
          <t>BOOK</t>
        </is>
      </c>
      <c r="BB1375" t="inlineStr">
        <is>
          <t>9780471561309</t>
        </is>
      </c>
      <c r="BC1375" t="inlineStr">
        <is>
          <t>32285001403384</t>
        </is>
      </c>
      <c r="BD1375" t="inlineStr">
        <is>
          <t>893590805</t>
        </is>
      </c>
    </row>
    <row r="1376">
      <c r="A1376" t="inlineStr">
        <is>
          <t>No</t>
        </is>
      </c>
      <c r="B1376" t="inlineStr">
        <is>
          <t>QH573 .M63 1996 v.16</t>
        </is>
      </c>
      <c r="C1376" t="inlineStr">
        <is>
          <t>0                      QH 0573000M  63          1996                                        v.16</t>
        </is>
      </c>
      <c r="D1376" t="inlineStr">
        <is>
          <t>Cellular aging and cell death / editors, Nikki J. Holbrook, George R. Martin, Richard A. Lockshin.</t>
        </is>
      </c>
      <c r="E1376" t="inlineStr">
        <is>
          <t>V.16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L1376" t="inlineStr">
        <is>
          <t>New York : Wiley-Liss, c1996.</t>
        </is>
      </c>
      <c r="M1376" t="inlineStr">
        <is>
          <t>1996</t>
        </is>
      </c>
      <c r="O1376" t="inlineStr">
        <is>
          <t>eng</t>
        </is>
      </c>
      <c r="P1376" t="inlineStr">
        <is>
          <t>nyu</t>
        </is>
      </c>
      <c r="Q1376" t="inlineStr">
        <is>
          <t>Modern cell biology ; v. 16</t>
        </is>
      </c>
      <c r="R1376" t="inlineStr">
        <is>
          <t xml:space="preserve">QH </t>
        </is>
      </c>
      <c r="S1376" t="n">
        <v>10</v>
      </c>
      <c r="T1376" t="n">
        <v>10</v>
      </c>
      <c r="U1376" t="inlineStr">
        <is>
          <t>2007-10-23</t>
        </is>
      </c>
      <c r="V1376" t="inlineStr">
        <is>
          <t>2007-10-23</t>
        </is>
      </c>
      <c r="W1376" t="inlineStr">
        <is>
          <t>1996-05-06</t>
        </is>
      </c>
      <c r="X1376" t="inlineStr">
        <is>
          <t>1996-05-06</t>
        </is>
      </c>
      <c r="Y1376" t="n">
        <v>298</v>
      </c>
      <c r="Z1376" t="n">
        <v>223</v>
      </c>
      <c r="AA1376" t="n">
        <v>227</v>
      </c>
      <c r="AB1376" t="n">
        <v>1</v>
      </c>
      <c r="AC1376" t="n">
        <v>1</v>
      </c>
      <c r="AD1376" t="n">
        <v>12</v>
      </c>
      <c r="AE1376" t="n">
        <v>12</v>
      </c>
      <c r="AF1376" t="n">
        <v>4</v>
      </c>
      <c r="AG1376" t="n">
        <v>4</v>
      </c>
      <c r="AH1376" t="n">
        <v>6</v>
      </c>
      <c r="AI1376" t="n">
        <v>6</v>
      </c>
      <c r="AJ1376" t="n">
        <v>5</v>
      </c>
      <c r="AK1376" t="n">
        <v>5</v>
      </c>
      <c r="AL1376" t="n">
        <v>0</v>
      </c>
      <c r="AM1376" t="n">
        <v>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HYPERLINK("http://catalog.hathitrust.org/Record/003043520","HathiTrust Record")</f>
        <v/>
      </c>
      <c r="AS1376">
        <f>HYPERLINK("https://creighton-primo.hosted.exlibrisgroup.com/primo-explore/search?tab=default_tab&amp;search_scope=EVERYTHING&amp;vid=01CRU&amp;lang=en_US&amp;offset=0&amp;query=any,contains,991002556989702656","Catalog Record")</f>
        <v/>
      </c>
      <c r="AT1376">
        <f>HYPERLINK("http://www.worldcat.org/oclc/33243821","WorldCat Record")</f>
        <v/>
      </c>
      <c r="AU1376" t="inlineStr">
        <is>
          <t>350341658:eng</t>
        </is>
      </c>
      <c r="AV1376" t="inlineStr">
        <is>
          <t>33243821</t>
        </is>
      </c>
      <c r="AW1376" t="inlineStr">
        <is>
          <t>991002556989702656</t>
        </is>
      </c>
      <c r="AX1376" t="inlineStr">
        <is>
          <t>991002556989702656</t>
        </is>
      </c>
      <c r="AY1376" t="inlineStr">
        <is>
          <t>2255331160002656</t>
        </is>
      </c>
      <c r="AZ1376" t="inlineStr">
        <is>
          <t>BOOK</t>
        </is>
      </c>
      <c r="BB1376" t="inlineStr">
        <is>
          <t>9780471121237</t>
        </is>
      </c>
      <c r="BC1376" t="inlineStr">
        <is>
          <t>32285002159563</t>
        </is>
      </c>
      <c r="BD1376" t="inlineStr">
        <is>
          <t>893591489</t>
        </is>
      </c>
    </row>
    <row r="1377">
      <c r="A1377" t="inlineStr">
        <is>
          <t>No</t>
        </is>
      </c>
      <c r="B1377" t="inlineStr">
        <is>
          <t>QH573 .S32</t>
        </is>
      </c>
      <c r="C1377" t="inlineStr">
        <is>
          <t>0                      QH 0573000S  32</t>
        </is>
      </c>
      <c r="D1377" t="inlineStr">
        <is>
          <t>The living cell : readings from Scientific American / with introductions by Donald Kennedy.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Scientific American.</t>
        </is>
      </c>
      <c r="L1377" t="inlineStr">
        <is>
          <t>San Francisco : W. H. Freeman, [1965]</t>
        </is>
      </c>
      <c r="M1377" t="inlineStr">
        <is>
          <t>1965</t>
        </is>
      </c>
      <c r="O1377" t="inlineStr">
        <is>
          <t>eng</t>
        </is>
      </c>
      <c r="P1377" t="inlineStr">
        <is>
          <t>cau</t>
        </is>
      </c>
      <c r="Q1377" t="inlineStr">
        <is>
          <t>Freeman books in biology</t>
        </is>
      </c>
      <c r="R1377" t="inlineStr">
        <is>
          <t xml:space="preserve">QH </t>
        </is>
      </c>
      <c r="S1377" t="n">
        <v>3</v>
      </c>
      <c r="T1377" t="n">
        <v>3</v>
      </c>
      <c r="U1377" t="inlineStr">
        <is>
          <t>1996-09-30</t>
        </is>
      </c>
      <c r="V1377" t="inlineStr">
        <is>
          <t>1996-09-30</t>
        </is>
      </c>
      <c r="W1377" t="inlineStr">
        <is>
          <t>1994-10-12</t>
        </is>
      </c>
      <c r="X1377" t="inlineStr">
        <is>
          <t>1994-10-12</t>
        </is>
      </c>
      <c r="Y1377" t="n">
        <v>994</v>
      </c>
      <c r="Z1377" t="n">
        <v>840</v>
      </c>
      <c r="AA1377" t="n">
        <v>849</v>
      </c>
      <c r="AB1377" t="n">
        <v>10</v>
      </c>
      <c r="AC1377" t="n">
        <v>10</v>
      </c>
      <c r="AD1377" t="n">
        <v>32</v>
      </c>
      <c r="AE1377" t="n">
        <v>32</v>
      </c>
      <c r="AF1377" t="n">
        <v>11</v>
      </c>
      <c r="AG1377" t="n">
        <v>11</v>
      </c>
      <c r="AH1377" t="n">
        <v>6</v>
      </c>
      <c r="AI1377" t="n">
        <v>6</v>
      </c>
      <c r="AJ1377" t="n">
        <v>15</v>
      </c>
      <c r="AK1377" t="n">
        <v>15</v>
      </c>
      <c r="AL1377" t="n">
        <v>7</v>
      </c>
      <c r="AM1377" t="n">
        <v>7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HYPERLINK("https://creighton-primo.hosted.exlibrisgroup.com/primo-explore/search?tab=default_tab&amp;search_scope=EVERYTHING&amp;vid=01CRU&amp;lang=en_US&amp;offset=0&amp;query=any,contains,991002721169702656","Catalog Record")</f>
        <v/>
      </c>
      <c r="AT1377">
        <f>HYPERLINK("http://www.worldcat.org/oclc/412622","WorldCat Record")</f>
        <v/>
      </c>
      <c r="AU1377" t="inlineStr">
        <is>
          <t>348573095:eng</t>
        </is>
      </c>
      <c r="AV1377" t="inlineStr">
        <is>
          <t>412622</t>
        </is>
      </c>
      <c r="AW1377" t="inlineStr">
        <is>
          <t>991002721169702656</t>
        </is>
      </c>
      <c r="AX1377" t="inlineStr">
        <is>
          <t>991002721169702656</t>
        </is>
      </c>
      <c r="AY1377" t="inlineStr">
        <is>
          <t>2264380100002656</t>
        </is>
      </c>
      <c r="AZ1377" t="inlineStr">
        <is>
          <t>BOOK</t>
        </is>
      </c>
      <c r="BB1377" t="inlineStr">
        <is>
          <t>9780716709602</t>
        </is>
      </c>
      <c r="BC1377" t="inlineStr">
        <is>
          <t>32285001961316</t>
        </is>
      </c>
      <c r="BD1377" t="inlineStr">
        <is>
          <t>893329442</t>
        </is>
      </c>
    </row>
    <row r="1378">
      <c r="A1378" t="inlineStr">
        <is>
          <t>No</t>
        </is>
      </c>
      <c r="B1378" t="inlineStr">
        <is>
          <t>QH574 .C43 v.4</t>
        </is>
      </c>
      <c r="C1378" t="inlineStr">
        <is>
          <t>0                      QH 0574000C  43                                                      v.4</t>
        </is>
      </c>
      <c r="D1378" t="inlineStr">
        <is>
          <t>Gene expression, translation and the behavior of proteins / edited by David M. Prescott, Lester Goldstein.</t>
        </is>
      </c>
      <c r="E1378" t="inlineStr">
        <is>
          <t>V.4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New York : Academic Press, 1980.</t>
        </is>
      </c>
      <c r="M1378" t="inlineStr">
        <is>
          <t>1980</t>
        </is>
      </c>
      <c r="O1378" t="inlineStr">
        <is>
          <t>eng</t>
        </is>
      </c>
      <c r="P1378" t="inlineStr">
        <is>
          <t>nyu</t>
        </is>
      </c>
      <c r="Q1378" t="inlineStr">
        <is>
          <t>Cell biology, a comprehensive treatise ; v. 4</t>
        </is>
      </c>
      <c r="R1378" t="inlineStr">
        <is>
          <t xml:space="preserve">QH </t>
        </is>
      </c>
      <c r="S1378" t="n">
        <v>5</v>
      </c>
      <c r="T1378" t="n">
        <v>5</v>
      </c>
      <c r="U1378" t="inlineStr">
        <is>
          <t>2008-11-13</t>
        </is>
      </c>
      <c r="V1378" t="inlineStr">
        <is>
          <t>2008-11-13</t>
        </is>
      </c>
      <c r="W1378" t="inlineStr">
        <is>
          <t>2000-06-15</t>
        </is>
      </c>
      <c r="X1378" t="inlineStr">
        <is>
          <t>2000-06-15</t>
        </is>
      </c>
      <c r="Y1378" t="n">
        <v>199</v>
      </c>
      <c r="Z1378" t="n">
        <v>160</v>
      </c>
      <c r="AA1378" t="n">
        <v>181</v>
      </c>
      <c r="AB1378" t="n">
        <v>1</v>
      </c>
      <c r="AC1378" t="n">
        <v>2</v>
      </c>
      <c r="AD1378" t="n">
        <v>3</v>
      </c>
      <c r="AE1378" t="n">
        <v>5</v>
      </c>
      <c r="AF1378" t="n">
        <v>0</v>
      </c>
      <c r="AG1378" t="n">
        <v>1</v>
      </c>
      <c r="AH1378" t="n">
        <v>3</v>
      </c>
      <c r="AI1378" t="n">
        <v>4</v>
      </c>
      <c r="AJ1378" t="n">
        <v>3</v>
      </c>
      <c r="AK1378" t="n">
        <v>3</v>
      </c>
      <c r="AL1378" t="n">
        <v>0</v>
      </c>
      <c r="AM1378" t="n">
        <v>1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Yes</t>
        </is>
      </c>
      <c r="AR1378">
        <f>HYPERLINK("http://catalog.hathitrust.org/Record/102491985","HathiTrust Record")</f>
        <v/>
      </c>
      <c r="AS1378">
        <f>HYPERLINK("https://creighton-primo.hosted.exlibrisgroup.com/primo-explore/search?tab=default_tab&amp;search_scope=EVERYTHING&amp;vid=01CRU&amp;lang=en_US&amp;offset=0&amp;query=any,contains,991003144649702656","Catalog Record")</f>
        <v/>
      </c>
      <c r="AT1378">
        <f>HYPERLINK("http://www.worldcat.org/oclc/6305202","WorldCat Record")</f>
        <v/>
      </c>
      <c r="AU1378" t="inlineStr">
        <is>
          <t>21916311:eng</t>
        </is>
      </c>
      <c r="AV1378" t="inlineStr">
        <is>
          <t>6305202</t>
        </is>
      </c>
      <c r="AW1378" t="inlineStr">
        <is>
          <t>991003144649702656</t>
        </is>
      </c>
      <c r="AX1378" t="inlineStr">
        <is>
          <t>991003144649702656</t>
        </is>
      </c>
      <c r="AY1378" t="inlineStr">
        <is>
          <t>2259133250002656</t>
        </is>
      </c>
      <c r="AZ1378" t="inlineStr">
        <is>
          <t>BOOK</t>
        </is>
      </c>
      <c r="BB1378" t="inlineStr">
        <is>
          <t>9780122895043</t>
        </is>
      </c>
      <c r="BC1378" t="inlineStr">
        <is>
          <t>32285002154572</t>
        </is>
      </c>
      <c r="BD1378" t="inlineStr">
        <is>
          <t>893530880</t>
        </is>
      </c>
    </row>
    <row r="1379">
      <c r="A1379" t="inlineStr">
        <is>
          <t>No</t>
        </is>
      </c>
      <c r="B1379" t="inlineStr">
        <is>
          <t>QH577 .H37 1999</t>
        </is>
      </c>
      <c r="C1379" t="inlineStr">
        <is>
          <t>0                      QH 0577000H  37          1999</t>
        </is>
      </c>
      <c r="D1379" t="inlineStr">
        <is>
          <t>The birth of the cell / Henry Harris.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Harris, Henry, 1925-2014.</t>
        </is>
      </c>
      <c r="L1379" t="inlineStr">
        <is>
          <t>New Haven, Conn. : Yale University Press, c1999.</t>
        </is>
      </c>
      <c r="M1379" t="inlineStr">
        <is>
          <t>1999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QH </t>
        </is>
      </c>
      <c r="S1379" t="n">
        <v>3</v>
      </c>
      <c r="T1379" t="n">
        <v>3</v>
      </c>
      <c r="U1379" t="inlineStr">
        <is>
          <t>2002-08-30</t>
        </is>
      </c>
      <c r="V1379" t="inlineStr">
        <is>
          <t>2002-08-30</t>
        </is>
      </c>
      <c r="W1379" t="inlineStr">
        <is>
          <t>1999-04-13</t>
        </is>
      </c>
      <c r="X1379" t="inlineStr">
        <is>
          <t>1999-04-13</t>
        </is>
      </c>
      <c r="Y1379" t="n">
        <v>916</v>
      </c>
      <c r="Z1379" t="n">
        <v>803</v>
      </c>
      <c r="AA1379" t="n">
        <v>867</v>
      </c>
      <c r="AB1379" t="n">
        <v>3</v>
      </c>
      <c r="AC1379" t="n">
        <v>5</v>
      </c>
      <c r="AD1379" t="n">
        <v>31</v>
      </c>
      <c r="AE1379" t="n">
        <v>34</v>
      </c>
      <c r="AF1379" t="n">
        <v>12</v>
      </c>
      <c r="AG1379" t="n">
        <v>13</v>
      </c>
      <c r="AH1379" t="n">
        <v>9</v>
      </c>
      <c r="AI1379" t="n">
        <v>9</v>
      </c>
      <c r="AJ1379" t="n">
        <v>15</v>
      </c>
      <c r="AK1379" t="n">
        <v>15</v>
      </c>
      <c r="AL1379" t="n">
        <v>2</v>
      </c>
      <c r="AM1379" t="n">
        <v>4</v>
      </c>
      <c r="AN1379" t="n">
        <v>0</v>
      </c>
      <c r="AO1379" t="n">
        <v>0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HYPERLINK("https://creighton-primo.hosted.exlibrisgroup.com/primo-explore/search?tab=default_tab&amp;search_scope=EVERYTHING&amp;vid=01CRU&amp;lang=en_US&amp;offset=0&amp;query=any,contains,991002925479702656","Catalog Record")</f>
        <v/>
      </c>
      <c r="AT1379">
        <f>HYPERLINK("http://www.worldcat.org/oclc/38884321","WorldCat Record")</f>
        <v/>
      </c>
      <c r="AU1379" t="inlineStr">
        <is>
          <t>42312832:eng</t>
        </is>
      </c>
      <c r="AV1379" t="inlineStr">
        <is>
          <t>38884321</t>
        </is>
      </c>
      <c r="AW1379" t="inlineStr">
        <is>
          <t>991002925479702656</t>
        </is>
      </c>
      <c r="AX1379" t="inlineStr">
        <is>
          <t>991002925479702656</t>
        </is>
      </c>
      <c r="AY1379" t="inlineStr">
        <is>
          <t>2260060160002656</t>
        </is>
      </c>
      <c r="AZ1379" t="inlineStr">
        <is>
          <t>BOOK</t>
        </is>
      </c>
      <c r="BB1379" t="inlineStr">
        <is>
          <t>9780300073843</t>
        </is>
      </c>
      <c r="BC1379" t="inlineStr">
        <is>
          <t>32285003552097</t>
        </is>
      </c>
      <c r="BD1379" t="inlineStr">
        <is>
          <t>893511365</t>
        </is>
      </c>
    </row>
    <row r="1380">
      <c r="A1380" t="inlineStr">
        <is>
          <t>No</t>
        </is>
      </c>
      <c r="B1380" t="inlineStr">
        <is>
          <t>QH581 .P32</t>
        </is>
      </c>
      <c r="C1380" t="inlineStr">
        <is>
          <t>0                      QH 0581000P  32</t>
        </is>
      </c>
      <c r="D1380" t="inlineStr">
        <is>
          <t>The macrophage [by] Nancy N. Pearsall [and] Russell S. Weiser.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Pearsall, Nancy N.</t>
        </is>
      </c>
      <c r="L1380" t="inlineStr">
        <is>
          <t>Philadelphia, Lea &amp; Febiger, 1970.</t>
        </is>
      </c>
      <c r="M1380" t="inlineStr">
        <is>
          <t>1970</t>
        </is>
      </c>
      <c r="O1380" t="inlineStr">
        <is>
          <t>eng</t>
        </is>
      </c>
      <c r="P1380" t="inlineStr">
        <is>
          <t>pau</t>
        </is>
      </c>
      <c r="R1380" t="inlineStr">
        <is>
          <t xml:space="preserve">QH </t>
        </is>
      </c>
      <c r="S1380" t="n">
        <v>1</v>
      </c>
      <c r="T1380" t="n">
        <v>1</v>
      </c>
      <c r="U1380" t="inlineStr">
        <is>
          <t>2002-10-06</t>
        </is>
      </c>
      <c r="V1380" t="inlineStr">
        <is>
          <t>2002-10-06</t>
        </is>
      </c>
      <c r="W1380" t="inlineStr">
        <is>
          <t>1997-07-14</t>
        </is>
      </c>
      <c r="X1380" t="inlineStr">
        <is>
          <t>1997-07-14</t>
        </is>
      </c>
      <c r="Y1380" t="n">
        <v>344</v>
      </c>
      <c r="Z1380" t="n">
        <v>268</v>
      </c>
      <c r="AA1380" t="n">
        <v>276</v>
      </c>
      <c r="AB1380" t="n">
        <v>2</v>
      </c>
      <c r="AC1380" t="n">
        <v>2</v>
      </c>
      <c r="AD1380" t="n">
        <v>10</v>
      </c>
      <c r="AE1380" t="n">
        <v>10</v>
      </c>
      <c r="AF1380" t="n">
        <v>1</v>
      </c>
      <c r="AG1380" t="n">
        <v>1</v>
      </c>
      <c r="AH1380" t="n">
        <v>4</v>
      </c>
      <c r="AI1380" t="n">
        <v>4</v>
      </c>
      <c r="AJ1380" t="n">
        <v>5</v>
      </c>
      <c r="AK1380" t="n">
        <v>5</v>
      </c>
      <c r="AL1380" t="n">
        <v>1</v>
      </c>
      <c r="AM1380" t="n">
        <v>1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HYPERLINK("http://catalog.hathitrust.org/Record/001992418","HathiTrust Record")</f>
        <v/>
      </c>
      <c r="AS1380">
        <f>HYPERLINK("https://creighton-primo.hosted.exlibrisgroup.com/primo-explore/search?tab=default_tab&amp;search_scope=EVERYTHING&amp;vid=01CRU&amp;lang=en_US&amp;offset=0&amp;query=any,contains,991000415279702656","Catalog Record")</f>
        <v/>
      </c>
      <c r="AT1380">
        <f>HYPERLINK("http://www.worldcat.org/oclc/74160","WorldCat Record")</f>
        <v/>
      </c>
      <c r="AU1380" t="inlineStr">
        <is>
          <t>1245955:eng</t>
        </is>
      </c>
      <c r="AV1380" t="inlineStr">
        <is>
          <t>74160</t>
        </is>
      </c>
      <c r="AW1380" t="inlineStr">
        <is>
          <t>991000415279702656</t>
        </is>
      </c>
      <c r="AX1380" t="inlineStr">
        <is>
          <t>991000415279702656</t>
        </is>
      </c>
      <c r="AY1380" t="inlineStr">
        <is>
          <t>2272021510002656</t>
        </is>
      </c>
      <c r="AZ1380" t="inlineStr">
        <is>
          <t>BOOK</t>
        </is>
      </c>
      <c r="BB1380" t="inlineStr">
        <is>
          <t>9780812102789</t>
        </is>
      </c>
      <c r="BC1380" t="inlineStr">
        <is>
          <t>32285002914264</t>
        </is>
      </c>
      <c r="BD1380" t="inlineStr">
        <is>
          <t>893333447</t>
        </is>
      </c>
    </row>
    <row r="1381">
      <c r="A1381" t="inlineStr">
        <is>
          <t>No</t>
        </is>
      </c>
      <c r="B1381" t="inlineStr">
        <is>
          <t>QH581 .R3</t>
        </is>
      </c>
      <c r="C1381" t="inlineStr">
        <is>
          <t>0                      QH 0581000R  3</t>
        </is>
      </c>
      <c r="D1381" t="inlineStr">
        <is>
          <t>The cell and the organism; essays presented to Sir James Gray, edited by J.A. Ramsay &amp; V.B. Wigglesworth.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Ramsay, James Arthur editor.</t>
        </is>
      </c>
      <c r="L1381" t="inlineStr">
        <is>
          <t>Cambridge [Eng.] University Press, 1961.</t>
        </is>
      </c>
      <c r="M1381" t="inlineStr">
        <is>
          <t>1961</t>
        </is>
      </c>
      <c r="O1381" t="inlineStr">
        <is>
          <t>eng</t>
        </is>
      </c>
      <c r="P1381" t="inlineStr">
        <is>
          <t>enk</t>
        </is>
      </c>
      <c r="R1381" t="inlineStr">
        <is>
          <t xml:space="preserve">QH </t>
        </is>
      </c>
      <c r="S1381" t="n">
        <v>3</v>
      </c>
      <c r="T1381" t="n">
        <v>3</v>
      </c>
      <c r="U1381" t="inlineStr">
        <is>
          <t>2001-04-25</t>
        </is>
      </c>
      <c r="V1381" t="inlineStr">
        <is>
          <t>2001-04-25</t>
        </is>
      </c>
      <c r="W1381" t="inlineStr">
        <is>
          <t>1997-07-14</t>
        </is>
      </c>
      <c r="X1381" t="inlineStr">
        <is>
          <t>1997-07-14</t>
        </is>
      </c>
      <c r="Y1381" t="n">
        <v>350</v>
      </c>
      <c r="Z1381" t="n">
        <v>255</v>
      </c>
      <c r="AA1381" t="n">
        <v>263</v>
      </c>
      <c r="AB1381" t="n">
        <v>3</v>
      </c>
      <c r="AC1381" t="n">
        <v>3</v>
      </c>
      <c r="AD1381" t="n">
        <v>13</v>
      </c>
      <c r="AE1381" t="n">
        <v>13</v>
      </c>
      <c r="AF1381" t="n">
        <v>3</v>
      </c>
      <c r="AG1381" t="n">
        <v>3</v>
      </c>
      <c r="AH1381" t="n">
        <v>1</v>
      </c>
      <c r="AI1381" t="n">
        <v>1</v>
      </c>
      <c r="AJ1381" t="n">
        <v>10</v>
      </c>
      <c r="AK1381" t="n">
        <v>10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HYPERLINK("http://catalog.hathitrust.org/Record/001492941","HathiTrust Record")</f>
        <v/>
      </c>
      <c r="AS1381">
        <f>HYPERLINK("https://creighton-primo.hosted.exlibrisgroup.com/primo-explore/search?tab=default_tab&amp;search_scope=EVERYTHING&amp;vid=01CRU&amp;lang=en_US&amp;offset=0&amp;query=any,contains,991003611109702656","Catalog Record")</f>
        <v/>
      </c>
      <c r="AT1381">
        <f>HYPERLINK("http://www.worldcat.org/oclc/1193865","WorldCat Record")</f>
        <v/>
      </c>
      <c r="AU1381" t="inlineStr">
        <is>
          <t>891344166:eng</t>
        </is>
      </c>
      <c r="AV1381" t="inlineStr">
        <is>
          <t>1193865</t>
        </is>
      </c>
      <c r="AW1381" t="inlineStr">
        <is>
          <t>991003611109702656</t>
        </is>
      </c>
      <c r="AX1381" t="inlineStr">
        <is>
          <t>991003611109702656</t>
        </is>
      </c>
      <c r="AY1381" t="inlineStr">
        <is>
          <t>2261233480002656</t>
        </is>
      </c>
      <c r="AZ1381" t="inlineStr">
        <is>
          <t>BOOK</t>
        </is>
      </c>
      <c r="BC1381" t="inlineStr">
        <is>
          <t>32285002914272</t>
        </is>
      </c>
      <c r="BD1381" t="inlineStr">
        <is>
          <t>893352949</t>
        </is>
      </c>
    </row>
    <row r="1382">
      <c r="A1382" t="inlineStr">
        <is>
          <t>No</t>
        </is>
      </c>
      <c r="B1382" t="inlineStr">
        <is>
          <t>QH581 .S74</t>
        </is>
      </c>
      <c r="C1382" t="inlineStr">
        <is>
          <t>0                      QH 0581000S  74</t>
        </is>
      </c>
      <c r="D1382" t="inlineStr">
        <is>
          <t>The biology of cells [by] Herbert Stern [and] David L. Nanney.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Stern, Herbert, 1918-</t>
        </is>
      </c>
      <c r="L1382" t="inlineStr">
        <is>
          <t>New York, Wiley [1965]</t>
        </is>
      </c>
      <c r="M1382" t="inlineStr">
        <is>
          <t>1965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QH </t>
        </is>
      </c>
      <c r="S1382" t="n">
        <v>1</v>
      </c>
      <c r="T1382" t="n">
        <v>1</v>
      </c>
      <c r="U1382" t="inlineStr">
        <is>
          <t>2007-06-08</t>
        </is>
      </c>
      <c r="V1382" t="inlineStr">
        <is>
          <t>2007-06-08</t>
        </is>
      </c>
      <c r="W1382" t="inlineStr">
        <is>
          <t>1997-07-14</t>
        </is>
      </c>
      <c r="X1382" t="inlineStr">
        <is>
          <t>1997-07-14</t>
        </is>
      </c>
      <c r="Y1382" t="n">
        <v>631</v>
      </c>
      <c r="Z1382" t="n">
        <v>482</v>
      </c>
      <c r="AA1382" t="n">
        <v>489</v>
      </c>
      <c r="AB1382" t="n">
        <v>5</v>
      </c>
      <c r="AC1382" t="n">
        <v>5</v>
      </c>
      <c r="AD1382" t="n">
        <v>20</v>
      </c>
      <c r="AE1382" t="n">
        <v>20</v>
      </c>
      <c r="AF1382" t="n">
        <v>6</v>
      </c>
      <c r="AG1382" t="n">
        <v>6</v>
      </c>
      <c r="AH1382" t="n">
        <v>5</v>
      </c>
      <c r="AI1382" t="n">
        <v>5</v>
      </c>
      <c r="AJ1382" t="n">
        <v>10</v>
      </c>
      <c r="AK1382" t="n">
        <v>10</v>
      </c>
      <c r="AL1382" t="n">
        <v>4</v>
      </c>
      <c r="AM1382" t="n">
        <v>4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HYPERLINK("http://catalog.hathitrust.org/Record/001492951","HathiTrust Record")</f>
        <v/>
      </c>
      <c r="AS1382">
        <f>HYPERLINK("https://creighton-primo.hosted.exlibrisgroup.com/primo-explore/search?tab=default_tab&amp;search_scope=EVERYTHING&amp;vid=01CRU&amp;lang=en_US&amp;offset=0&amp;query=any,contains,991002980409702656","Catalog Record")</f>
        <v/>
      </c>
      <c r="AT1382">
        <f>HYPERLINK("http://www.worldcat.org/oclc/554749","WorldCat Record")</f>
        <v/>
      </c>
      <c r="AU1382" t="inlineStr">
        <is>
          <t>1612556:eng</t>
        </is>
      </c>
      <c r="AV1382" t="inlineStr">
        <is>
          <t>554749</t>
        </is>
      </c>
      <c r="AW1382" t="inlineStr">
        <is>
          <t>991002980409702656</t>
        </is>
      </c>
      <c r="AX1382" t="inlineStr">
        <is>
          <t>991002980409702656</t>
        </is>
      </c>
      <c r="AY1382" t="inlineStr">
        <is>
          <t>2258507580002656</t>
        </is>
      </c>
      <c r="AZ1382" t="inlineStr">
        <is>
          <t>BOOK</t>
        </is>
      </c>
      <c r="BC1382" t="inlineStr">
        <is>
          <t>32285002914306</t>
        </is>
      </c>
      <c r="BD1382" t="inlineStr">
        <is>
          <t>893239753</t>
        </is>
      </c>
    </row>
    <row r="1383">
      <c r="A1383" t="inlineStr">
        <is>
          <t>No</t>
        </is>
      </c>
      <c r="B1383" t="inlineStr">
        <is>
          <t>QH581.2 .A94</t>
        </is>
      </c>
      <c r="C1383" t="inlineStr">
        <is>
          <t>0                      QH 0581200A  94</t>
        </is>
      </c>
      <c r="D1383" t="inlineStr">
        <is>
          <t>Basic cell biology / Charlotte J. Avers.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Avers, Charlotte J.</t>
        </is>
      </c>
      <c r="L1383" t="inlineStr">
        <is>
          <t>New York : Van Nostrand, c1978.</t>
        </is>
      </c>
      <c r="M1383" t="inlineStr">
        <is>
          <t>1978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QH </t>
        </is>
      </c>
      <c r="S1383" t="n">
        <v>6</v>
      </c>
      <c r="T1383" t="n">
        <v>6</v>
      </c>
      <c r="U1383" t="inlineStr">
        <is>
          <t>1995-09-30</t>
        </is>
      </c>
      <c r="V1383" t="inlineStr">
        <is>
          <t>1995-09-30</t>
        </is>
      </c>
      <c r="W1383" t="inlineStr">
        <is>
          <t>1992-01-28</t>
        </is>
      </c>
      <c r="X1383" t="inlineStr">
        <is>
          <t>1992-01-28</t>
        </is>
      </c>
      <c r="Y1383" t="n">
        <v>111</v>
      </c>
      <c r="Z1383" t="n">
        <v>83</v>
      </c>
      <c r="AA1383" t="n">
        <v>146</v>
      </c>
      <c r="AB1383" t="n">
        <v>2</v>
      </c>
      <c r="AC1383" t="n">
        <v>2</v>
      </c>
      <c r="AD1383" t="n">
        <v>2</v>
      </c>
      <c r="AE1383" t="n">
        <v>2</v>
      </c>
      <c r="AF1383" t="n">
        <v>1</v>
      </c>
      <c r="AG1383" t="n">
        <v>1</v>
      </c>
      <c r="AH1383" t="n">
        <v>0</v>
      </c>
      <c r="AI1383" t="n">
        <v>0</v>
      </c>
      <c r="AJ1383" t="n">
        <v>0</v>
      </c>
      <c r="AK1383" t="n">
        <v>0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HYPERLINK("http://catalog.hathitrust.org/Record/002651555","HathiTrust Record")</f>
        <v/>
      </c>
      <c r="AS1383">
        <f>HYPERLINK("https://creighton-primo.hosted.exlibrisgroup.com/primo-explore/search?tab=default_tab&amp;search_scope=EVERYTHING&amp;vid=01CRU&amp;lang=en_US&amp;offset=0&amp;query=any,contains,991004495259702656","Catalog Record")</f>
        <v/>
      </c>
      <c r="AT1383">
        <f>HYPERLINK("http://www.worldcat.org/oclc/3693159","WorldCat Record")</f>
        <v/>
      </c>
      <c r="AU1383" t="inlineStr">
        <is>
          <t>517646:eng</t>
        </is>
      </c>
      <c r="AV1383" t="inlineStr">
        <is>
          <t>3693159</t>
        </is>
      </c>
      <c r="AW1383" t="inlineStr">
        <is>
          <t>991004495259702656</t>
        </is>
      </c>
      <c r="AX1383" t="inlineStr">
        <is>
          <t>991004495259702656</t>
        </is>
      </c>
      <c r="AY1383" t="inlineStr">
        <is>
          <t>2256807280002656</t>
        </is>
      </c>
      <c r="AZ1383" t="inlineStr">
        <is>
          <t>BOOK</t>
        </is>
      </c>
      <c r="BC1383" t="inlineStr">
        <is>
          <t>32285000919281</t>
        </is>
      </c>
      <c r="BD1383" t="inlineStr">
        <is>
          <t>893599896</t>
        </is>
      </c>
    </row>
    <row r="1384">
      <c r="A1384" t="inlineStr">
        <is>
          <t>No</t>
        </is>
      </c>
      <c r="B1384" t="inlineStr">
        <is>
          <t>QH581.2 .B42 2006</t>
        </is>
      </c>
      <c r="C1384" t="inlineStr">
        <is>
          <t>0                      QH 0581200B  42          2006</t>
        </is>
      </c>
      <c r="D1384" t="inlineStr">
        <is>
          <t>Discovering cell mechanisms : the creation of modern cell biology / William Bechtel.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Bechtel, William.</t>
        </is>
      </c>
      <c r="L1384" t="inlineStr">
        <is>
          <t>New York : Cambridge University Press, 2006.</t>
        </is>
      </c>
      <c r="M1384" t="inlineStr">
        <is>
          <t>2006</t>
        </is>
      </c>
      <c r="O1384" t="inlineStr">
        <is>
          <t>eng</t>
        </is>
      </c>
      <c r="P1384" t="inlineStr">
        <is>
          <t>nyu</t>
        </is>
      </c>
      <c r="Q1384" t="inlineStr">
        <is>
          <t>Cambridge studies in philosophy and biology</t>
        </is>
      </c>
      <c r="R1384" t="inlineStr">
        <is>
          <t xml:space="preserve">QH </t>
        </is>
      </c>
      <c r="S1384" t="n">
        <v>1</v>
      </c>
      <c r="T1384" t="n">
        <v>1</v>
      </c>
      <c r="U1384" t="inlineStr">
        <is>
          <t>2007-01-17</t>
        </is>
      </c>
      <c r="V1384" t="inlineStr">
        <is>
          <t>2007-01-17</t>
        </is>
      </c>
      <c r="W1384" t="inlineStr">
        <is>
          <t>2007-01-17</t>
        </is>
      </c>
      <c r="X1384" t="inlineStr">
        <is>
          <t>2007-01-17</t>
        </is>
      </c>
      <c r="Y1384" t="n">
        <v>400</v>
      </c>
      <c r="Z1384" t="n">
        <v>316</v>
      </c>
      <c r="AA1384" t="n">
        <v>338</v>
      </c>
      <c r="AB1384" t="n">
        <v>3</v>
      </c>
      <c r="AC1384" t="n">
        <v>3</v>
      </c>
      <c r="AD1384" t="n">
        <v>12</v>
      </c>
      <c r="AE1384" t="n">
        <v>13</v>
      </c>
      <c r="AF1384" t="n">
        <v>3</v>
      </c>
      <c r="AG1384" t="n">
        <v>4</v>
      </c>
      <c r="AH1384" t="n">
        <v>3</v>
      </c>
      <c r="AI1384" t="n">
        <v>3</v>
      </c>
      <c r="AJ1384" t="n">
        <v>6</v>
      </c>
      <c r="AK1384" t="n">
        <v>7</v>
      </c>
      <c r="AL1384" t="n">
        <v>2</v>
      </c>
      <c r="AM1384" t="n">
        <v>2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HYPERLINK("https://creighton-primo.hosted.exlibrisgroup.com/primo-explore/search?tab=default_tab&amp;search_scope=EVERYTHING&amp;vid=01CRU&amp;lang=en_US&amp;offset=0&amp;query=any,contains,991005003739702656","Catalog Record")</f>
        <v/>
      </c>
      <c r="AT1384">
        <f>HYPERLINK("http://www.worldcat.org/oclc/60705682","WorldCat Record")</f>
        <v/>
      </c>
      <c r="AU1384" t="inlineStr">
        <is>
          <t>888107:eng</t>
        </is>
      </c>
      <c r="AV1384" t="inlineStr">
        <is>
          <t>60705682</t>
        </is>
      </c>
      <c r="AW1384" t="inlineStr">
        <is>
          <t>991005003739702656</t>
        </is>
      </c>
      <c r="AX1384" t="inlineStr">
        <is>
          <t>991005003739702656</t>
        </is>
      </c>
      <c r="AY1384" t="inlineStr">
        <is>
          <t>2265474360002656</t>
        </is>
      </c>
      <c r="AZ1384" t="inlineStr">
        <is>
          <t>BOOK</t>
        </is>
      </c>
      <c r="BB1384" t="inlineStr">
        <is>
          <t>9780521812474</t>
        </is>
      </c>
      <c r="BC1384" t="inlineStr">
        <is>
          <t>32285005271316</t>
        </is>
      </c>
      <c r="BD1384" t="inlineStr">
        <is>
          <t>893789309</t>
        </is>
      </c>
    </row>
    <row r="1385">
      <c r="A1385" t="inlineStr">
        <is>
          <t>No</t>
        </is>
      </c>
      <c r="B1385" t="inlineStr">
        <is>
          <t>QH581.2 .B82 1989</t>
        </is>
      </c>
      <c r="C1385" t="inlineStr">
        <is>
          <t>0                      QH 0581200B  82          1989</t>
        </is>
      </c>
      <c r="D1385" t="inlineStr">
        <is>
          <t>Microstructure and function of cells : electron micrographs of cell ultrastructure / Andreas Bubel ; illustrated by Cecilia Fitzsimons.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Bubel, Andreas.</t>
        </is>
      </c>
      <c r="L1385" t="inlineStr">
        <is>
          <t>Chichester, West Sussex, England : E. Horwood ; New York : Halsted Press, 1989.</t>
        </is>
      </c>
      <c r="M1385" t="inlineStr">
        <is>
          <t>1989</t>
        </is>
      </c>
      <c r="O1385" t="inlineStr">
        <is>
          <t>eng</t>
        </is>
      </c>
      <c r="P1385" t="inlineStr">
        <is>
          <t>enk</t>
        </is>
      </c>
      <c r="Q1385" t="inlineStr">
        <is>
          <t>Ellis Horwood series in life sciences</t>
        </is>
      </c>
      <c r="R1385" t="inlineStr">
        <is>
          <t xml:space="preserve">QH </t>
        </is>
      </c>
      <c r="S1385" t="n">
        <v>3</v>
      </c>
      <c r="T1385" t="n">
        <v>3</v>
      </c>
      <c r="U1385" t="inlineStr">
        <is>
          <t>1994-10-01</t>
        </is>
      </c>
      <c r="V1385" t="inlineStr">
        <is>
          <t>1994-10-01</t>
        </is>
      </c>
      <c r="W1385" t="inlineStr">
        <is>
          <t>1990-09-06</t>
        </is>
      </c>
      <c r="X1385" t="inlineStr">
        <is>
          <t>1990-09-06</t>
        </is>
      </c>
      <c r="Y1385" t="n">
        <v>468</v>
      </c>
      <c r="Z1385" t="n">
        <v>387</v>
      </c>
      <c r="AA1385" t="n">
        <v>401</v>
      </c>
      <c r="AB1385" t="n">
        <v>3</v>
      </c>
      <c r="AC1385" t="n">
        <v>3</v>
      </c>
      <c r="AD1385" t="n">
        <v>23</v>
      </c>
      <c r="AE1385" t="n">
        <v>23</v>
      </c>
      <c r="AF1385" t="n">
        <v>9</v>
      </c>
      <c r="AG1385" t="n">
        <v>9</v>
      </c>
      <c r="AH1385" t="n">
        <v>6</v>
      </c>
      <c r="AI1385" t="n">
        <v>6</v>
      </c>
      <c r="AJ1385" t="n">
        <v>12</v>
      </c>
      <c r="AK1385" t="n">
        <v>12</v>
      </c>
      <c r="AL1385" t="n">
        <v>2</v>
      </c>
      <c r="AM1385" t="n">
        <v>2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HYPERLINK("http://catalog.hathitrust.org/Record/001825162","HathiTrust Record")</f>
        <v/>
      </c>
      <c r="AS1385">
        <f>HYPERLINK("https://creighton-primo.hosted.exlibrisgroup.com/primo-explore/search?tab=default_tab&amp;search_scope=EVERYTHING&amp;vid=01CRU&amp;lang=en_US&amp;offset=0&amp;query=any,contains,991001306619702656","Catalog Record")</f>
        <v/>
      </c>
      <c r="AT1385">
        <f>HYPERLINK("http://www.worldcat.org/oclc/18106432","WorldCat Record")</f>
        <v/>
      </c>
      <c r="AU1385" t="inlineStr">
        <is>
          <t>795495248:eng</t>
        </is>
      </c>
      <c r="AV1385" t="inlineStr">
        <is>
          <t>18106432</t>
        </is>
      </c>
      <c r="AW1385" t="inlineStr">
        <is>
          <t>991001306619702656</t>
        </is>
      </c>
      <c r="AX1385" t="inlineStr">
        <is>
          <t>991001306619702656</t>
        </is>
      </c>
      <c r="AY1385" t="inlineStr">
        <is>
          <t>2257728070002656</t>
        </is>
      </c>
      <c r="AZ1385" t="inlineStr">
        <is>
          <t>BOOK</t>
        </is>
      </c>
      <c r="BB1385" t="inlineStr">
        <is>
          <t>9780470211762</t>
        </is>
      </c>
      <c r="BC1385" t="inlineStr">
        <is>
          <t>32285000276682</t>
        </is>
      </c>
      <c r="BD1385" t="inlineStr">
        <is>
          <t>893231900</t>
        </is>
      </c>
    </row>
    <row r="1386">
      <c r="A1386" t="inlineStr">
        <is>
          <t>No</t>
        </is>
      </c>
      <c r="B1386" t="inlineStr">
        <is>
          <t>QH581.2 .C38 1989</t>
        </is>
      </c>
      <c r="C1386" t="inlineStr">
        <is>
          <t>0                      QH 0581200C  38          1989</t>
        </is>
      </c>
      <c r="D1386" t="inlineStr">
        <is>
          <t>Organelles / Mark Carroll.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Carroll, Mark.</t>
        </is>
      </c>
      <c r="L1386" t="inlineStr">
        <is>
          <t>New York : Guilford Press, c1989.</t>
        </is>
      </c>
      <c r="M1386" t="inlineStr">
        <is>
          <t>1989</t>
        </is>
      </c>
      <c r="O1386" t="inlineStr">
        <is>
          <t>eng</t>
        </is>
      </c>
      <c r="P1386" t="inlineStr">
        <is>
          <t>nyu</t>
        </is>
      </c>
      <c r="Q1386" t="inlineStr">
        <is>
          <t>Molecular cell biology</t>
        </is>
      </c>
      <c r="R1386" t="inlineStr">
        <is>
          <t xml:space="preserve">QH </t>
        </is>
      </c>
      <c r="S1386" t="n">
        <v>1</v>
      </c>
      <c r="T1386" t="n">
        <v>1</v>
      </c>
      <c r="U1386" t="inlineStr">
        <is>
          <t>1994-09-19</t>
        </is>
      </c>
      <c r="V1386" t="inlineStr">
        <is>
          <t>1994-09-19</t>
        </is>
      </c>
      <c r="W1386" t="inlineStr">
        <is>
          <t>1992-06-30</t>
        </is>
      </c>
      <c r="X1386" t="inlineStr">
        <is>
          <t>1992-06-30</t>
        </is>
      </c>
      <c r="Y1386" t="n">
        <v>438</v>
      </c>
      <c r="Z1386" t="n">
        <v>395</v>
      </c>
      <c r="AA1386" t="n">
        <v>431</v>
      </c>
      <c r="AB1386" t="n">
        <v>3</v>
      </c>
      <c r="AC1386" t="n">
        <v>4</v>
      </c>
      <c r="AD1386" t="n">
        <v>18</v>
      </c>
      <c r="AE1386" t="n">
        <v>19</v>
      </c>
      <c r="AF1386" t="n">
        <v>7</v>
      </c>
      <c r="AG1386" t="n">
        <v>7</v>
      </c>
      <c r="AH1386" t="n">
        <v>2</v>
      </c>
      <c r="AI1386" t="n">
        <v>2</v>
      </c>
      <c r="AJ1386" t="n">
        <v>10</v>
      </c>
      <c r="AK1386" t="n">
        <v>10</v>
      </c>
      <c r="AL1386" t="n">
        <v>2</v>
      </c>
      <c r="AM1386" t="n">
        <v>3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HYPERLINK("https://creighton-primo.hosted.exlibrisgroup.com/primo-explore/search?tab=default_tab&amp;search_scope=EVERYTHING&amp;vid=01CRU&amp;lang=en_US&amp;offset=0&amp;query=any,contains,991001355289702656","Catalog Record")</f>
        <v/>
      </c>
      <c r="AT1386">
        <f>HYPERLINK("http://www.worldcat.org/oclc/18464592","WorldCat Record")</f>
        <v/>
      </c>
      <c r="AU1386" t="inlineStr">
        <is>
          <t>16867635:eng</t>
        </is>
      </c>
      <c r="AV1386" t="inlineStr">
        <is>
          <t>18464592</t>
        </is>
      </c>
      <c r="AW1386" t="inlineStr">
        <is>
          <t>991001355289702656</t>
        </is>
      </c>
      <c r="AX1386" t="inlineStr">
        <is>
          <t>991001355289702656</t>
        </is>
      </c>
      <c r="AY1386" t="inlineStr">
        <is>
          <t>2269040990002656</t>
        </is>
      </c>
      <c r="AZ1386" t="inlineStr">
        <is>
          <t>BOOK</t>
        </is>
      </c>
      <c r="BB1386" t="inlineStr">
        <is>
          <t>9780898625264</t>
        </is>
      </c>
      <c r="BC1386" t="inlineStr">
        <is>
          <t>32285001156685</t>
        </is>
      </c>
      <c r="BD1386" t="inlineStr">
        <is>
          <t>893608787</t>
        </is>
      </c>
    </row>
    <row r="1387">
      <c r="A1387" t="inlineStr">
        <is>
          <t>No</t>
        </is>
      </c>
      <c r="B1387" t="inlineStr">
        <is>
          <t>QH581.2 .C45 1984</t>
        </is>
      </c>
      <c r="C1387" t="inlineStr">
        <is>
          <t>0                      QH 0581200C  45          1984</t>
        </is>
      </c>
      <c r="D1387" t="inlineStr">
        <is>
          <t>Cells and organelles / Eric Holtzman, Alex B. Novikoff.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Philadelphia : Saunders College Pub., c1984.</t>
        </is>
      </c>
      <c r="M1387" t="inlineStr">
        <is>
          <t>1984</t>
        </is>
      </c>
      <c r="N1387" t="inlineStr">
        <is>
          <t>3rd ed.</t>
        </is>
      </c>
      <c r="O1387" t="inlineStr">
        <is>
          <t>eng</t>
        </is>
      </c>
      <c r="P1387" t="inlineStr">
        <is>
          <t>pau</t>
        </is>
      </c>
      <c r="R1387" t="inlineStr">
        <is>
          <t xml:space="preserve">QH </t>
        </is>
      </c>
      <c r="S1387" t="n">
        <v>7</v>
      </c>
      <c r="T1387" t="n">
        <v>7</v>
      </c>
      <c r="U1387" t="inlineStr">
        <is>
          <t>1994-11-12</t>
        </is>
      </c>
      <c r="V1387" t="inlineStr">
        <is>
          <t>1994-11-12</t>
        </is>
      </c>
      <c r="W1387" t="inlineStr">
        <is>
          <t>1991-12-23</t>
        </is>
      </c>
      <c r="X1387" t="inlineStr">
        <is>
          <t>1991-12-23</t>
        </is>
      </c>
      <c r="Y1387" t="n">
        <v>231</v>
      </c>
      <c r="Z1387" t="n">
        <v>169</v>
      </c>
      <c r="AA1387" t="n">
        <v>669</v>
      </c>
      <c r="AB1387" t="n">
        <v>2</v>
      </c>
      <c r="AC1387" t="n">
        <v>6</v>
      </c>
      <c r="AD1387" t="n">
        <v>12</v>
      </c>
      <c r="AE1387" t="n">
        <v>27</v>
      </c>
      <c r="AF1387" t="n">
        <v>4</v>
      </c>
      <c r="AG1387" t="n">
        <v>8</v>
      </c>
      <c r="AH1387" t="n">
        <v>3</v>
      </c>
      <c r="AI1387" t="n">
        <v>4</v>
      </c>
      <c r="AJ1387" t="n">
        <v>6</v>
      </c>
      <c r="AK1387" t="n">
        <v>14</v>
      </c>
      <c r="AL1387" t="n">
        <v>1</v>
      </c>
      <c r="AM1387" t="n">
        <v>5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HYPERLINK("https://creighton-primo.hosted.exlibrisgroup.com/primo-explore/search?tab=default_tab&amp;search_scope=EVERYTHING&amp;vid=01CRU&amp;lang=en_US&amp;offset=0&amp;query=any,contains,991000225449702656","Catalog Record")</f>
        <v/>
      </c>
      <c r="AT1387">
        <f>HYPERLINK("http://www.worldcat.org/oclc/9619522","WorldCat Record")</f>
        <v/>
      </c>
      <c r="AU1387" t="inlineStr">
        <is>
          <t>1325692:eng</t>
        </is>
      </c>
      <c r="AV1387" t="inlineStr">
        <is>
          <t>9619522</t>
        </is>
      </c>
      <c r="AW1387" t="inlineStr">
        <is>
          <t>991000225449702656</t>
        </is>
      </c>
      <c r="AX1387" t="inlineStr">
        <is>
          <t>991000225449702656</t>
        </is>
      </c>
      <c r="AY1387" t="inlineStr">
        <is>
          <t>2255546150002656</t>
        </is>
      </c>
      <c r="AZ1387" t="inlineStr">
        <is>
          <t>BOOK</t>
        </is>
      </c>
      <c r="BB1387" t="inlineStr">
        <is>
          <t>9780030494611</t>
        </is>
      </c>
      <c r="BC1387" t="inlineStr">
        <is>
          <t>32285000874965</t>
        </is>
      </c>
      <c r="BD1387" t="inlineStr">
        <is>
          <t>893614032</t>
        </is>
      </c>
    </row>
    <row r="1388">
      <c r="A1388" t="inlineStr">
        <is>
          <t>No</t>
        </is>
      </c>
      <c r="B1388" t="inlineStr">
        <is>
          <t>QH581.2 .E77 1990</t>
        </is>
      </c>
      <c r="C1388" t="inlineStr">
        <is>
          <t>0                      QH 0581200E  77          1990</t>
        </is>
      </c>
      <c r="D1388" t="inlineStr">
        <is>
          <t>Essential cell biology / edited by Christopher C. Widnell, Karl H. Pfenninger.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Baltimore : Williams &amp; Wilkins, c1990.</t>
        </is>
      </c>
      <c r="M1388" t="inlineStr">
        <is>
          <t>1990</t>
        </is>
      </c>
      <c r="O1388" t="inlineStr">
        <is>
          <t>eng</t>
        </is>
      </c>
      <c r="P1388" t="inlineStr">
        <is>
          <t>mdu</t>
        </is>
      </c>
      <c r="R1388" t="inlineStr">
        <is>
          <t xml:space="preserve">QH </t>
        </is>
      </c>
      <c r="S1388" t="n">
        <v>10</v>
      </c>
      <c r="T1388" t="n">
        <v>10</v>
      </c>
      <c r="U1388" t="inlineStr">
        <is>
          <t>2002-12-20</t>
        </is>
      </c>
      <c r="V1388" t="inlineStr">
        <is>
          <t>2002-12-20</t>
        </is>
      </c>
      <c r="W1388" t="inlineStr">
        <is>
          <t>1995-02-03</t>
        </is>
      </c>
      <c r="X1388" t="inlineStr">
        <is>
          <t>1995-02-03</t>
        </is>
      </c>
      <c r="Y1388" t="n">
        <v>213</v>
      </c>
      <c r="Z1388" t="n">
        <v>133</v>
      </c>
      <c r="AA1388" t="n">
        <v>133</v>
      </c>
      <c r="AB1388" t="n">
        <v>1</v>
      </c>
      <c r="AC1388" t="n">
        <v>1</v>
      </c>
      <c r="AD1388" t="n">
        <v>1</v>
      </c>
      <c r="AE1388" t="n">
        <v>1</v>
      </c>
      <c r="AF1388" t="n">
        <v>1</v>
      </c>
      <c r="AG1388" t="n">
        <v>1</v>
      </c>
      <c r="AH1388" t="n">
        <v>0</v>
      </c>
      <c r="AI1388" t="n">
        <v>0</v>
      </c>
      <c r="AJ1388" t="n">
        <v>0</v>
      </c>
      <c r="AK1388" t="n">
        <v>0</v>
      </c>
      <c r="AL1388" t="n">
        <v>0</v>
      </c>
      <c r="AM1388" t="n">
        <v>0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No</t>
        </is>
      </c>
      <c r="AS1388">
        <f>HYPERLINK("https://creighton-primo.hosted.exlibrisgroup.com/primo-explore/search?tab=default_tab&amp;search_scope=EVERYTHING&amp;vid=01CRU&amp;lang=en_US&amp;offset=0&amp;query=any,contains,991001526549702656","Catalog Record")</f>
        <v/>
      </c>
      <c r="AT1388">
        <f>HYPERLINK("http://www.worldcat.org/oclc/20013188","WorldCat Record")</f>
        <v/>
      </c>
      <c r="AU1388" t="inlineStr">
        <is>
          <t>356265475:eng</t>
        </is>
      </c>
      <c r="AV1388" t="inlineStr">
        <is>
          <t>20013188</t>
        </is>
      </c>
      <c r="AW1388" t="inlineStr">
        <is>
          <t>991001526549702656</t>
        </is>
      </c>
      <c r="AX1388" t="inlineStr">
        <is>
          <t>991001526549702656</t>
        </is>
      </c>
      <c r="AY1388" t="inlineStr">
        <is>
          <t>2262135590002656</t>
        </is>
      </c>
      <c r="AZ1388" t="inlineStr">
        <is>
          <t>BOOK</t>
        </is>
      </c>
      <c r="BB1388" t="inlineStr">
        <is>
          <t>9780683090512</t>
        </is>
      </c>
      <c r="BC1388" t="inlineStr">
        <is>
          <t>32285001988244</t>
        </is>
      </c>
      <c r="BD1388" t="inlineStr">
        <is>
          <t>893420386</t>
        </is>
      </c>
    </row>
    <row r="1389">
      <c r="A1389" t="inlineStr">
        <is>
          <t>No</t>
        </is>
      </c>
      <c r="B1389" t="inlineStr">
        <is>
          <t>QH581.2 .M37</t>
        </is>
      </c>
      <c r="C1389" t="inlineStr">
        <is>
          <t>0                      QH 0581200M  37</t>
        </is>
      </c>
      <c r="D1389" t="inlineStr">
        <is>
          <t>Origin of eukaryotic cells : evidence and research implications for a theory of the origin and evolution of microbial, plant, and animal cells on the Precambrian earth.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Margulis, Lynn, 1938-2011.</t>
        </is>
      </c>
      <c r="L1389" t="inlineStr">
        <is>
          <t>New Haven : Yale University Press, 1970.</t>
        </is>
      </c>
      <c r="M1389" t="inlineStr">
        <is>
          <t>1970</t>
        </is>
      </c>
      <c r="O1389" t="inlineStr">
        <is>
          <t>eng</t>
        </is>
      </c>
      <c r="P1389" t="inlineStr">
        <is>
          <t>ctu</t>
        </is>
      </c>
      <c r="R1389" t="inlineStr">
        <is>
          <t xml:space="preserve">QH </t>
        </is>
      </c>
      <c r="S1389" t="n">
        <v>16</v>
      </c>
      <c r="T1389" t="n">
        <v>16</v>
      </c>
      <c r="U1389" t="inlineStr">
        <is>
          <t>2008-09-28</t>
        </is>
      </c>
      <c r="V1389" t="inlineStr">
        <is>
          <t>2008-09-28</t>
        </is>
      </c>
      <c r="W1389" t="inlineStr">
        <is>
          <t>1994-12-08</t>
        </is>
      </c>
      <c r="X1389" t="inlineStr">
        <is>
          <t>1994-12-08</t>
        </is>
      </c>
      <c r="Y1389" t="n">
        <v>602</v>
      </c>
      <c r="Z1389" t="n">
        <v>467</v>
      </c>
      <c r="AA1389" t="n">
        <v>468</v>
      </c>
      <c r="AB1389" t="n">
        <v>4</v>
      </c>
      <c r="AC1389" t="n">
        <v>4</v>
      </c>
      <c r="AD1389" t="n">
        <v>22</v>
      </c>
      <c r="AE1389" t="n">
        <v>22</v>
      </c>
      <c r="AF1389" t="n">
        <v>9</v>
      </c>
      <c r="AG1389" t="n">
        <v>9</v>
      </c>
      <c r="AH1389" t="n">
        <v>4</v>
      </c>
      <c r="AI1389" t="n">
        <v>4</v>
      </c>
      <c r="AJ1389" t="n">
        <v>11</v>
      </c>
      <c r="AK1389" t="n">
        <v>11</v>
      </c>
      <c r="AL1389" t="n">
        <v>3</v>
      </c>
      <c r="AM1389" t="n">
        <v>3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HYPERLINK("https://creighton-primo.hosted.exlibrisgroup.com/primo-explore/search?tab=default_tab&amp;search_scope=EVERYTHING&amp;vid=01CRU&amp;lang=en_US&amp;offset=0&amp;query=any,contains,991000636619702656","Catalog Record")</f>
        <v/>
      </c>
      <c r="AT1389">
        <f>HYPERLINK("http://www.worldcat.org/oclc/108043","WorldCat Record")</f>
        <v/>
      </c>
      <c r="AU1389" t="inlineStr">
        <is>
          <t>1195396:eng</t>
        </is>
      </c>
      <c r="AV1389" t="inlineStr">
        <is>
          <t>108043</t>
        </is>
      </c>
      <c r="AW1389" t="inlineStr">
        <is>
          <t>991000636619702656</t>
        </is>
      </c>
      <c r="AX1389" t="inlineStr">
        <is>
          <t>991000636619702656</t>
        </is>
      </c>
      <c r="AY1389" t="inlineStr">
        <is>
          <t>2261938060002656</t>
        </is>
      </c>
      <c r="AZ1389" t="inlineStr">
        <is>
          <t>BOOK</t>
        </is>
      </c>
      <c r="BB1389" t="inlineStr">
        <is>
          <t>9780300013535</t>
        </is>
      </c>
      <c r="BC1389" t="inlineStr">
        <is>
          <t>32285001980746</t>
        </is>
      </c>
      <c r="BD1389" t="inlineStr">
        <is>
          <t>893534247</t>
        </is>
      </c>
    </row>
    <row r="1390">
      <c r="A1390" t="inlineStr">
        <is>
          <t>No</t>
        </is>
      </c>
      <c r="B1390" t="inlineStr">
        <is>
          <t>QH581.2 .M372 1993</t>
        </is>
      </c>
      <c r="C1390" t="inlineStr">
        <is>
          <t>0                      QH 0581200M  372         1993</t>
        </is>
      </c>
      <c r="D1390" t="inlineStr">
        <is>
          <t>Symbiosis in cell evolution : microbial communities in the Archean and Proterozoic eons / Lynn Margulis.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Margulis, Lynn, 1938-2011.</t>
        </is>
      </c>
      <c r="L1390" t="inlineStr">
        <is>
          <t>New York : Freeman, 1993.</t>
        </is>
      </c>
      <c r="M1390" t="inlineStr">
        <is>
          <t>1993</t>
        </is>
      </c>
      <c r="N1390" t="inlineStr">
        <is>
          <t>2nd ed.</t>
        </is>
      </c>
      <c r="O1390" t="inlineStr">
        <is>
          <t>eng</t>
        </is>
      </c>
      <c r="P1390" t="inlineStr">
        <is>
          <t>nyu</t>
        </is>
      </c>
      <c r="R1390" t="inlineStr">
        <is>
          <t xml:space="preserve">QH </t>
        </is>
      </c>
      <c r="S1390" t="n">
        <v>20</v>
      </c>
      <c r="T1390" t="n">
        <v>20</v>
      </c>
      <c r="U1390" t="inlineStr">
        <is>
          <t>2005-12-10</t>
        </is>
      </c>
      <c r="V1390" t="inlineStr">
        <is>
          <t>2005-12-10</t>
        </is>
      </c>
      <c r="W1390" t="inlineStr">
        <is>
          <t>1992-10-07</t>
        </is>
      </c>
      <c r="X1390" t="inlineStr">
        <is>
          <t>1992-10-07</t>
        </is>
      </c>
      <c r="Y1390" t="n">
        <v>388</v>
      </c>
      <c r="Z1390" t="n">
        <v>270</v>
      </c>
      <c r="AA1390" t="n">
        <v>272</v>
      </c>
      <c r="AB1390" t="n">
        <v>2</v>
      </c>
      <c r="AC1390" t="n">
        <v>2</v>
      </c>
      <c r="AD1390" t="n">
        <v>14</v>
      </c>
      <c r="AE1390" t="n">
        <v>14</v>
      </c>
      <c r="AF1390" t="n">
        <v>5</v>
      </c>
      <c r="AG1390" t="n">
        <v>5</v>
      </c>
      <c r="AH1390" t="n">
        <v>4</v>
      </c>
      <c r="AI1390" t="n">
        <v>4</v>
      </c>
      <c r="AJ1390" t="n">
        <v>9</v>
      </c>
      <c r="AK1390" t="n">
        <v>9</v>
      </c>
      <c r="AL1390" t="n">
        <v>1</v>
      </c>
      <c r="AM1390" t="n">
        <v>1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HYPERLINK("https://creighton-primo.hosted.exlibrisgroup.com/primo-explore/search?tab=default_tab&amp;search_scope=EVERYTHING&amp;vid=01CRU&amp;lang=en_US&amp;offset=0&amp;query=any,contains,991002024029702656","Catalog Record")</f>
        <v/>
      </c>
      <c r="AT1390">
        <f>HYPERLINK("http://www.worldcat.org/oclc/25747601","WorldCat Record")</f>
        <v/>
      </c>
      <c r="AU1390" t="inlineStr">
        <is>
          <t>3769074039:eng</t>
        </is>
      </c>
      <c r="AV1390" t="inlineStr">
        <is>
          <t>25747601</t>
        </is>
      </c>
      <c r="AW1390" t="inlineStr">
        <is>
          <t>991002024029702656</t>
        </is>
      </c>
      <c r="AX1390" t="inlineStr">
        <is>
          <t>991002024029702656</t>
        </is>
      </c>
      <c r="AY1390" t="inlineStr">
        <is>
          <t>2269956310002656</t>
        </is>
      </c>
      <c r="AZ1390" t="inlineStr">
        <is>
          <t>BOOK</t>
        </is>
      </c>
      <c r="BB1390" t="inlineStr">
        <is>
          <t>9780716770282</t>
        </is>
      </c>
      <c r="BC1390" t="inlineStr">
        <is>
          <t>32285001315521</t>
        </is>
      </c>
      <c r="BD1390" t="inlineStr">
        <is>
          <t>893444918</t>
        </is>
      </c>
    </row>
    <row r="1391">
      <c r="A1391" t="inlineStr">
        <is>
          <t>No</t>
        </is>
      </c>
      <c r="B1391" t="inlineStr">
        <is>
          <t>QH581.2 .M64 1994 Supp.</t>
        </is>
      </c>
      <c r="C1391" t="inlineStr">
        <is>
          <t>0                      QH 0581200M  64          1994                                        Supp.</t>
        </is>
      </c>
      <c r="D1391" t="inlineStr">
        <is>
          <t>Molecular biology of the cell : the problems book / John Wilson, Tim Hunt.</t>
        </is>
      </c>
      <c r="E1391" t="inlineStr">
        <is>
          <t>Supp.*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Wilson, John H., 1944-</t>
        </is>
      </c>
      <c r="L1391" t="inlineStr">
        <is>
          <t>New York : Garland Pub., c1994.</t>
        </is>
      </c>
      <c r="M1391" t="inlineStr">
        <is>
          <t>1994</t>
        </is>
      </c>
      <c r="N1391" t="inlineStr">
        <is>
          <t>Rev. ed.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QH </t>
        </is>
      </c>
      <c r="S1391" t="n">
        <v>8</v>
      </c>
      <c r="T1391" t="n">
        <v>8</v>
      </c>
      <c r="U1391" t="inlineStr">
        <is>
          <t>2010-02-19</t>
        </is>
      </c>
      <c r="V1391" t="inlineStr">
        <is>
          <t>2010-02-19</t>
        </is>
      </c>
      <c r="W1391" t="inlineStr">
        <is>
          <t>2000-11-15</t>
        </is>
      </c>
      <c r="X1391" t="inlineStr">
        <is>
          <t>2000-11-15</t>
        </is>
      </c>
      <c r="Y1391" t="n">
        <v>162</v>
      </c>
      <c r="Z1391" t="n">
        <v>79</v>
      </c>
      <c r="AA1391" t="n">
        <v>252</v>
      </c>
      <c r="AB1391" t="n">
        <v>1</v>
      </c>
      <c r="AC1391" t="n">
        <v>1</v>
      </c>
      <c r="AD1391" t="n">
        <v>2</v>
      </c>
      <c r="AE1391" t="n">
        <v>7</v>
      </c>
      <c r="AF1391" t="n">
        <v>0</v>
      </c>
      <c r="AG1391" t="n">
        <v>1</v>
      </c>
      <c r="AH1391" t="n">
        <v>2</v>
      </c>
      <c r="AI1391" t="n">
        <v>3</v>
      </c>
      <c r="AJ1391" t="n">
        <v>1</v>
      </c>
      <c r="AK1391" t="n">
        <v>4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HYPERLINK("https://creighton-primo.hosted.exlibrisgroup.com/primo-explore/search?tab=default_tab&amp;search_scope=EVERYTHING&amp;vid=01CRU&amp;lang=en_US&amp;offset=0&amp;query=any,contains,991003341159702656","Catalog Record")</f>
        <v/>
      </c>
      <c r="AT1391">
        <f>HYPERLINK("http://www.worldcat.org/oclc/30983317","WorldCat Record")</f>
        <v/>
      </c>
      <c r="AU1391" t="inlineStr">
        <is>
          <t>4919577005:eng</t>
        </is>
      </c>
      <c r="AV1391" t="inlineStr">
        <is>
          <t>30983317</t>
        </is>
      </c>
      <c r="AW1391" t="inlineStr">
        <is>
          <t>991003341159702656</t>
        </is>
      </c>
      <c r="AX1391" t="inlineStr">
        <is>
          <t>991003341159702656</t>
        </is>
      </c>
      <c r="AY1391" t="inlineStr">
        <is>
          <t>2261198760002656</t>
        </is>
      </c>
      <c r="AZ1391" t="inlineStr">
        <is>
          <t>BOOK</t>
        </is>
      </c>
      <c r="BB1391" t="inlineStr">
        <is>
          <t>9780815316213</t>
        </is>
      </c>
      <c r="BC1391" t="inlineStr">
        <is>
          <t>32285004266366</t>
        </is>
      </c>
      <c r="BD1391" t="inlineStr">
        <is>
          <t>893617261</t>
        </is>
      </c>
    </row>
    <row r="1392">
      <c r="A1392" t="inlineStr">
        <is>
          <t>No</t>
        </is>
      </c>
      <c r="B1392" t="inlineStr">
        <is>
          <t>QH581.2 .P73 1988</t>
        </is>
      </c>
      <c r="C1392" t="inlineStr">
        <is>
          <t>0                      QH 0581200P  73          1988</t>
        </is>
      </c>
      <c r="D1392" t="inlineStr">
        <is>
          <t>Cells : principles of molecular structure and function / David M. Prescott.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Prescott, David M., 1926-2011.</t>
        </is>
      </c>
      <c r="L1392" t="inlineStr">
        <is>
          <t>Boston : Jones and Bartlett Publishers,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mau</t>
        </is>
      </c>
      <c r="Q1392" t="inlineStr">
        <is>
          <t>The Jones and Bartlett series in biology</t>
        </is>
      </c>
      <c r="R1392" t="inlineStr">
        <is>
          <t xml:space="preserve">QH </t>
        </is>
      </c>
      <c r="S1392" t="n">
        <v>6</v>
      </c>
      <c r="T1392" t="n">
        <v>6</v>
      </c>
      <c r="U1392" t="inlineStr">
        <is>
          <t>2002-07-14</t>
        </is>
      </c>
      <c r="V1392" t="inlineStr">
        <is>
          <t>2002-07-14</t>
        </is>
      </c>
      <c r="W1392" t="inlineStr">
        <is>
          <t>1993-05-03</t>
        </is>
      </c>
      <c r="X1392" t="inlineStr">
        <is>
          <t>1993-05-03</t>
        </is>
      </c>
      <c r="Y1392" t="n">
        <v>368</v>
      </c>
      <c r="Z1392" t="n">
        <v>256</v>
      </c>
      <c r="AA1392" t="n">
        <v>260</v>
      </c>
      <c r="AB1392" t="n">
        <v>3</v>
      </c>
      <c r="AC1392" t="n">
        <v>3</v>
      </c>
      <c r="AD1392" t="n">
        <v>11</v>
      </c>
      <c r="AE1392" t="n">
        <v>11</v>
      </c>
      <c r="AF1392" t="n">
        <v>4</v>
      </c>
      <c r="AG1392" t="n">
        <v>4</v>
      </c>
      <c r="AH1392" t="n">
        <v>2</v>
      </c>
      <c r="AI1392" t="n">
        <v>2</v>
      </c>
      <c r="AJ1392" t="n">
        <v>5</v>
      </c>
      <c r="AK1392" t="n">
        <v>5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HYPERLINK("http://catalog.hathitrust.org/Record/008364165","HathiTrust Record")</f>
        <v/>
      </c>
      <c r="AS1392">
        <f>HYPERLINK("https://creighton-primo.hosted.exlibrisgroup.com/primo-explore/search?tab=default_tab&amp;search_scope=EVERYTHING&amp;vid=01CRU&amp;lang=en_US&amp;offset=0&amp;query=any,contains,991001167159702656","Catalog Record")</f>
        <v/>
      </c>
      <c r="AT1392">
        <f>HYPERLINK("http://www.worldcat.org/oclc/16924906","WorldCat Record")</f>
        <v/>
      </c>
      <c r="AU1392" t="inlineStr">
        <is>
          <t>889341897:eng</t>
        </is>
      </c>
      <c r="AV1392" t="inlineStr">
        <is>
          <t>16924906</t>
        </is>
      </c>
      <c r="AW1392" t="inlineStr">
        <is>
          <t>991001167159702656</t>
        </is>
      </c>
      <c r="AX1392" t="inlineStr">
        <is>
          <t>991001167159702656</t>
        </is>
      </c>
      <c r="AY1392" t="inlineStr">
        <is>
          <t>2270921460002656</t>
        </is>
      </c>
      <c r="AZ1392" t="inlineStr">
        <is>
          <t>BOOK</t>
        </is>
      </c>
      <c r="BB1392" t="inlineStr">
        <is>
          <t>9780867200928</t>
        </is>
      </c>
      <c r="BC1392" t="inlineStr">
        <is>
          <t>32285001643021</t>
        </is>
      </c>
      <c r="BD1392" t="inlineStr">
        <is>
          <t>893684106</t>
        </is>
      </c>
    </row>
    <row r="1393">
      <c r="A1393" t="inlineStr">
        <is>
          <t>No</t>
        </is>
      </c>
      <c r="B1393" t="inlineStr">
        <is>
          <t>QH581.5 .C44</t>
        </is>
      </c>
      <c r="C1393" t="inlineStr">
        <is>
          <t>0                      QH 0581500C  44</t>
        </is>
      </c>
      <c r="D1393" t="inlineStr">
        <is>
          <t>Cell behaviour : a tribute to Michael Abercrombie / edited by Ruth Bellairs, Adam Curtis, Graham Dunn.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Cambridge ; New York : Cambridge University Press, 1982.</t>
        </is>
      </c>
      <c r="M1393" t="inlineStr">
        <is>
          <t>1982</t>
        </is>
      </c>
      <c r="O1393" t="inlineStr">
        <is>
          <t>eng</t>
        </is>
      </c>
      <c r="P1393" t="inlineStr">
        <is>
          <t>enk</t>
        </is>
      </c>
      <c r="R1393" t="inlineStr">
        <is>
          <t xml:space="preserve">QH </t>
        </is>
      </c>
      <c r="S1393" t="n">
        <v>2</v>
      </c>
      <c r="T1393" t="n">
        <v>2</v>
      </c>
      <c r="U1393" t="inlineStr">
        <is>
          <t>2007-02-19</t>
        </is>
      </c>
      <c r="V1393" t="inlineStr">
        <is>
          <t>2007-02-19</t>
        </is>
      </c>
      <c r="W1393" t="inlineStr">
        <is>
          <t>1993-05-03</t>
        </is>
      </c>
      <c r="X1393" t="inlineStr">
        <is>
          <t>1993-05-03</t>
        </is>
      </c>
      <c r="Y1393" t="n">
        <v>213</v>
      </c>
      <c r="Z1393" t="n">
        <v>153</v>
      </c>
      <c r="AA1393" t="n">
        <v>153</v>
      </c>
      <c r="AB1393" t="n">
        <v>2</v>
      </c>
      <c r="AC1393" t="n">
        <v>2</v>
      </c>
      <c r="AD1393" t="n">
        <v>4</v>
      </c>
      <c r="AE1393" t="n">
        <v>4</v>
      </c>
      <c r="AF1393" t="n">
        <v>0</v>
      </c>
      <c r="AG1393" t="n">
        <v>0</v>
      </c>
      <c r="AH1393" t="n">
        <v>2</v>
      </c>
      <c r="AI1393" t="n">
        <v>2</v>
      </c>
      <c r="AJ1393" t="n">
        <v>2</v>
      </c>
      <c r="AK1393" t="n">
        <v>2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HYPERLINK("https://creighton-primo.hosted.exlibrisgroup.com/primo-explore/search?tab=default_tab&amp;search_scope=EVERYTHING&amp;vid=01CRU&amp;lang=en_US&amp;offset=0&amp;query=any,contains,991005133309702656","Catalog Record")</f>
        <v/>
      </c>
      <c r="AT1393">
        <f>HYPERLINK("http://www.worldcat.org/oclc/7574330","WorldCat Record")</f>
        <v/>
      </c>
      <c r="AU1393" t="inlineStr">
        <is>
          <t>836674186:eng</t>
        </is>
      </c>
      <c r="AV1393" t="inlineStr">
        <is>
          <t>7574330</t>
        </is>
      </c>
      <c r="AW1393" t="inlineStr">
        <is>
          <t>991005133309702656</t>
        </is>
      </c>
      <c r="AX1393" t="inlineStr">
        <is>
          <t>991005133309702656</t>
        </is>
      </c>
      <c r="AY1393" t="inlineStr">
        <is>
          <t>2270996640002656</t>
        </is>
      </c>
      <c r="AZ1393" t="inlineStr">
        <is>
          <t>BOOK</t>
        </is>
      </c>
      <c r="BB1393" t="inlineStr">
        <is>
          <t>9780521241076</t>
        </is>
      </c>
      <c r="BC1393" t="inlineStr">
        <is>
          <t>32285001643047</t>
        </is>
      </c>
      <c r="BD1393" t="inlineStr">
        <is>
          <t>893895937</t>
        </is>
      </c>
    </row>
    <row r="1394">
      <c r="A1394" t="inlineStr">
        <is>
          <t>No</t>
        </is>
      </c>
      <c r="B1394" t="inlineStr">
        <is>
          <t>QH581.5 .N67 1991</t>
        </is>
      </c>
      <c r="C1394" t="inlineStr">
        <is>
          <t>0                      QH 0581500N  67          1991</t>
        </is>
      </c>
      <c r="D1394" t="inlineStr">
        <is>
          <t>Molecular and cell biophysics / Ralph J. Nossal, Harold Lecar.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Nossal, Ralph.</t>
        </is>
      </c>
      <c r="L1394" t="inlineStr">
        <is>
          <t>Redwood City, Calif. : Addison-Wesley Pub. Co., the Advanced Book Program, c1991.</t>
        </is>
      </c>
      <c r="M1394" t="inlineStr">
        <is>
          <t>1991</t>
        </is>
      </c>
      <c r="O1394" t="inlineStr">
        <is>
          <t>eng</t>
        </is>
      </c>
      <c r="P1394" t="inlineStr">
        <is>
          <t>cau</t>
        </is>
      </c>
      <c r="R1394" t="inlineStr">
        <is>
          <t xml:space="preserve">QH </t>
        </is>
      </c>
      <c r="S1394" t="n">
        <v>7</v>
      </c>
      <c r="T1394" t="n">
        <v>7</v>
      </c>
      <c r="U1394" t="inlineStr">
        <is>
          <t>2000-01-12</t>
        </is>
      </c>
      <c r="V1394" t="inlineStr">
        <is>
          <t>2000-01-12</t>
        </is>
      </c>
      <c r="W1394" t="inlineStr">
        <is>
          <t>1992-02-13</t>
        </is>
      </c>
      <c r="X1394" t="inlineStr">
        <is>
          <t>1992-02-13</t>
        </is>
      </c>
      <c r="Y1394" t="n">
        <v>275</v>
      </c>
      <c r="Z1394" t="n">
        <v>197</v>
      </c>
      <c r="AA1394" t="n">
        <v>198</v>
      </c>
      <c r="AB1394" t="n">
        <v>3</v>
      </c>
      <c r="AC1394" t="n">
        <v>3</v>
      </c>
      <c r="AD1394" t="n">
        <v>8</v>
      </c>
      <c r="AE1394" t="n">
        <v>8</v>
      </c>
      <c r="AF1394" t="n">
        <v>3</v>
      </c>
      <c r="AG1394" t="n">
        <v>3</v>
      </c>
      <c r="AH1394" t="n">
        <v>1</v>
      </c>
      <c r="AI1394" t="n">
        <v>1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HYPERLINK("http://catalog.hathitrust.org/Record/002464791","HathiTrust Record")</f>
        <v/>
      </c>
      <c r="AS1394">
        <f>HYPERLINK("https://creighton-primo.hosted.exlibrisgroup.com/primo-explore/search?tab=default_tab&amp;search_scope=EVERYTHING&amp;vid=01CRU&amp;lang=en_US&amp;offset=0&amp;query=any,contains,991001451729702656","Catalog Record")</f>
        <v/>
      </c>
      <c r="AT1394">
        <f>HYPERLINK("http://www.worldcat.org/oclc/19325441","WorldCat Record")</f>
        <v/>
      </c>
      <c r="AU1394" t="inlineStr">
        <is>
          <t>143993269:eng</t>
        </is>
      </c>
      <c r="AV1394" t="inlineStr">
        <is>
          <t>19325441</t>
        </is>
      </c>
      <c r="AW1394" t="inlineStr">
        <is>
          <t>991001451729702656</t>
        </is>
      </c>
      <c r="AX1394" t="inlineStr">
        <is>
          <t>991001451729702656</t>
        </is>
      </c>
      <c r="AY1394" t="inlineStr">
        <is>
          <t>2267574280002656</t>
        </is>
      </c>
      <c r="AZ1394" t="inlineStr">
        <is>
          <t>BOOK</t>
        </is>
      </c>
      <c r="BB1394" t="inlineStr">
        <is>
          <t>9780201195606</t>
        </is>
      </c>
      <c r="BC1394" t="inlineStr">
        <is>
          <t>32285000935048</t>
        </is>
      </c>
      <c r="BD1394" t="inlineStr">
        <is>
          <t>893696757</t>
        </is>
      </c>
    </row>
    <row r="1395">
      <c r="A1395" t="inlineStr">
        <is>
          <t>No</t>
        </is>
      </c>
      <c r="B1395" t="inlineStr">
        <is>
          <t>QH582 .H65 1989</t>
        </is>
      </c>
      <c r="C1395" t="inlineStr">
        <is>
          <t>0                      QH 0582000H  65          1989</t>
        </is>
      </c>
      <c r="D1395" t="inlineStr">
        <is>
          <t>Stereo atlas of the cell / Martin J. Hollenberg, David H. Cormack, Peter J. Lea.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Hollenberg, Martin J.</t>
        </is>
      </c>
      <c r="L1395" t="inlineStr">
        <is>
          <t>Toronto ; Philadelphia : B.C. Decker, 1989.</t>
        </is>
      </c>
      <c r="M1395" t="inlineStr">
        <is>
          <t>1989</t>
        </is>
      </c>
      <c r="O1395" t="inlineStr">
        <is>
          <t>eng</t>
        </is>
      </c>
      <c r="P1395" t="inlineStr">
        <is>
          <t>onc</t>
        </is>
      </c>
      <c r="R1395" t="inlineStr">
        <is>
          <t xml:space="preserve">QH </t>
        </is>
      </c>
      <c r="S1395" t="n">
        <v>8</v>
      </c>
      <c r="T1395" t="n">
        <v>8</v>
      </c>
      <c r="U1395" t="inlineStr">
        <is>
          <t>1994-09-29</t>
        </is>
      </c>
      <c r="V1395" t="inlineStr">
        <is>
          <t>1994-09-29</t>
        </is>
      </c>
      <c r="W1395" t="inlineStr">
        <is>
          <t>1993-05-10</t>
        </is>
      </c>
      <c r="X1395" t="inlineStr">
        <is>
          <t>1993-05-10</t>
        </is>
      </c>
      <c r="Y1395" t="n">
        <v>124</v>
      </c>
      <c r="Z1395" t="n">
        <v>102</v>
      </c>
      <c r="AA1395" t="n">
        <v>104</v>
      </c>
      <c r="AB1395" t="n">
        <v>2</v>
      </c>
      <c r="AC1395" t="n">
        <v>2</v>
      </c>
      <c r="AD1395" t="n">
        <v>1</v>
      </c>
      <c r="AE1395" t="n">
        <v>1</v>
      </c>
      <c r="AF1395" t="n">
        <v>0</v>
      </c>
      <c r="AG1395" t="n">
        <v>0</v>
      </c>
      <c r="AH1395" t="n">
        <v>0</v>
      </c>
      <c r="AI1395" t="n">
        <v>0</v>
      </c>
      <c r="AJ1395" t="n">
        <v>0</v>
      </c>
      <c r="AK1395" t="n">
        <v>0</v>
      </c>
      <c r="AL1395" t="n">
        <v>1</v>
      </c>
      <c r="AM1395" t="n">
        <v>1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HYPERLINK("http://catalog.hathitrust.org/Record/001818496","HathiTrust Record")</f>
        <v/>
      </c>
      <c r="AS1395">
        <f>HYPERLINK("https://creighton-primo.hosted.exlibrisgroup.com/primo-explore/search?tab=default_tab&amp;search_scope=EVERYTHING&amp;vid=01CRU&amp;lang=en_US&amp;offset=0&amp;query=any,contains,991001489309702656","Catalog Record")</f>
        <v/>
      </c>
      <c r="AT1395">
        <f>HYPERLINK("http://www.worldcat.org/oclc/19695490","WorldCat Record")</f>
        <v/>
      </c>
      <c r="AU1395" t="inlineStr">
        <is>
          <t>21860831:eng</t>
        </is>
      </c>
      <c r="AV1395" t="inlineStr">
        <is>
          <t>19695490</t>
        </is>
      </c>
      <c r="AW1395" t="inlineStr">
        <is>
          <t>991001489309702656</t>
        </is>
      </c>
      <c r="AX1395" t="inlineStr">
        <is>
          <t>991001489309702656</t>
        </is>
      </c>
      <c r="AY1395" t="inlineStr">
        <is>
          <t>2269378390002656</t>
        </is>
      </c>
      <c r="AZ1395" t="inlineStr">
        <is>
          <t>BOOK</t>
        </is>
      </c>
      <c r="BB1395" t="inlineStr">
        <is>
          <t>9781556641244</t>
        </is>
      </c>
      <c r="BC1395" t="inlineStr">
        <is>
          <t>32285001643054</t>
        </is>
      </c>
      <c r="BD1395" t="inlineStr">
        <is>
          <t>893903435</t>
        </is>
      </c>
    </row>
    <row r="1396">
      <c r="A1396" t="inlineStr">
        <is>
          <t>No</t>
        </is>
      </c>
      <c r="B1396" t="inlineStr">
        <is>
          <t>QH582 .L45</t>
        </is>
      </c>
      <c r="C1396" t="inlineStr">
        <is>
          <t>0                      QH 0582000L  45</t>
        </is>
      </c>
      <c r="D1396" t="inlineStr">
        <is>
          <t>Cell fine structure; an atlas of drawings of whole-cell structure [by] Thomas L. Lentz.</t>
        </is>
      </c>
      <c r="F1396" t="inlineStr">
        <is>
          <t>No</t>
        </is>
      </c>
      <c r="G1396" t="inlineStr">
        <is>
          <t>1</t>
        </is>
      </c>
      <c r="H1396" t="inlineStr">
        <is>
          <t>Yes</t>
        </is>
      </c>
      <c r="I1396" t="inlineStr">
        <is>
          <t>No</t>
        </is>
      </c>
      <c r="J1396" t="inlineStr">
        <is>
          <t>0</t>
        </is>
      </c>
      <c r="K1396" t="inlineStr">
        <is>
          <t>Lentz, Thomas L.</t>
        </is>
      </c>
      <c r="L1396" t="inlineStr">
        <is>
          <t>Philadelphia, Saunders, 1971.</t>
        </is>
      </c>
      <c r="M1396" t="inlineStr">
        <is>
          <t>1971</t>
        </is>
      </c>
      <c r="O1396" t="inlineStr">
        <is>
          <t>eng</t>
        </is>
      </c>
      <c r="P1396" t="inlineStr">
        <is>
          <t>pau</t>
        </is>
      </c>
      <c r="R1396" t="inlineStr">
        <is>
          <t xml:space="preserve">QH </t>
        </is>
      </c>
      <c r="S1396" t="n">
        <v>2</v>
      </c>
      <c r="T1396" t="n">
        <v>4</v>
      </c>
      <c r="U1396" t="inlineStr">
        <is>
          <t>2008-11-21</t>
        </is>
      </c>
      <c r="V1396" t="inlineStr">
        <is>
          <t>2008-11-21</t>
        </is>
      </c>
      <c r="W1396" t="inlineStr">
        <is>
          <t>1997-07-14</t>
        </is>
      </c>
      <c r="X1396" t="inlineStr">
        <is>
          <t>1997-07-14</t>
        </is>
      </c>
      <c r="Y1396" t="n">
        <v>573</v>
      </c>
      <c r="Z1396" t="n">
        <v>463</v>
      </c>
      <c r="AA1396" t="n">
        <v>465</v>
      </c>
      <c r="AB1396" t="n">
        <v>6</v>
      </c>
      <c r="AC1396" t="n">
        <v>6</v>
      </c>
      <c r="AD1396" t="n">
        <v>18</v>
      </c>
      <c r="AE1396" t="n">
        <v>18</v>
      </c>
      <c r="AF1396" t="n">
        <v>5</v>
      </c>
      <c r="AG1396" t="n">
        <v>5</v>
      </c>
      <c r="AH1396" t="n">
        <v>2</v>
      </c>
      <c r="AI1396" t="n">
        <v>2</v>
      </c>
      <c r="AJ1396" t="n">
        <v>9</v>
      </c>
      <c r="AK1396" t="n">
        <v>9</v>
      </c>
      <c r="AL1396" t="n">
        <v>4</v>
      </c>
      <c r="AM1396" t="n">
        <v>4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HYPERLINK("http://catalog.hathitrust.org/Record/001492980","HathiTrust Record")</f>
        <v/>
      </c>
      <c r="AS1396">
        <f>HYPERLINK("https://creighton-primo.hosted.exlibrisgroup.com/primo-explore/search?tab=default_tab&amp;search_scope=EVERYTHING&amp;vid=01CRU&amp;lang=en_US&amp;offset=0&amp;query=any,contains,991001764409702656","Catalog Record")</f>
        <v/>
      </c>
      <c r="AT1396">
        <f>HYPERLINK("http://www.worldcat.org/oclc/137904","WorldCat Record")</f>
        <v/>
      </c>
      <c r="AU1396" t="inlineStr">
        <is>
          <t>197559779:eng</t>
        </is>
      </c>
      <c r="AV1396" t="inlineStr">
        <is>
          <t>137904</t>
        </is>
      </c>
      <c r="AW1396" t="inlineStr">
        <is>
          <t>991001764409702656</t>
        </is>
      </c>
      <c r="AX1396" t="inlineStr">
        <is>
          <t>991001764409702656</t>
        </is>
      </c>
      <c r="AY1396" t="inlineStr">
        <is>
          <t>2261988780002656</t>
        </is>
      </c>
      <c r="AZ1396" t="inlineStr">
        <is>
          <t>BOOK</t>
        </is>
      </c>
      <c r="BB1396" t="inlineStr">
        <is>
          <t>9780721657189</t>
        </is>
      </c>
      <c r="BC1396" t="inlineStr">
        <is>
          <t>32285002914447</t>
        </is>
      </c>
      <c r="BD1396" t="inlineStr">
        <is>
          <t>893522818</t>
        </is>
      </c>
    </row>
    <row r="1397">
      <c r="A1397" t="inlineStr">
        <is>
          <t>No</t>
        </is>
      </c>
      <c r="B1397" t="inlineStr">
        <is>
          <t>QH582.5 .B35 1993</t>
        </is>
      </c>
      <c r="C1397" t="inlineStr">
        <is>
          <t>0                      QH 0582500B  35          1993</t>
        </is>
      </c>
      <c r="D1397" t="inlineStr">
        <is>
          <t>Cells are us / by Fran Balkwill ; illustrated by Mic Rolph.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Balkwill, Frances R.</t>
        </is>
      </c>
      <c r="L1397" t="inlineStr">
        <is>
          <t>Minneapolis : Carolrhoda Books, 1993.</t>
        </is>
      </c>
      <c r="M1397" t="inlineStr">
        <is>
          <t>1993</t>
        </is>
      </c>
      <c r="O1397" t="inlineStr">
        <is>
          <t>eng</t>
        </is>
      </c>
      <c r="P1397" t="inlineStr">
        <is>
          <t>mnu</t>
        </is>
      </c>
      <c r="R1397" t="inlineStr">
        <is>
          <t xml:space="preserve">QH </t>
        </is>
      </c>
      <c r="S1397" t="n">
        <v>35</v>
      </c>
      <c r="T1397" t="n">
        <v>35</v>
      </c>
      <c r="U1397" t="inlineStr">
        <is>
          <t>2007-11-07</t>
        </is>
      </c>
      <c r="V1397" t="inlineStr">
        <is>
          <t>2007-11-07</t>
        </is>
      </c>
      <c r="W1397" t="inlineStr">
        <is>
          <t>1994-06-01</t>
        </is>
      </c>
      <c r="X1397" t="inlineStr">
        <is>
          <t>1994-06-01</t>
        </is>
      </c>
      <c r="Y1397" t="n">
        <v>501</v>
      </c>
      <c r="Z1397" t="n">
        <v>478</v>
      </c>
      <c r="AA1397" t="n">
        <v>504</v>
      </c>
      <c r="AB1397" t="n">
        <v>4</v>
      </c>
      <c r="AC1397" t="n">
        <v>4</v>
      </c>
      <c r="AD1397" t="n">
        <v>2</v>
      </c>
      <c r="AE1397" t="n">
        <v>2</v>
      </c>
      <c r="AF1397" t="n">
        <v>0</v>
      </c>
      <c r="AG1397" t="n">
        <v>0</v>
      </c>
      <c r="AH1397" t="n">
        <v>2</v>
      </c>
      <c r="AI1397" t="n">
        <v>2</v>
      </c>
      <c r="AJ1397" t="n">
        <v>1</v>
      </c>
      <c r="AK1397" t="n">
        <v>1</v>
      </c>
      <c r="AL1397" t="n">
        <v>0</v>
      </c>
      <c r="AM1397" t="n">
        <v>0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HYPERLINK("https://creighton-primo.hosted.exlibrisgroup.com/primo-explore/search?tab=default_tab&amp;search_scope=EVERYTHING&amp;vid=01CRU&amp;lang=en_US&amp;offset=0&amp;query=any,contains,991004563479702656","Catalog Record")</f>
        <v/>
      </c>
      <c r="AT1397">
        <f>HYPERLINK("http://www.worldcat.org/oclc/25508297","WorldCat Record")</f>
        <v/>
      </c>
      <c r="AU1397" t="inlineStr">
        <is>
          <t>18926838:eng</t>
        </is>
      </c>
      <c r="AV1397" t="inlineStr">
        <is>
          <t>25508297</t>
        </is>
      </c>
      <c r="AW1397" t="inlineStr">
        <is>
          <t>991004563479702656</t>
        </is>
      </c>
      <c r="AX1397" t="inlineStr">
        <is>
          <t>991004563479702656</t>
        </is>
      </c>
      <c r="AY1397" t="inlineStr">
        <is>
          <t>2272428560002656</t>
        </is>
      </c>
      <c r="AZ1397" t="inlineStr">
        <is>
          <t>BOOK</t>
        </is>
      </c>
      <c r="BB1397" t="inlineStr">
        <is>
          <t>9780876147627</t>
        </is>
      </c>
      <c r="BC1397" t="inlineStr">
        <is>
          <t>32285001920080</t>
        </is>
      </c>
      <c r="BD1397" t="inlineStr">
        <is>
          <t>893585471</t>
        </is>
      </c>
    </row>
    <row r="1398">
      <c r="A1398" t="inlineStr">
        <is>
          <t>No</t>
        </is>
      </c>
      <c r="B1398" t="inlineStr">
        <is>
          <t>QH583.2 .C46 1996</t>
        </is>
      </c>
      <c r="C1398" t="inlineStr">
        <is>
          <t>0                      QH 0583200C  46          1996</t>
        </is>
      </c>
      <c r="D1398" t="inlineStr">
        <is>
          <t>Cell biology : essential techniques / edited by D. Rickwood, J.R. Harris.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Chichester ; New York : Wiley, c1996.</t>
        </is>
      </c>
      <c r="M1398" t="inlineStr">
        <is>
          <t>1996</t>
        </is>
      </c>
      <c r="O1398" t="inlineStr">
        <is>
          <t>eng</t>
        </is>
      </c>
      <c r="P1398" t="inlineStr">
        <is>
          <t>enk</t>
        </is>
      </c>
      <c r="Q1398" t="inlineStr">
        <is>
          <t>Essential techniques series</t>
        </is>
      </c>
      <c r="R1398" t="inlineStr">
        <is>
          <t xml:space="preserve">QH </t>
        </is>
      </c>
      <c r="S1398" t="n">
        <v>4</v>
      </c>
      <c r="T1398" t="n">
        <v>4</v>
      </c>
      <c r="U1398" t="inlineStr">
        <is>
          <t>2002-07-30</t>
        </is>
      </c>
      <c r="V1398" t="inlineStr">
        <is>
          <t>2002-07-30</t>
        </is>
      </c>
      <c r="W1398" t="inlineStr">
        <is>
          <t>1997-09-10</t>
        </is>
      </c>
      <c r="X1398" t="inlineStr">
        <is>
          <t>1997-09-10</t>
        </is>
      </c>
      <c r="Y1398" t="n">
        <v>195</v>
      </c>
      <c r="Z1398" t="n">
        <v>125</v>
      </c>
      <c r="AA1398" t="n">
        <v>226</v>
      </c>
      <c r="AB1398" t="n">
        <v>1</v>
      </c>
      <c r="AC1398" t="n">
        <v>2</v>
      </c>
      <c r="AD1398" t="n">
        <v>4</v>
      </c>
      <c r="AE1398" t="n">
        <v>5</v>
      </c>
      <c r="AF1398" t="n">
        <v>2</v>
      </c>
      <c r="AG1398" t="n">
        <v>2</v>
      </c>
      <c r="AH1398" t="n">
        <v>2</v>
      </c>
      <c r="AI1398" t="n">
        <v>2</v>
      </c>
      <c r="AJ1398" t="n">
        <v>4</v>
      </c>
      <c r="AK1398" t="n">
        <v>4</v>
      </c>
      <c r="AL1398" t="n">
        <v>0</v>
      </c>
      <c r="AM1398" t="n">
        <v>1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HYPERLINK("https://creighton-primo.hosted.exlibrisgroup.com/primo-explore/search?tab=default_tab&amp;search_scope=EVERYTHING&amp;vid=01CRU&amp;lang=en_US&amp;offset=0&amp;query=any,contains,991002702639702656","Catalog Record")</f>
        <v/>
      </c>
      <c r="AT1398">
        <f>HYPERLINK("http://www.worldcat.org/oclc/35285399","WorldCat Record")</f>
        <v/>
      </c>
      <c r="AU1398" t="inlineStr">
        <is>
          <t>357902251:eng</t>
        </is>
      </c>
      <c r="AV1398" t="inlineStr">
        <is>
          <t>35285399</t>
        </is>
      </c>
      <c r="AW1398" t="inlineStr">
        <is>
          <t>991002702639702656</t>
        </is>
      </c>
      <c r="AX1398" t="inlineStr">
        <is>
          <t>991002702639702656</t>
        </is>
      </c>
      <c r="AY1398" t="inlineStr">
        <is>
          <t>2259201660002656</t>
        </is>
      </c>
      <c r="AZ1398" t="inlineStr">
        <is>
          <t>BOOK</t>
        </is>
      </c>
      <c r="BB1398" t="inlineStr">
        <is>
          <t>9780471963158</t>
        </is>
      </c>
      <c r="BC1398" t="inlineStr">
        <is>
          <t>32285003004776</t>
        </is>
      </c>
      <c r="BD1398" t="inlineStr">
        <is>
          <t>893329424</t>
        </is>
      </c>
    </row>
    <row r="1399">
      <c r="A1399" t="inlineStr">
        <is>
          <t>No</t>
        </is>
      </c>
      <c r="B1399" t="inlineStr">
        <is>
          <t>QH585 .H4</t>
        </is>
      </c>
      <c r="C1399" t="inlineStr">
        <is>
          <t>0                      QH 0585000H  4</t>
        </is>
      </c>
      <c r="D1399" t="inlineStr">
        <is>
          <t>Analysis of normal and abnormal cell growth; model-system formulations and analog computer studies.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Heinmets, F. (Ferdinand)</t>
        </is>
      </c>
      <c r="L1399" t="inlineStr">
        <is>
          <t>New York, Plenum Press, 1966.</t>
        </is>
      </c>
      <c r="M1399" t="inlineStr">
        <is>
          <t>1966</t>
        </is>
      </c>
      <c r="O1399" t="inlineStr">
        <is>
          <t>eng</t>
        </is>
      </c>
      <c r="P1399" t="inlineStr">
        <is>
          <t>nyu</t>
        </is>
      </c>
      <c r="R1399" t="inlineStr">
        <is>
          <t xml:space="preserve">QH </t>
        </is>
      </c>
      <c r="S1399" t="n">
        <v>3</v>
      </c>
      <c r="T1399" t="n">
        <v>3</v>
      </c>
      <c r="U1399" t="inlineStr">
        <is>
          <t>1998-09-28</t>
        </is>
      </c>
      <c r="V1399" t="inlineStr">
        <is>
          <t>1998-09-28</t>
        </is>
      </c>
      <c r="W1399" t="inlineStr">
        <is>
          <t>1997-07-14</t>
        </is>
      </c>
      <c r="X1399" t="inlineStr">
        <is>
          <t>1997-07-14</t>
        </is>
      </c>
      <c r="Y1399" t="n">
        <v>268</v>
      </c>
      <c r="Z1399" t="n">
        <v>211</v>
      </c>
      <c r="AA1399" t="n">
        <v>229</v>
      </c>
      <c r="AB1399" t="n">
        <v>2</v>
      </c>
      <c r="AC1399" t="n">
        <v>2</v>
      </c>
      <c r="AD1399" t="n">
        <v>9</v>
      </c>
      <c r="AE1399" t="n">
        <v>9</v>
      </c>
      <c r="AF1399" t="n">
        <v>3</v>
      </c>
      <c r="AG1399" t="n">
        <v>3</v>
      </c>
      <c r="AH1399" t="n">
        <v>2</v>
      </c>
      <c r="AI1399" t="n">
        <v>2</v>
      </c>
      <c r="AJ1399" t="n">
        <v>8</v>
      </c>
      <c r="AK1399" t="n">
        <v>8</v>
      </c>
      <c r="AL1399" t="n">
        <v>1</v>
      </c>
      <c r="AM1399" t="n">
        <v>1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HYPERLINK("http://catalog.hathitrust.org/Record/001492984","HathiTrust Record")</f>
        <v/>
      </c>
      <c r="AS1399">
        <f>HYPERLINK("https://creighton-primo.hosted.exlibrisgroup.com/primo-explore/search?tab=default_tab&amp;search_scope=EVERYTHING&amp;vid=01CRU&amp;lang=en_US&amp;offset=0&amp;query=any,contains,991003480369702656","Catalog Record")</f>
        <v/>
      </c>
      <c r="AT1399">
        <f>HYPERLINK("http://www.worldcat.org/oclc/1027349","WorldCat Record")</f>
        <v/>
      </c>
      <c r="AU1399" t="inlineStr">
        <is>
          <t>282845744:eng</t>
        </is>
      </c>
      <c r="AV1399" t="inlineStr">
        <is>
          <t>1027349</t>
        </is>
      </c>
      <c r="AW1399" t="inlineStr">
        <is>
          <t>991003480369702656</t>
        </is>
      </c>
      <c r="AX1399" t="inlineStr">
        <is>
          <t>991003480369702656</t>
        </is>
      </c>
      <c r="AY1399" t="inlineStr">
        <is>
          <t>2255779330002656</t>
        </is>
      </c>
      <c r="AZ1399" t="inlineStr">
        <is>
          <t>BOOK</t>
        </is>
      </c>
      <c r="BC1399" t="inlineStr">
        <is>
          <t>32285002914470</t>
        </is>
      </c>
      <c r="BD1399" t="inlineStr">
        <is>
          <t>893258459</t>
        </is>
      </c>
    </row>
    <row r="1400">
      <c r="A1400" t="inlineStr">
        <is>
          <t>No</t>
        </is>
      </c>
      <c r="B1400" t="inlineStr">
        <is>
          <t>QH585 .I545</t>
        </is>
      </c>
      <c r="C1400" t="inlineStr">
        <is>
          <t>0                      QH 0585000I  545</t>
        </is>
      </c>
      <c r="D1400" t="inlineStr">
        <is>
          <t>Introduction of macromolecules into viable mammalian cells : a Wistar symposium workshop held at Sugarloaf Center in Philadelphia, Pennsylvania, May 2-4, 1979 / editors, Renato Baserga, Carlo Croce, Giovanni Rovera.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New York : Liss, 1980.</t>
        </is>
      </c>
      <c r="M1400" t="inlineStr">
        <is>
          <t>1980</t>
        </is>
      </c>
      <c r="O1400" t="inlineStr">
        <is>
          <t>eng</t>
        </is>
      </c>
      <c r="P1400" t="inlineStr">
        <is>
          <t>nyu</t>
        </is>
      </c>
      <c r="Q1400" t="inlineStr">
        <is>
          <t>The Wistar symposium series ; v. 1</t>
        </is>
      </c>
      <c r="R1400" t="inlineStr">
        <is>
          <t xml:space="preserve">QH </t>
        </is>
      </c>
      <c r="S1400" t="n">
        <v>3</v>
      </c>
      <c r="T1400" t="n">
        <v>3</v>
      </c>
      <c r="U1400" t="inlineStr">
        <is>
          <t>1995-10-24</t>
        </is>
      </c>
      <c r="V1400" t="inlineStr">
        <is>
          <t>1995-10-24</t>
        </is>
      </c>
      <c r="W1400" t="inlineStr">
        <is>
          <t>1993-05-10</t>
        </is>
      </c>
      <c r="X1400" t="inlineStr">
        <is>
          <t>1993-05-10</t>
        </is>
      </c>
      <c r="Y1400" t="n">
        <v>197</v>
      </c>
      <c r="Z1400" t="n">
        <v>152</v>
      </c>
      <c r="AA1400" t="n">
        <v>153</v>
      </c>
      <c r="AB1400" t="n">
        <v>2</v>
      </c>
      <c r="AC1400" t="n">
        <v>2</v>
      </c>
      <c r="AD1400" t="n">
        <v>3</v>
      </c>
      <c r="AE1400" t="n">
        <v>3</v>
      </c>
      <c r="AF1400" t="n">
        <v>0</v>
      </c>
      <c r="AG1400" t="n">
        <v>0</v>
      </c>
      <c r="AH1400" t="n">
        <v>1</v>
      </c>
      <c r="AI1400" t="n">
        <v>1</v>
      </c>
      <c r="AJ1400" t="n">
        <v>2</v>
      </c>
      <c r="AK1400" t="n">
        <v>2</v>
      </c>
      <c r="AL1400" t="n">
        <v>1</v>
      </c>
      <c r="AM1400" t="n">
        <v>1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HYPERLINK("http://catalog.hathitrust.org/Record/000143125","HathiTrust Record")</f>
        <v/>
      </c>
      <c r="AS1400">
        <f>HYPERLINK("https://creighton-primo.hosted.exlibrisgroup.com/primo-explore/search?tab=default_tab&amp;search_scope=EVERYTHING&amp;vid=01CRU&amp;lang=en_US&amp;offset=0&amp;query=any,contains,991004882819702656","Catalog Record")</f>
        <v/>
      </c>
      <c r="AT1400">
        <f>HYPERLINK("http://www.worldcat.org/oclc/5829602","WorldCat Record")</f>
        <v/>
      </c>
      <c r="AU1400" t="inlineStr">
        <is>
          <t>2999401955:eng</t>
        </is>
      </c>
      <c r="AV1400" t="inlineStr">
        <is>
          <t>5829602</t>
        </is>
      </c>
      <c r="AW1400" t="inlineStr">
        <is>
          <t>991004882819702656</t>
        </is>
      </c>
      <c r="AX1400" t="inlineStr">
        <is>
          <t>991004882819702656</t>
        </is>
      </c>
      <c r="AY1400" t="inlineStr">
        <is>
          <t>2261167640002656</t>
        </is>
      </c>
      <c r="AZ1400" t="inlineStr">
        <is>
          <t>BOOK</t>
        </is>
      </c>
      <c r="BB1400" t="inlineStr">
        <is>
          <t>9780845120002</t>
        </is>
      </c>
      <c r="BC1400" t="inlineStr">
        <is>
          <t>32285001643070</t>
        </is>
      </c>
      <c r="BD1400" t="inlineStr">
        <is>
          <t>893338235</t>
        </is>
      </c>
    </row>
    <row r="1401">
      <c r="A1401" t="inlineStr">
        <is>
          <t>No</t>
        </is>
      </c>
      <c r="B1401" t="inlineStr">
        <is>
          <t>QH585 .P7 v.51</t>
        </is>
      </c>
      <c r="C1401" t="inlineStr">
        <is>
          <t>0                      QH 0585000P  7                                                       v.51</t>
        </is>
      </c>
      <c r="D1401" t="inlineStr">
        <is>
          <t>Methods in avian embryology / edited by Marianne Bronner-Fraser.</t>
        </is>
      </c>
      <c r="E1401" t="inlineStr">
        <is>
          <t>V. 51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San Diego : Academic Press, c1996.</t>
        </is>
      </c>
      <c r="M1401" t="inlineStr">
        <is>
          <t>1996</t>
        </is>
      </c>
      <c r="O1401" t="inlineStr">
        <is>
          <t>eng</t>
        </is>
      </c>
      <c r="P1401" t="inlineStr">
        <is>
          <t>cau</t>
        </is>
      </c>
      <c r="Q1401" t="inlineStr">
        <is>
          <t>Methods in cell biology, 0091-679X ; v. 51</t>
        </is>
      </c>
      <c r="R1401" t="inlineStr">
        <is>
          <t xml:space="preserve">QH </t>
        </is>
      </c>
      <c r="S1401" t="n">
        <v>3</v>
      </c>
      <c r="T1401" t="n">
        <v>3</v>
      </c>
      <c r="U1401" t="inlineStr">
        <is>
          <t>2005-06-30</t>
        </is>
      </c>
      <c r="V1401" t="inlineStr">
        <is>
          <t>2005-06-30</t>
        </is>
      </c>
      <c r="W1401" t="inlineStr">
        <is>
          <t>2000-06-16</t>
        </is>
      </c>
      <c r="X1401" t="inlineStr">
        <is>
          <t>2000-06-16</t>
        </is>
      </c>
      <c r="Y1401" t="n">
        <v>212</v>
      </c>
      <c r="Z1401" t="n">
        <v>156</v>
      </c>
      <c r="AA1401" t="n">
        <v>227</v>
      </c>
      <c r="AB1401" t="n">
        <v>1</v>
      </c>
      <c r="AC1401" t="n">
        <v>2</v>
      </c>
      <c r="AD1401" t="n">
        <v>7</v>
      </c>
      <c r="AE1401" t="n">
        <v>9</v>
      </c>
      <c r="AF1401" t="n">
        <v>3</v>
      </c>
      <c r="AG1401" t="n">
        <v>4</v>
      </c>
      <c r="AH1401" t="n">
        <v>2</v>
      </c>
      <c r="AI1401" t="n">
        <v>2</v>
      </c>
      <c r="AJ1401" t="n">
        <v>5</v>
      </c>
      <c r="AK1401" t="n">
        <v>5</v>
      </c>
      <c r="AL1401" t="n">
        <v>0</v>
      </c>
      <c r="AM1401" t="n">
        <v>1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HYPERLINK("https://creighton-primo.hosted.exlibrisgroup.com/primo-explore/search?tab=default_tab&amp;search_scope=EVERYTHING&amp;vid=01CRU&amp;lang=en_US&amp;offset=0&amp;query=any,contains,991003189029702656","Catalog Record")</f>
        <v/>
      </c>
      <c r="AT1401">
        <f>HYPERLINK("http://www.worldcat.org/oclc/34627054","WorldCat Record")</f>
        <v/>
      </c>
      <c r="AU1401" t="inlineStr">
        <is>
          <t>766044690:eng</t>
        </is>
      </c>
      <c r="AV1401" t="inlineStr">
        <is>
          <t>34627054</t>
        </is>
      </c>
      <c r="AW1401" t="inlineStr">
        <is>
          <t>991003189029702656</t>
        </is>
      </c>
      <c r="AX1401" t="inlineStr">
        <is>
          <t>991003189029702656</t>
        </is>
      </c>
      <c r="AY1401" t="inlineStr">
        <is>
          <t>2266730260002656</t>
        </is>
      </c>
      <c r="AZ1401" t="inlineStr">
        <is>
          <t>BOOK</t>
        </is>
      </c>
      <c r="BB1401" t="inlineStr">
        <is>
          <t>9780121352752</t>
        </is>
      </c>
      <c r="BC1401" t="inlineStr">
        <is>
          <t>32285003627212</t>
        </is>
      </c>
      <c r="BD1401" t="inlineStr">
        <is>
          <t>893598347</t>
        </is>
      </c>
    </row>
    <row r="1402">
      <c r="A1402" t="inlineStr">
        <is>
          <t>No</t>
        </is>
      </c>
      <c r="B1402" t="inlineStr">
        <is>
          <t>QH585 .P7 v.52</t>
        </is>
      </c>
      <c r="C1402" t="inlineStr">
        <is>
          <t>0                      QH 0585000P  7                                                       v.52</t>
        </is>
      </c>
      <c r="D1402" t="inlineStr">
        <is>
          <t>Methods in muscle biology / edited by Charles P. Emerson, Jr., H. Lee Sweeney.</t>
        </is>
      </c>
      <c r="E1402" t="inlineStr">
        <is>
          <t>V. 52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San Diego : Academic Press, c1997.</t>
        </is>
      </c>
      <c r="M1402" t="inlineStr">
        <is>
          <t>1997</t>
        </is>
      </c>
      <c r="O1402" t="inlineStr">
        <is>
          <t>eng</t>
        </is>
      </c>
      <c r="P1402" t="inlineStr">
        <is>
          <t>cau</t>
        </is>
      </c>
      <c r="Q1402" t="inlineStr">
        <is>
          <t>Methods in cell biology, 0091-679X ; v. 52</t>
        </is>
      </c>
      <c r="R1402" t="inlineStr">
        <is>
          <t xml:space="preserve">QH </t>
        </is>
      </c>
      <c r="S1402" t="n">
        <v>7</v>
      </c>
      <c r="T1402" t="n">
        <v>7</v>
      </c>
      <c r="U1402" t="inlineStr">
        <is>
          <t>2006-06-20</t>
        </is>
      </c>
      <c r="V1402" t="inlineStr">
        <is>
          <t>2006-06-20</t>
        </is>
      </c>
      <c r="W1402" t="inlineStr">
        <is>
          <t>1998-03-23</t>
        </is>
      </c>
      <c r="X1402" t="inlineStr">
        <is>
          <t>1998-03-23</t>
        </is>
      </c>
      <c r="Y1402" t="n">
        <v>185</v>
      </c>
      <c r="Z1402" t="n">
        <v>130</v>
      </c>
      <c r="AA1402" t="n">
        <v>193</v>
      </c>
      <c r="AB1402" t="n">
        <v>1</v>
      </c>
      <c r="AC1402" t="n">
        <v>1</v>
      </c>
      <c r="AD1402" t="n">
        <v>3</v>
      </c>
      <c r="AE1402" t="n">
        <v>4</v>
      </c>
      <c r="AF1402" t="n">
        <v>1</v>
      </c>
      <c r="AG1402" t="n">
        <v>2</v>
      </c>
      <c r="AH1402" t="n">
        <v>2</v>
      </c>
      <c r="AI1402" t="n">
        <v>2</v>
      </c>
      <c r="AJ1402" t="n">
        <v>2</v>
      </c>
      <c r="AK1402" t="n">
        <v>2</v>
      </c>
      <c r="AL1402" t="n">
        <v>0</v>
      </c>
      <c r="AM1402" t="n">
        <v>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HYPERLINK("https://creighton-primo.hosted.exlibrisgroup.com/primo-explore/search?tab=default_tab&amp;search_scope=EVERYTHING&amp;vid=01CRU&amp;lang=en_US&amp;offset=0&amp;query=any,contains,991002864779702656","Catalog Record")</f>
        <v/>
      </c>
      <c r="AT1402">
        <f>HYPERLINK("http://www.worldcat.org/oclc/37759231","WorldCat Record")</f>
        <v/>
      </c>
      <c r="AU1402" t="inlineStr">
        <is>
          <t>364688281:eng</t>
        </is>
      </c>
      <c r="AV1402" t="inlineStr">
        <is>
          <t>37759231</t>
        </is>
      </c>
      <c r="AW1402" t="inlineStr">
        <is>
          <t>991002864779702656</t>
        </is>
      </c>
      <c r="AX1402" t="inlineStr">
        <is>
          <t>991002864779702656</t>
        </is>
      </c>
      <c r="AY1402" t="inlineStr">
        <is>
          <t>2266711410002656</t>
        </is>
      </c>
      <c r="AZ1402" t="inlineStr">
        <is>
          <t>BOOK</t>
        </is>
      </c>
      <c r="BB1402" t="inlineStr">
        <is>
          <t>9780122381904</t>
        </is>
      </c>
      <c r="BC1402" t="inlineStr">
        <is>
          <t>32285003359535</t>
        </is>
      </c>
      <c r="BD1402" t="inlineStr">
        <is>
          <t>893874104</t>
        </is>
      </c>
    </row>
    <row r="1403">
      <c r="A1403" t="inlineStr">
        <is>
          <t>No</t>
        </is>
      </c>
      <c r="B1403" t="inlineStr">
        <is>
          <t>QH585 .P7 v.61</t>
        </is>
      </c>
      <c r="C1403" t="inlineStr">
        <is>
          <t>0                      QH 0585000P  7                                                       v.61</t>
        </is>
      </c>
      <c r="D1403" t="inlineStr">
        <is>
          <t>Mitosis and meiosis / edited by Conly L. Rieder.</t>
        </is>
      </c>
      <c r="E1403" t="inlineStr">
        <is>
          <t>V. 61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 : Academic Press, c1999.</t>
        </is>
      </c>
      <c r="M1403" t="inlineStr">
        <is>
          <t>1999</t>
        </is>
      </c>
      <c r="O1403" t="inlineStr">
        <is>
          <t>eng</t>
        </is>
      </c>
      <c r="P1403" t="inlineStr">
        <is>
          <t>cau</t>
        </is>
      </c>
      <c r="Q1403" t="inlineStr">
        <is>
          <t>Methods in cell biology, 0091-679X ; v. 61</t>
        </is>
      </c>
      <c r="R1403" t="inlineStr">
        <is>
          <t xml:space="preserve">QH </t>
        </is>
      </c>
      <c r="S1403" t="n">
        <v>2</v>
      </c>
      <c r="T1403" t="n">
        <v>2</v>
      </c>
      <c r="U1403" t="inlineStr">
        <is>
          <t>2000-10-04</t>
        </is>
      </c>
      <c r="V1403" t="inlineStr">
        <is>
          <t>2000-10-04</t>
        </is>
      </c>
      <c r="W1403" t="inlineStr">
        <is>
          <t>2000-10-04</t>
        </is>
      </c>
      <c r="X1403" t="inlineStr">
        <is>
          <t>2000-10-04</t>
        </is>
      </c>
      <c r="Y1403" t="n">
        <v>234</v>
      </c>
      <c r="Z1403" t="n">
        <v>164</v>
      </c>
      <c r="AA1403" t="n">
        <v>228</v>
      </c>
      <c r="AB1403" t="n">
        <v>1</v>
      </c>
      <c r="AC1403" t="n">
        <v>2</v>
      </c>
      <c r="AD1403" t="n">
        <v>6</v>
      </c>
      <c r="AE1403" t="n">
        <v>7</v>
      </c>
      <c r="AF1403" t="n">
        <v>2</v>
      </c>
      <c r="AG1403" t="n">
        <v>2</v>
      </c>
      <c r="AH1403" t="n">
        <v>2</v>
      </c>
      <c r="AI1403" t="n">
        <v>2</v>
      </c>
      <c r="AJ1403" t="n">
        <v>4</v>
      </c>
      <c r="AK1403" t="n">
        <v>4</v>
      </c>
      <c r="AL1403" t="n">
        <v>0</v>
      </c>
      <c r="AM1403" t="n">
        <v>1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HYPERLINK("https://creighton-primo.hosted.exlibrisgroup.com/primo-explore/search?tab=default_tab&amp;search_scope=EVERYTHING&amp;vid=01CRU&amp;lang=en_US&amp;offset=0&amp;query=any,contains,991003307199702656","Catalog Record")</f>
        <v/>
      </c>
      <c r="AT1403">
        <f>HYPERLINK("http://www.worldcat.org/oclc/40513158","WorldCat Record")</f>
        <v/>
      </c>
      <c r="AU1403" t="inlineStr">
        <is>
          <t>766079962:eng</t>
        </is>
      </c>
      <c r="AV1403" t="inlineStr">
        <is>
          <t>40513158</t>
        </is>
      </c>
      <c r="AW1403" t="inlineStr">
        <is>
          <t>991003307199702656</t>
        </is>
      </c>
      <c r="AX1403" t="inlineStr">
        <is>
          <t>991003307199702656</t>
        </is>
      </c>
      <c r="AY1403" t="inlineStr">
        <is>
          <t>2272149960002656</t>
        </is>
      </c>
      <c r="AZ1403" t="inlineStr">
        <is>
          <t>BOOK</t>
        </is>
      </c>
      <c r="BB1403" t="inlineStr">
        <is>
          <t>9780125441636</t>
        </is>
      </c>
      <c r="BC1403" t="inlineStr">
        <is>
          <t>32285003766440</t>
        </is>
      </c>
      <c r="BD1403" t="inlineStr">
        <is>
          <t>893410153</t>
        </is>
      </c>
    </row>
    <row r="1404">
      <c r="A1404" t="inlineStr">
        <is>
          <t>No</t>
        </is>
      </c>
      <c r="B1404" t="inlineStr">
        <is>
          <t>QH585.2 .M38 1998</t>
        </is>
      </c>
      <c r="C1404" t="inlineStr">
        <is>
          <t>0                      QH 0585200M  38          1998</t>
        </is>
      </c>
      <c r="D1404" t="inlineStr">
        <is>
          <t>Introduction to cell and tissue culture : theory and technique / Jennie P. Mather and Penelope E. Roberts.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Mather, Jennie P., 1948-</t>
        </is>
      </c>
      <c r="L1404" t="inlineStr">
        <is>
          <t>New York : Plenum Press, c1998.</t>
        </is>
      </c>
      <c r="M1404" t="inlineStr">
        <is>
          <t>1998</t>
        </is>
      </c>
      <c r="O1404" t="inlineStr">
        <is>
          <t>eng</t>
        </is>
      </c>
      <c r="P1404" t="inlineStr">
        <is>
          <t>nyu</t>
        </is>
      </c>
      <c r="Q1404" t="inlineStr">
        <is>
          <t>Introductory cell and molecular biology techniques</t>
        </is>
      </c>
      <c r="R1404" t="inlineStr">
        <is>
          <t xml:space="preserve">QH </t>
        </is>
      </c>
      <c r="S1404" t="n">
        <v>10</v>
      </c>
      <c r="T1404" t="n">
        <v>10</v>
      </c>
      <c r="U1404" t="inlineStr">
        <is>
          <t>2008-05-23</t>
        </is>
      </c>
      <c r="V1404" t="inlineStr">
        <is>
          <t>2008-05-23</t>
        </is>
      </c>
      <c r="W1404" t="inlineStr">
        <is>
          <t>2000-08-08</t>
        </is>
      </c>
      <c r="X1404" t="inlineStr">
        <is>
          <t>2000-08-08</t>
        </is>
      </c>
      <c r="Y1404" t="n">
        <v>547</v>
      </c>
      <c r="Z1404" t="n">
        <v>469</v>
      </c>
      <c r="AA1404" t="n">
        <v>1200</v>
      </c>
      <c r="AB1404" t="n">
        <v>5</v>
      </c>
      <c r="AC1404" t="n">
        <v>6</v>
      </c>
      <c r="AD1404" t="n">
        <v>21</v>
      </c>
      <c r="AE1404" t="n">
        <v>33</v>
      </c>
      <c r="AF1404" t="n">
        <v>8</v>
      </c>
      <c r="AG1404" t="n">
        <v>16</v>
      </c>
      <c r="AH1404" t="n">
        <v>4</v>
      </c>
      <c r="AI1404" t="n">
        <v>6</v>
      </c>
      <c r="AJ1404" t="n">
        <v>11</v>
      </c>
      <c r="AK1404" t="n">
        <v>17</v>
      </c>
      <c r="AL1404" t="n">
        <v>4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HYPERLINK("https://creighton-primo.hosted.exlibrisgroup.com/primo-explore/search?tab=default_tab&amp;search_scope=EVERYTHING&amp;vid=01CRU&amp;lang=en_US&amp;offset=0&amp;query=any,contains,991003250239702656","Catalog Record")</f>
        <v/>
      </c>
      <c r="AT1404">
        <f>HYPERLINK("http://www.worldcat.org/oclc/39323307","WorldCat Record")</f>
        <v/>
      </c>
      <c r="AU1404" t="inlineStr">
        <is>
          <t>14443176:eng</t>
        </is>
      </c>
      <c r="AV1404" t="inlineStr">
        <is>
          <t>39323307</t>
        </is>
      </c>
      <c r="AW1404" t="inlineStr">
        <is>
          <t>991003250239702656</t>
        </is>
      </c>
      <c r="AX1404" t="inlineStr">
        <is>
          <t>991003250239702656</t>
        </is>
      </c>
      <c r="AY1404" t="inlineStr">
        <is>
          <t>2265916180002656</t>
        </is>
      </c>
      <c r="AZ1404" t="inlineStr">
        <is>
          <t>BOOK</t>
        </is>
      </c>
      <c r="BB1404" t="inlineStr">
        <is>
          <t>9780306458590</t>
        </is>
      </c>
      <c r="BC1404" t="inlineStr">
        <is>
          <t>32285003756417</t>
        </is>
      </c>
      <c r="BD1404" t="inlineStr">
        <is>
          <t>893899772</t>
        </is>
      </c>
    </row>
    <row r="1405">
      <c r="A1405" t="inlineStr">
        <is>
          <t>No</t>
        </is>
      </c>
      <c r="B1405" t="inlineStr">
        <is>
          <t>QH595 .E89 1990</t>
        </is>
      </c>
      <c r="C1405" t="inlineStr">
        <is>
          <t>0                      QH 0595000E  89          1990</t>
        </is>
      </c>
      <c r="D1405" t="inlineStr">
        <is>
          <t>The Eukaryotic nucleus : Molecular biochemistry and macromolecular assemblies / [edited by] Phyllis R. Strauss, Samuel H. Wilson.</t>
        </is>
      </c>
      <c r="E1405" t="inlineStr">
        <is>
          <t>V.2</t>
        </is>
      </c>
      <c r="F1405" t="inlineStr">
        <is>
          <t>Yes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L1405" t="inlineStr">
        <is>
          <t>Caldwell, N.J. : Telford Press, c1990.</t>
        </is>
      </c>
      <c r="M1405" t="inlineStr">
        <is>
          <t>1990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QH </t>
        </is>
      </c>
      <c r="S1405" t="n">
        <v>3</v>
      </c>
      <c r="T1405" t="n">
        <v>3</v>
      </c>
      <c r="U1405" t="inlineStr">
        <is>
          <t>2008-09-28</t>
        </is>
      </c>
      <c r="V1405" t="inlineStr">
        <is>
          <t>2008-09-28</t>
        </is>
      </c>
      <c r="W1405" t="inlineStr">
        <is>
          <t>1992-11-02</t>
        </is>
      </c>
      <c r="X1405" t="inlineStr">
        <is>
          <t>1992-11-02</t>
        </is>
      </c>
      <c r="Y1405" t="n">
        <v>211</v>
      </c>
      <c r="Z1405" t="n">
        <v>182</v>
      </c>
      <c r="AA1405" t="n">
        <v>184</v>
      </c>
      <c r="AB1405" t="n">
        <v>2</v>
      </c>
      <c r="AC1405" t="n">
        <v>2</v>
      </c>
      <c r="AD1405" t="n">
        <v>6</v>
      </c>
      <c r="AE1405" t="n">
        <v>6</v>
      </c>
      <c r="AF1405" t="n">
        <v>1</v>
      </c>
      <c r="AG1405" t="n">
        <v>1</v>
      </c>
      <c r="AH1405" t="n">
        <v>1</v>
      </c>
      <c r="AI1405" t="n">
        <v>1</v>
      </c>
      <c r="AJ1405" t="n">
        <v>5</v>
      </c>
      <c r="AK1405" t="n">
        <v>5</v>
      </c>
      <c r="AL1405" t="n">
        <v>1</v>
      </c>
      <c r="AM1405" t="n">
        <v>1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HYPERLINK("https://creighton-primo.hosted.exlibrisgroup.com/primo-explore/search?tab=default_tab&amp;search_scope=EVERYTHING&amp;vid=01CRU&amp;lang=en_US&amp;offset=0&amp;query=any,contains,991001611029702656","Catalog Record")</f>
        <v/>
      </c>
      <c r="AT1405">
        <f>HYPERLINK("http://www.worldcat.org/oclc/20724741","WorldCat Record")</f>
        <v/>
      </c>
      <c r="AU1405" t="inlineStr">
        <is>
          <t>793663304:eng</t>
        </is>
      </c>
      <c r="AV1405" t="inlineStr">
        <is>
          <t>20724741</t>
        </is>
      </c>
      <c r="AW1405" t="inlineStr">
        <is>
          <t>991001611029702656</t>
        </is>
      </c>
      <c r="AX1405" t="inlineStr">
        <is>
          <t>991001611029702656</t>
        </is>
      </c>
      <c r="AY1405" t="inlineStr">
        <is>
          <t>2271588450002656</t>
        </is>
      </c>
      <c r="AZ1405" t="inlineStr">
        <is>
          <t>BOOK</t>
        </is>
      </c>
      <c r="BB1405" t="inlineStr">
        <is>
          <t>9780936923406</t>
        </is>
      </c>
      <c r="BC1405" t="inlineStr">
        <is>
          <t>32285001387876</t>
        </is>
      </c>
      <c r="BD1405" t="inlineStr">
        <is>
          <t>893772690</t>
        </is>
      </c>
    </row>
    <row r="1406">
      <c r="A1406" t="inlineStr">
        <is>
          <t>No</t>
        </is>
      </c>
      <c r="B1406" t="inlineStr">
        <is>
          <t>QH599 .C46 1995</t>
        </is>
      </c>
      <c r="C1406" t="inlineStr">
        <is>
          <t>0                      QH 0599000C  46          1995</t>
        </is>
      </c>
      <c r="D1406" t="inlineStr">
        <is>
          <t>Chromatin structure and gene expression / edited by Sarah C.R. Elgin.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L1406" t="inlineStr">
        <is>
          <t>Oxford ; New York : IRL Press, c1995.</t>
        </is>
      </c>
      <c r="M1406" t="inlineStr">
        <is>
          <t>1995</t>
        </is>
      </c>
      <c r="O1406" t="inlineStr">
        <is>
          <t>eng</t>
        </is>
      </c>
      <c r="P1406" t="inlineStr">
        <is>
          <t>enk</t>
        </is>
      </c>
      <c r="Q1406" t="inlineStr">
        <is>
          <t>Frontiers in molecular biology</t>
        </is>
      </c>
      <c r="R1406" t="inlineStr">
        <is>
          <t xml:space="preserve">QH </t>
        </is>
      </c>
      <c r="S1406" t="n">
        <v>4</v>
      </c>
      <c r="T1406" t="n">
        <v>4</v>
      </c>
      <c r="U1406" t="inlineStr">
        <is>
          <t>2008-10-11</t>
        </is>
      </c>
      <c r="V1406" t="inlineStr">
        <is>
          <t>2008-10-11</t>
        </is>
      </c>
      <c r="W1406" t="inlineStr">
        <is>
          <t>1997-01-08</t>
        </is>
      </c>
      <c r="X1406" t="inlineStr">
        <is>
          <t>1997-01-08</t>
        </is>
      </c>
      <c r="Y1406" t="n">
        <v>253</v>
      </c>
      <c r="Z1406" t="n">
        <v>160</v>
      </c>
      <c r="AA1406" t="n">
        <v>256</v>
      </c>
      <c r="AB1406" t="n">
        <v>1</v>
      </c>
      <c r="AC1406" t="n">
        <v>1</v>
      </c>
      <c r="AD1406" t="n">
        <v>8</v>
      </c>
      <c r="AE1406" t="n">
        <v>12</v>
      </c>
      <c r="AF1406" t="n">
        <v>1</v>
      </c>
      <c r="AG1406" t="n">
        <v>4</v>
      </c>
      <c r="AH1406" t="n">
        <v>3</v>
      </c>
      <c r="AI1406" t="n">
        <v>4</v>
      </c>
      <c r="AJ1406" t="n">
        <v>7</v>
      </c>
      <c r="AK1406" t="n">
        <v>8</v>
      </c>
      <c r="AL1406" t="n">
        <v>0</v>
      </c>
      <c r="AM1406" t="n">
        <v>0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HYPERLINK("http://catalog.hathitrust.org/Record/003008952","HathiTrust Record")</f>
        <v/>
      </c>
      <c r="AS1406">
        <f>HYPERLINK("https://creighton-primo.hosted.exlibrisgroup.com/primo-explore/search?tab=default_tab&amp;search_scope=EVERYTHING&amp;vid=01CRU&amp;lang=en_US&amp;offset=0&amp;query=any,contains,991002425279702656","Catalog Record")</f>
        <v/>
      </c>
      <c r="AT1406">
        <f>HYPERLINK("http://www.worldcat.org/oclc/31607227","WorldCat Record")</f>
        <v/>
      </c>
      <c r="AU1406" t="inlineStr">
        <is>
          <t>364564938:eng</t>
        </is>
      </c>
      <c r="AV1406" t="inlineStr">
        <is>
          <t>31607227</t>
        </is>
      </c>
      <c r="AW1406" t="inlineStr">
        <is>
          <t>991002425279702656</t>
        </is>
      </c>
      <c r="AX1406" t="inlineStr">
        <is>
          <t>991002425279702656</t>
        </is>
      </c>
      <c r="AY1406" t="inlineStr">
        <is>
          <t>2264918490002656</t>
        </is>
      </c>
      <c r="AZ1406" t="inlineStr">
        <is>
          <t>BOOK</t>
        </is>
      </c>
      <c r="BB1406" t="inlineStr">
        <is>
          <t>9780199635757</t>
        </is>
      </c>
      <c r="BC1406" t="inlineStr">
        <is>
          <t>32285002405370</t>
        </is>
      </c>
      <c r="BD1406" t="inlineStr">
        <is>
          <t>893510715</t>
        </is>
      </c>
    </row>
    <row r="1407">
      <c r="A1407" t="inlineStr">
        <is>
          <t>No</t>
        </is>
      </c>
      <c r="B1407" t="inlineStr">
        <is>
          <t>QH599 .H48 1988</t>
        </is>
      </c>
      <c r="C1407" t="inlineStr">
        <is>
          <t>0                      QH 0599000H  48          1988</t>
        </is>
      </c>
      <c r="D1407" t="inlineStr">
        <is>
          <t>Heterochromatin : molecular and structural aspects / edited by Ram S. Verma.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L1407" t="inlineStr">
        <is>
          <t>Cambridge [England] ; New York : Cambridge University Press, 1988.</t>
        </is>
      </c>
      <c r="M1407" t="inlineStr">
        <is>
          <t>1988</t>
        </is>
      </c>
      <c r="O1407" t="inlineStr">
        <is>
          <t>eng</t>
        </is>
      </c>
      <c r="P1407" t="inlineStr">
        <is>
          <t>enk</t>
        </is>
      </c>
      <c r="R1407" t="inlineStr">
        <is>
          <t xml:space="preserve">QH </t>
        </is>
      </c>
      <c r="S1407" t="n">
        <v>2</v>
      </c>
      <c r="T1407" t="n">
        <v>2</v>
      </c>
      <c r="U1407" t="inlineStr">
        <is>
          <t>2008-09-28</t>
        </is>
      </c>
      <c r="V1407" t="inlineStr">
        <is>
          <t>2008-09-28</t>
        </is>
      </c>
      <c r="W1407" t="inlineStr">
        <is>
          <t>1993-05-10</t>
        </is>
      </c>
      <c r="X1407" t="inlineStr">
        <is>
          <t>1993-05-10</t>
        </is>
      </c>
      <c r="Y1407" t="n">
        <v>251</v>
      </c>
      <c r="Z1407" t="n">
        <v>173</v>
      </c>
      <c r="AA1407" t="n">
        <v>178</v>
      </c>
      <c r="AB1407" t="n">
        <v>3</v>
      </c>
      <c r="AC1407" t="n">
        <v>3</v>
      </c>
      <c r="AD1407" t="n">
        <v>9</v>
      </c>
      <c r="AE1407" t="n">
        <v>9</v>
      </c>
      <c r="AF1407" t="n">
        <v>1</v>
      </c>
      <c r="AG1407" t="n">
        <v>1</v>
      </c>
      <c r="AH1407" t="n">
        <v>2</v>
      </c>
      <c r="AI1407" t="n">
        <v>2</v>
      </c>
      <c r="AJ1407" t="n">
        <v>5</v>
      </c>
      <c r="AK1407" t="n">
        <v>5</v>
      </c>
      <c r="AL1407" t="n">
        <v>2</v>
      </c>
      <c r="AM1407" t="n">
        <v>2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HYPERLINK("https://creighton-primo.hosted.exlibrisgroup.com/primo-explore/search?tab=default_tab&amp;search_scope=EVERYTHING&amp;vid=01CRU&amp;lang=en_US&amp;offset=0&amp;query=any,contains,991001135679702656","Catalog Record")</f>
        <v/>
      </c>
      <c r="AT1407">
        <f>HYPERLINK("http://www.worldcat.org/oclc/16710951","WorldCat Record")</f>
        <v/>
      </c>
      <c r="AU1407" t="inlineStr">
        <is>
          <t>808110431:eng</t>
        </is>
      </c>
      <c r="AV1407" t="inlineStr">
        <is>
          <t>16710951</t>
        </is>
      </c>
      <c r="AW1407" t="inlineStr">
        <is>
          <t>991001135679702656</t>
        </is>
      </c>
      <c r="AX1407" t="inlineStr">
        <is>
          <t>991001135679702656</t>
        </is>
      </c>
      <c r="AY1407" t="inlineStr">
        <is>
          <t>2261249820002656</t>
        </is>
      </c>
      <c r="AZ1407" t="inlineStr">
        <is>
          <t>BOOK</t>
        </is>
      </c>
      <c r="BB1407" t="inlineStr">
        <is>
          <t>9780521334808</t>
        </is>
      </c>
      <c r="BC1407" t="inlineStr">
        <is>
          <t>32285001643096</t>
        </is>
      </c>
      <c r="BD1407" t="inlineStr">
        <is>
          <t>893315548</t>
        </is>
      </c>
    </row>
    <row r="1408">
      <c r="A1408" t="inlineStr">
        <is>
          <t>No</t>
        </is>
      </c>
      <c r="B1408" t="inlineStr">
        <is>
          <t>QH599 .M6</t>
        </is>
      </c>
      <c r="C1408" t="inlineStr">
        <is>
          <t>0                      QH 0599000M  6</t>
        </is>
      </c>
      <c r="D1408" t="inlineStr">
        <is>
          <t>The sex chromatin, edited by Keith L. Moore.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Moore, Keith L. editor.</t>
        </is>
      </c>
      <c r="L1408" t="inlineStr">
        <is>
          <t>Philadelphia, W.B. Saunders Co., 1966.</t>
        </is>
      </c>
      <c r="M1408" t="inlineStr">
        <is>
          <t>1966</t>
        </is>
      </c>
      <c r="O1408" t="inlineStr">
        <is>
          <t>eng</t>
        </is>
      </c>
      <c r="P1408" t="inlineStr">
        <is>
          <t>pau</t>
        </is>
      </c>
      <c r="R1408" t="inlineStr">
        <is>
          <t xml:space="preserve">QH </t>
        </is>
      </c>
      <c r="S1408" t="n">
        <v>2</v>
      </c>
      <c r="T1408" t="n">
        <v>2</v>
      </c>
      <c r="U1408" t="inlineStr">
        <is>
          <t>2008-09-28</t>
        </is>
      </c>
      <c r="V1408" t="inlineStr">
        <is>
          <t>2008-09-28</t>
        </is>
      </c>
      <c r="W1408" t="inlineStr">
        <is>
          <t>1997-07-14</t>
        </is>
      </c>
      <c r="X1408" t="inlineStr">
        <is>
          <t>1997-07-14</t>
        </is>
      </c>
      <c r="Y1408" t="n">
        <v>305</v>
      </c>
      <c r="Z1408" t="n">
        <v>207</v>
      </c>
      <c r="AA1408" t="n">
        <v>209</v>
      </c>
      <c r="AB1408" t="n">
        <v>4</v>
      </c>
      <c r="AC1408" t="n">
        <v>4</v>
      </c>
      <c r="AD1408" t="n">
        <v>9</v>
      </c>
      <c r="AE1408" t="n">
        <v>9</v>
      </c>
      <c r="AF1408" t="n">
        <v>2</v>
      </c>
      <c r="AG1408" t="n">
        <v>2</v>
      </c>
      <c r="AH1408" t="n">
        <v>1</v>
      </c>
      <c r="AI1408" t="n">
        <v>1</v>
      </c>
      <c r="AJ1408" t="n">
        <v>5</v>
      </c>
      <c r="AK1408" t="n">
        <v>5</v>
      </c>
      <c r="AL1408" t="n">
        <v>3</v>
      </c>
      <c r="AM1408" t="n">
        <v>3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HYPERLINK("http://catalog.hathitrust.org/Record/001493025","HathiTrust Record")</f>
        <v/>
      </c>
      <c r="AS1408">
        <f>HYPERLINK("https://creighton-primo.hosted.exlibrisgroup.com/primo-explore/search?tab=default_tab&amp;search_scope=EVERYTHING&amp;vid=01CRU&amp;lang=en_US&amp;offset=0&amp;query=any,contains,991003511679702656","Catalog Record")</f>
        <v/>
      </c>
      <c r="AT1408">
        <f>HYPERLINK("http://www.worldcat.org/oclc/1066696","WorldCat Record")</f>
        <v/>
      </c>
      <c r="AU1408" t="inlineStr">
        <is>
          <t>2014873:eng</t>
        </is>
      </c>
      <c r="AV1408" t="inlineStr">
        <is>
          <t>1066696</t>
        </is>
      </c>
      <c r="AW1408" t="inlineStr">
        <is>
          <t>991003511679702656</t>
        </is>
      </c>
      <c r="AX1408" t="inlineStr">
        <is>
          <t>991003511679702656</t>
        </is>
      </c>
      <c r="AY1408" t="inlineStr">
        <is>
          <t>2269124380002656</t>
        </is>
      </c>
      <c r="AZ1408" t="inlineStr">
        <is>
          <t>BOOK</t>
        </is>
      </c>
      <c r="BC1408" t="inlineStr">
        <is>
          <t>32285002914652</t>
        </is>
      </c>
      <c r="BD1408" t="inlineStr">
        <is>
          <t>893258498</t>
        </is>
      </c>
    </row>
    <row r="1409">
      <c r="A1409" t="inlineStr">
        <is>
          <t>No</t>
        </is>
      </c>
      <c r="B1409" t="inlineStr">
        <is>
          <t>QH599 .N37 1978</t>
        </is>
      </c>
      <c r="C1409" t="inlineStr">
        <is>
          <t>0                      QH 0599000N  37          1978</t>
        </is>
      </c>
      <c r="D1409" t="inlineStr">
        <is>
          <t>Chromatin structure and function / edited by Claudio A. Nicolini.</t>
        </is>
      </c>
      <c r="F1409" t="inlineStr">
        <is>
          <t>Yes</t>
        </is>
      </c>
      <c r="G1409" t="inlineStr">
        <is>
          <t>1</t>
        </is>
      </c>
      <c r="H1409" t="inlineStr">
        <is>
          <t>Yes</t>
        </is>
      </c>
      <c r="I1409" t="inlineStr">
        <is>
          <t>No</t>
        </is>
      </c>
      <c r="J1409" t="inlineStr">
        <is>
          <t>0</t>
        </is>
      </c>
      <c r="K1409" t="inlineStr">
        <is>
          <t>NATO Advanced Study Institute (1978 : Erice, Italy)</t>
        </is>
      </c>
      <c r="L1409" t="inlineStr">
        <is>
          <t>New York : Plenum Press, c1979.</t>
        </is>
      </c>
      <c r="M1409" t="inlineStr">
        <is>
          <t>1979</t>
        </is>
      </c>
      <c r="O1409" t="inlineStr">
        <is>
          <t>eng</t>
        </is>
      </c>
      <c r="P1409" t="inlineStr">
        <is>
          <t>nyu</t>
        </is>
      </c>
      <c r="Q1409" t="inlineStr">
        <is>
          <t>NATO advanced study institutes series. Series A, Life sciences ; v. 21</t>
        </is>
      </c>
      <c r="R1409" t="inlineStr">
        <is>
          <t xml:space="preserve">QH </t>
        </is>
      </c>
      <c r="S1409" t="n">
        <v>3</v>
      </c>
      <c r="T1409" t="n">
        <v>6</v>
      </c>
      <c r="U1409" t="inlineStr">
        <is>
          <t>2008-10-11</t>
        </is>
      </c>
      <c r="V1409" t="inlineStr">
        <is>
          <t>2008-10-11</t>
        </is>
      </c>
      <c r="W1409" t="inlineStr">
        <is>
          <t>1993-05-10</t>
        </is>
      </c>
      <c r="X1409" t="inlineStr">
        <is>
          <t>1993-05-10</t>
        </is>
      </c>
      <c r="Y1409" t="n">
        <v>233</v>
      </c>
      <c r="Z1409" t="n">
        <v>177</v>
      </c>
      <c r="AA1409" t="n">
        <v>184</v>
      </c>
      <c r="AB1409" t="n">
        <v>2</v>
      </c>
      <c r="AC1409" t="n">
        <v>2</v>
      </c>
      <c r="AD1409" t="n">
        <v>4</v>
      </c>
      <c r="AE1409" t="n">
        <v>5</v>
      </c>
      <c r="AF1409" t="n">
        <v>1</v>
      </c>
      <c r="AG1409" t="n">
        <v>2</v>
      </c>
      <c r="AH1409" t="n">
        <v>1</v>
      </c>
      <c r="AI1409" t="n">
        <v>1</v>
      </c>
      <c r="AJ1409" t="n">
        <v>3</v>
      </c>
      <c r="AK1409" t="n">
        <v>4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HYPERLINK("http://catalog.hathitrust.org/Record/000699999","HathiTrust Record")</f>
        <v/>
      </c>
      <c r="AS1409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09">
        <f>HYPERLINK("http://www.worldcat.org/oclc/4503860","WorldCat Record")</f>
        <v/>
      </c>
      <c r="AU1409" t="inlineStr">
        <is>
          <t>4917525617:eng</t>
        </is>
      </c>
      <c r="AV1409" t="inlineStr">
        <is>
          <t>4503860</t>
        </is>
      </c>
      <c r="AW1409" t="inlineStr">
        <is>
          <t>991004665669702656</t>
        </is>
      </c>
      <c r="AX1409" t="inlineStr">
        <is>
          <t>991004665669702656</t>
        </is>
      </c>
      <c r="AY1409" t="inlineStr">
        <is>
          <t>2265352960002656</t>
        </is>
      </c>
      <c r="AZ1409" t="inlineStr">
        <is>
          <t>BOOK</t>
        </is>
      </c>
      <c r="BB1409" t="inlineStr">
        <is>
          <t>9780306400759</t>
        </is>
      </c>
      <c r="BC1409" t="inlineStr">
        <is>
          <t>32285001643104</t>
        </is>
      </c>
      <c r="BD1409" t="inlineStr">
        <is>
          <t>893807338</t>
        </is>
      </c>
    </row>
    <row r="1410">
      <c r="A1410" t="inlineStr">
        <is>
          <t>No</t>
        </is>
      </c>
      <c r="B1410" t="inlineStr">
        <is>
          <t>QH599 .N37 1978 PT.B</t>
        </is>
      </c>
      <c r="C1410" t="inlineStr">
        <is>
          <t>0                      QH 0599000N  37          1978                                        PT.B</t>
        </is>
      </c>
      <c r="D1410" t="inlineStr">
        <is>
          <t>Chromatin structure and function / edited by Claudio A. Nicolini.</t>
        </is>
      </c>
      <c r="E1410" t="inlineStr">
        <is>
          <t>PT.B*</t>
        </is>
      </c>
      <c r="F1410" t="inlineStr">
        <is>
          <t>Yes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K1410" t="inlineStr">
        <is>
          <t>NATO Advanced Study Institute (1978 : Erice, Italy)</t>
        </is>
      </c>
      <c r="L1410" t="inlineStr">
        <is>
          <t>New York : Plenum Press, c1979.</t>
        </is>
      </c>
      <c r="M1410" t="inlineStr">
        <is>
          <t>1979</t>
        </is>
      </c>
      <c r="O1410" t="inlineStr">
        <is>
          <t>eng</t>
        </is>
      </c>
      <c r="P1410" t="inlineStr">
        <is>
          <t>nyu</t>
        </is>
      </c>
      <c r="Q1410" t="inlineStr">
        <is>
          <t>NATO advanced study institutes series. Series A, Life sciences ; v. 21</t>
        </is>
      </c>
      <c r="R1410" t="inlineStr">
        <is>
          <t xml:space="preserve">QH </t>
        </is>
      </c>
      <c r="S1410" t="n">
        <v>3</v>
      </c>
      <c r="T1410" t="n">
        <v>6</v>
      </c>
      <c r="U1410" t="inlineStr">
        <is>
          <t>2008-09-27</t>
        </is>
      </c>
      <c r="V1410" t="inlineStr">
        <is>
          <t>2008-10-11</t>
        </is>
      </c>
      <c r="W1410" t="inlineStr">
        <is>
          <t>1993-05-10</t>
        </is>
      </c>
      <c r="X1410" t="inlineStr">
        <is>
          <t>1993-05-10</t>
        </is>
      </c>
      <c r="Y1410" t="n">
        <v>233</v>
      </c>
      <c r="Z1410" t="n">
        <v>177</v>
      </c>
      <c r="AA1410" t="n">
        <v>184</v>
      </c>
      <c r="AB1410" t="n">
        <v>2</v>
      </c>
      <c r="AC1410" t="n">
        <v>2</v>
      </c>
      <c r="AD1410" t="n">
        <v>4</v>
      </c>
      <c r="AE1410" t="n">
        <v>5</v>
      </c>
      <c r="AF1410" t="n">
        <v>1</v>
      </c>
      <c r="AG1410" t="n">
        <v>2</v>
      </c>
      <c r="AH1410" t="n">
        <v>1</v>
      </c>
      <c r="AI1410" t="n">
        <v>1</v>
      </c>
      <c r="AJ1410" t="n">
        <v>3</v>
      </c>
      <c r="AK1410" t="n">
        <v>4</v>
      </c>
      <c r="AL1410" t="n">
        <v>1</v>
      </c>
      <c r="AM1410" t="n">
        <v>1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HYPERLINK("http://catalog.hathitrust.org/Record/000699999","HathiTrust Record")</f>
        <v/>
      </c>
      <c r="AS1410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10">
        <f>HYPERLINK("http://www.worldcat.org/oclc/4503860","WorldCat Record")</f>
        <v/>
      </c>
      <c r="AU1410" t="inlineStr">
        <is>
          <t>4917525617:eng</t>
        </is>
      </c>
      <c r="AV1410" t="inlineStr">
        <is>
          <t>4503860</t>
        </is>
      </c>
      <c r="AW1410" t="inlineStr">
        <is>
          <t>991004665669702656</t>
        </is>
      </c>
      <c r="AX1410" t="inlineStr">
        <is>
          <t>991004665669702656</t>
        </is>
      </c>
      <c r="AY1410" t="inlineStr">
        <is>
          <t>2265352960002656</t>
        </is>
      </c>
      <c r="AZ1410" t="inlineStr">
        <is>
          <t>BOOK</t>
        </is>
      </c>
      <c r="BB1410" t="inlineStr">
        <is>
          <t>9780306400759</t>
        </is>
      </c>
      <c r="BC1410" t="inlineStr">
        <is>
          <t>32285001643112</t>
        </is>
      </c>
      <c r="BD1410" t="inlineStr">
        <is>
          <t>893776279</t>
        </is>
      </c>
    </row>
    <row r="1411">
      <c r="A1411" t="inlineStr">
        <is>
          <t>No</t>
        </is>
      </c>
      <c r="B1411" t="inlineStr">
        <is>
          <t>QH600 .C48</t>
        </is>
      </c>
      <c r="C1411" t="inlineStr">
        <is>
          <t>0                      QH 0600000C  48</t>
        </is>
      </c>
      <c r="D1411" t="inlineStr">
        <is>
          <t>Chromatin and chromosome structure / edited by Hsueh Jei Li and Ronald A. Eckhardt.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L1411" t="inlineStr">
        <is>
          <t>New York : Academic Press, 1977.</t>
        </is>
      </c>
      <c r="M1411" t="inlineStr">
        <is>
          <t>1977</t>
        </is>
      </c>
      <c r="O1411" t="inlineStr">
        <is>
          <t>eng</t>
        </is>
      </c>
      <c r="P1411" t="inlineStr">
        <is>
          <t>nyu</t>
        </is>
      </c>
      <c r="R1411" t="inlineStr">
        <is>
          <t xml:space="preserve">QH </t>
        </is>
      </c>
      <c r="S1411" t="n">
        <v>3</v>
      </c>
      <c r="T1411" t="n">
        <v>3</v>
      </c>
      <c r="U1411" t="inlineStr">
        <is>
          <t>2008-10-26</t>
        </is>
      </c>
      <c r="V1411" t="inlineStr">
        <is>
          <t>2008-10-26</t>
        </is>
      </c>
      <c r="W1411" t="inlineStr">
        <is>
          <t>1997-07-14</t>
        </is>
      </c>
      <c r="X1411" t="inlineStr">
        <is>
          <t>1997-07-14</t>
        </is>
      </c>
      <c r="Y1411" t="n">
        <v>304</v>
      </c>
      <c r="Z1411" t="n">
        <v>215</v>
      </c>
      <c r="AA1411" t="n">
        <v>253</v>
      </c>
      <c r="AB1411" t="n">
        <v>3</v>
      </c>
      <c r="AC1411" t="n">
        <v>3</v>
      </c>
      <c r="AD1411" t="n">
        <v>9</v>
      </c>
      <c r="AE1411" t="n">
        <v>12</v>
      </c>
      <c r="AF1411" t="n">
        <v>2</v>
      </c>
      <c r="AG1411" t="n">
        <v>4</v>
      </c>
      <c r="AH1411" t="n">
        <v>2</v>
      </c>
      <c r="AI1411" t="n">
        <v>4</v>
      </c>
      <c r="AJ1411" t="n">
        <v>5</v>
      </c>
      <c r="AK1411" t="n">
        <v>5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HYPERLINK("http://catalog.hathitrust.org/Record/000736760","HathiTrust Record")</f>
        <v/>
      </c>
      <c r="AS1411">
        <f>HYPERLINK("https://creighton-primo.hosted.exlibrisgroup.com/primo-explore/search?tab=default_tab&amp;search_scope=EVERYTHING&amp;vid=01CRU&amp;lang=en_US&amp;offset=0&amp;query=any,contains,991004190819702656","Catalog Record")</f>
        <v/>
      </c>
      <c r="AT1411">
        <f>HYPERLINK("http://www.worldcat.org/oclc/2632696","WorldCat Record")</f>
        <v/>
      </c>
      <c r="AU1411" t="inlineStr">
        <is>
          <t>180100790:eng</t>
        </is>
      </c>
      <c r="AV1411" t="inlineStr">
        <is>
          <t>2632696</t>
        </is>
      </c>
      <c r="AW1411" t="inlineStr">
        <is>
          <t>991004190819702656</t>
        </is>
      </c>
      <c r="AX1411" t="inlineStr">
        <is>
          <t>991004190819702656</t>
        </is>
      </c>
      <c r="AY1411" t="inlineStr">
        <is>
          <t>2271728400002656</t>
        </is>
      </c>
      <c r="AZ1411" t="inlineStr">
        <is>
          <t>BOOK</t>
        </is>
      </c>
      <c r="BB1411" t="inlineStr">
        <is>
          <t>9780124505506</t>
        </is>
      </c>
      <c r="BC1411" t="inlineStr">
        <is>
          <t>32285002914678</t>
        </is>
      </c>
      <c r="BD1411" t="inlineStr">
        <is>
          <t>893788388</t>
        </is>
      </c>
    </row>
    <row r="1412">
      <c r="A1412" t="inlineStr">
        <is>
          <t>No</t>
        </is>
      </c>
      <c r="B1412" t="inlineStr">
        <is>
          <t>QH600 .C495 1986</t>
        </is>
      </c>
      <c r="C1412" t="inlineStr">
        <is>
          <t>0                      QH 0600000C  495         1986</t>
        </is>
      </c>
      <c r="D1412" t="inlineStr">
        <is>
          <t>Chromosome structure and function / Michael S. Risley, editor.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L1412" t="inlineStr">
        <is>
          <t>New York : Van Nostrand Reinhold Co., c1986.</t>
        </is>
      </c>
      <c r="M1412" t="inlineStr">
        <is>
          <t>1986</t>
        </is>
      </c>
      <c r="O1412" t="inlineStr">
        <is>
          <t>eng</t>
        </is>
      </c>
      <c r="P1412" t="inlineStr">
        <is>
          <t>nyu</t>
        </is>
      </c>
      <c r="Q1412" t="inlineStr">
        <is>
          <t>Van Nostrand Reinhold advanced cell biology series</t>
        </is>
      </c>
      <c r="R1412" t="inlineStr">
        <is>
          <t xml:space="preserve">QH </t>
        </is>
      </c>
      <c r="S1412" t="n">
        <v>8</v>
      </c>
      <c r="T1412" t="n">
        <v>8</v>
      </c>
      <c r="U1412" t="inlineStr">
        <is>
          <t>2008-11-13</t>
        </is>
      </c>
      <c r="V1412" t="inlineStr">
        <is>
          <t>2008-11-13</t>
        </is>
      </c>
      <c r="W1412" t="inlineStr">
        <is>
          <t>1993-05-10</t>
        </is>
      </c>
      <c r="X1412" t="inlineStr">
        <is>
          <t>1993-05-10</t>
        </is>
      </c>
      <c r="Y1412" t="n">
        <v>310</v>
      </c>
      <c r="Z1412" t="n">
        <v>275</v>
      </c>
      <c r="AA1412" t="n">
        <v>277</v>
      </c>
      <c r="AB1412" t="n">
        <v>3</v>
      </c>
      <c r="AC1412" t="n">
        <v>3</v>
      </c>
      <c r="AD1412" t="n">
        <v>15</v>
      </c>
      <c r="AE1412" t="n">
        <v>15</v>
      </c>
      <c r="AF1412" t="n">
        <v>3</v>
      </c>
      <c r="AG1412" t="n">
        <v>3</v>
      </c>
      <c r="AH1412" t="n">
        <v>5</v>
      </c>
      <c r="AI1412" t="n">
        <v>5</v>
      </c>
      <c r="AJ1412" t="n">
        <v>8</v>
      </c>
      <c r="AK1412" t="n">
        <v>8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HYPERLINK("http://catalog.hathitrust.org/Record/000438452","HathiTrust Record")</f>
        <v/>
      </c>
      <c r="AS1412">
        <f>HYPERLINK("https://creighton-primo.hosted.exlibrisgroup.com/primo-explore/search?tab=default_tab&amp;search_scope=EVERYTHING&amp;vid=01CRU&amp;lang=en_US&amp;offset=0&amp;query=any,contains,991000679709702656","Catalog Record")</f>
        <v/>
      </c>
      <c r="AT1412">
        <f>HYPERLINK("http://www.worldcat.org/oclc/12372481","WorldCat Record")</f>
        <v/>
      </c>
      <c r="AU1412" t="inlineStr">
        <is>
          <t>54736992:eng</t>
        </is>
      </c>
      <c r="AV1412" t="inlineStr">
        <is>
          <t>12372481</t>
        </is>
      </c>
      <c r="AW1412" t="inlineStr">
        <is>
          <t>991000679709702656</t>
        </is>
      </c>
      <c r="AX1412" t="inlineStr">
        <is>
          <t>991000679709702656</t>
        </is>
      </c>
      <c r="AY1412" t="inlineStr">
        <is>
          <t>2260277550002656</t>
        </is>
      </c>
      <c r="AZ1412" t="inlineStr">
        <is>
          <t>BOOK</t>
        </is>
      </c>
      <c r="BB1412" t="inlineStr">
        <is>
          <t>9780442276386</t>
        </is>
      </c>
      <c r="BC1412" t="inlineStr">
        <is>
          <t>32285001643120</t>
        </is>
      </c>
      <c r="BD1412" t="inlineStr">
        <is>
          <t>893327491</t>
        </is>
      </c>
    </row>
    <row r="1413">
      <c r="A1413" t="inlineStr">
        <is>
          <t>No</t>
        </is>
      </c>
      <c r="B1413" t="inlineStr">
        <is>
          <t>QH600 .C56 1996</t>
        </is>
      </c>
      <c r="C1413" t="inlineStr">
        <is>
          <t>0                      QH 0600000C  56          1996</t>
        </is>
      </c>
      <c r="D1413" t="inlineStr">
        <is>
          <t>Chromosomes : the complex code / M.S. Clark and W.J. Wall.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Clark, Melody.</t>
        </is>
      </c>
      <c r="L1413" t="inlineStr">
        <is>
          <t>London ; New York : Chapman &amp; Hall, c1996.</t>
        </is>
      </c>
      <c r="M1413" t="inlineStr">
        <is>
          <t>1996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enk</t>
        </is>
      </c>
      <c r="R1413" t="inlineStr">
        <is>
          <t xml:space="preserve">QH </t>
        </is>
      </c>
      <c r="S1413" t="n">
        <v>12</v>
      </c>
      <c r="T1413" t="n">
        <v>12</v>
      </c>
      <c r="U1413" t="inlineStr">
        <is>
          <t>2008-11-13</t>
        </is>
      </c>
      <c r="V1413" t="inlineStr">
        <is>
          <t>2008-11-13</t>
        </is>
      </c>
      <c r="W1413" t="inlineStr">
        <is>
          <t>1997-02-05</t>
        </is>
      </c>
      <c r="X1413" t="inlineStr">
        <is>
          <t>1997-02-05</t>
        </is>
      </c>
      <c r="Y1413" t="n">
        <v>245</v>
      </c>
      <c r="Z1413" t="n">
        <v>149</v>
      </c>
      <c r="AA1413" t="n">
        <v>151</v>
      </c>
      <c r="AB1413" t="n">
        <v>1</v>
      </c>
      <c r="AC1413" t="n">
        <v>1</v>
      </c>
      <c r="AD1413" t="n">
        <v>5</v>
      </c>
      <c r="AE1413" t="n">
        <v>5</v>
      </c>
      <c r="AF1413" t="n">
        <v>2</v>
      </c>
      <c r="AG1413" t="n">
        <v>2</v>
      </c>
      <c r="AH1413" t="n">
        <v>0</v>
      </c>
      <c r="AI1413" t="n">
        <v>0</v>
      </c>
      <c r="AJ1413" t="n">
        <v>5</v>
      </c>
      <c r="AK1413" t="n">
        <v>5</v>
      </c>
      <c r="AL1413" t="n">
        <v>0</v>
      </c>
      <c r="AM1413" t="n">
        <v>0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HYPERLINK("http://catalog.hathitrust.org/Record/003137707","HathiTrust Record")</f>
        <v/>
      </c>
      <c r="AS1413">
        <f>HYPERLINK("https://creighton-primo.hosted.exlibrisgroup.com/primo-explore/search?tab=default_tab&amp;search_scope=EVERYTHING&amp;vid=01CRU&amp;lang=en_US&amp;offset=0&amp;query=any,contains,991002686519702656","Catalog Record")</f>
        <v/>
      </c>
      <c r="AT1413">
        <f>HYPERLINK("http://www.worldcat.org/oclc/35096306","WorldCat Record")</f>
        <v/>
      </c>
      <c r="AU1413" t="inlineStr">
        <is>
          <t>41063165:eng</t>
        </is>
      </c>
      <c r="AV1413" t="inlineStr">
        <is>
          <t>35096306</t>
        </is>
      </c>
      <c r="AW1413" t="inlineStr">
        <is>
          <t>991002686519702656</t>
        </is>
      </c>
      <c r="AX1413" t="inlineStr">
        <is>
          <t>991002686519702656</t>
        </is>
      </c>
      <c r="AY1413" t="inlineStr">
        <is>
          <t>2271663560002656</t>
        </is>
      </c>
      <c r="AZ1413" t="inlineStr">
        <is>
          <t>BOOK</t>
        </is>
      </c>
      <c r="BB1413" t="inlineStr">
        <is>
          <t>9780412555305</t>
        </is>
      </c>
      <c r="BC1413" t="inlineStr">
        <is>
          <t>32285002414091</t>
        </is>
      </c>
      <c r="BD1413" t="inlineStr">
        <is>
          <t>893341728</t>
        </is>
      </c>
    </row>
    <row r="1414">
      <c r="A1414" t="inlineStr">
        <is>
          <t>No</t>
        </is>
      </c>
      <c r="B1414" t="inlineStr">
        <is>
          <t>QH600 .D93 1979b</t>
        </is>
      </c>
      <c r="C1414" t="inlineStr">
        <is>
          <t>0                      QH 0600000D  93          1979b</t>
        </is>
      </c>
      <c r="D1414" t="inlineStr">
        <is>
          <t>Investigating chromosomes / Adrian F. Dyer.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Dyer, A. F.</t>
        </is>
      </c>
      <c r="L1414" t="inlineStr">
        <is>
          <t>New York : Wiley, c1979.</t>
        </is>
      </c>
      <c r="M1414" t="inlineStr">
        <is>
          <t>1979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QH </t>
        </is>
      </c>
      <c r="S1414" t="n">
        <v>3</v>
      </c>
      <c r="T1414" t="n">
        <v>3</v>
      </c>
      <c r="U1414" t="inlineStr">
        <is>
          <t>2008-09-28</t>
        </is>
      </c>
      <c r="V1414" t="inlineStr">
        <is>
          <t>2008-09-28</t>
        </is>
      </c>
      <c r="W1414" t="inlineStr">
        <is>
          <t>1993-05-10</t>
        </is>
      </c>
      <c r="X1414" t="inlineStr">
        <is>
          <t>1993-05-10</t>
        </is>
      </c>
      <c r="Y1414" t="n">
        <v>326</v>
      </c>
      <c r="Z1414" t="n">
        <v>242</v>
      </c>
      <c r="AA1414" t="n">
        <v>256</v>
      </c>
      <c r="AB1414" t="n">
        <v>3</v>
      </c>
      <c r="AC1414" t="n">
        <v>3</v>
      </c>
      <c r="AD1414" t="n">
        <v>7</v>
      </c>
      <c r="AE1414" t="n">
        <v>8</v>
      </c>
      <c r="AF1414" t="n">
        <v>2</v>
      </c>
      <c r="AG1414" t="n">
        <v>3</v>
      </c>
      <c r="AH1414" t="n">
        <v>1</v>
      </c>
      <c r="AI1414" t="n">
        <v>1</v>
      </c>
      <c r="AJ1414" t="n">
        <v>4</v>
      </c>
      <c r="AK1414" t="n">
        <v>4</v>
      </c>
      <c r="AL1414" t="n">
        <v>2</v>
      </c>
      <c r="AM1414" t="n">
        <v>2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HYPERLINK("http://catalog.hathitrust.org/Record/000689645","HathiTrust Record")</f>
        <v/>
      </c>
      <c r="AS1414">
        <f>HYPERLINK("https://creighton-primo.hosted.exlibrisgroup.com/primo-explore/search?tab=default_tab&amp;search_scope=EVERYTHING&amp;vid=01CRU&amp;lang=en_US&amp;offset=0&amp;query=any,contains,991004812589702656","Catalog Record")</f>
        <v/>
      </c>
      <c r="AT1414">
        <f>HYPERLINK("http://www.worldcat.org/oclc/5286282","WorldCat Record")</f>
        <v/>
      </c>
      <c r="AU1414" t="inlineStr">
        <is>
          <t>14949560:eng</t>
        </is>
      </c>
      <c r="AV1414" t="inlineStr">
        <is>
          <t>5286282</t>
        </is>
      </c>
      <c r="AW1414" t="inlineStr">
        <is>
          <t>991004812589702656</t>
        </is>
      </c>
      <c r="AX1414" t="inlineStr">
        <is>
          <t>991004812589702656</t>
        </is>
      </c>
      <c r="AY1414" t="inlineStr">
        <is>
          <t>2271730900002656</t>
        </is>
      </c>
      <c r="AZ1414" t="inlineStr">
        <is>
          <t>BOOK</t>
        </is>
      </c>
      <c r="BB1414" t="inlineStr">
        <is>
          <t>9780470268650</t>
        </is>
      </c>
      <c r="BC1414" t="inlineStr">
        <is>
          <t>32285001643138</t>
        </is>
      </c>
      <c r="BD1414" t="inlineStr">
        <is>
          <t>893870140</t>
        </is>
      </c>
    </row>
    <row r="1415">
      <c r="A1415" t="inlineStr">
        <is>
          <t>No</t>
        </is>
      </c>
      <c r="B1415" t="inlineStr">
        <is>
          <t>QH600 .J66 1982</t>
        </is>
      </c>
      <c r="C1415" t="inlineStr">
        <is>
          <t>0                      QH 0600000J  66          1982</t>
        </is>
      </c>
      <c r="D1415" t="inlineStr">
        <is>
          <t>B chromosomes / R.N. Jones and H. Rees.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Jones, R. N. (Robert Neil), 1939-</t>
        </is>
      </c>
      <c r="L1415" t="inlineStr">
        <is>
          <t>London ; New York : Academic Press, 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enk</t>
        </is>
      </c>
      <c r="R1415" t="inlineStr">
        <is>
          <t xml:space="preserve">QH </t>
        </is>
      </c>
      <c r="S1415" t="n">
        <v>2</v>
      </c>
      <c r="T1415" t="n">
        <v>2</v>
      </c>
      <c r="U1415" t="inlineStr">
        <is>
          <t>2008-09-28</t>
        </is>
      </c>
      <c r="V1415" t="inlineStr">
        <is>
          <t>2008-09-28</t>
        </is>
      </c>
      <c r="W1415" t="inlineStr">
        <is>
          <t>1993-05-10</t>
        </is>
      </c>
      <c r="X1415" t="inlineStr">
        <is>
          <t>1993-05-10</t>
        </is>
      </c>
      <c r="Y1415" t="n">
        <v>186</v>
      </c>
      <c r="Z1415" t="n">
        <v>112</v>
      </c>
      <c r="AA1415" t="n">
        <v>112</v>
      </c>
      <c r="AB1415" t="n">
        <v>2</v>
      </c>
      <c r="AC1415" t="n">
        <v>2</v>
      </c>
      <c r="AD1415" t="n">
        <v>2</v>
      </c>
      <c r="AE1415" t="n">
        <v>2</v>
      </c>
      <c r="AF1415" t="n">
        <v>0</v>
      </c>
      <c r="AG1415" t="n">
        <v>0</v>
      </c>
      <c r="AH1415" t="n">
        <v>1</v>
      </c>
      <c r="AI1415" t="n">
        <v>1</v>
      </c>
      <c r="AJ1415" t="n">
        <v>1</v>
      </c>
      <c r="AK1415" t="n">
        <v>1</v>
      </c>
      <c r="AL1415" t="n">
        <v>1</v>
      </c>
      <c r="AM1415" t="n">
        <v>1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HYPERLINK("https://creighton-primo.hosted.exlibrisgroup.com/primo-explore/search?tab=default_tab&amp;search_scope=EVERYTHING&amp;vid=01CRU&amp;lang=en_US&amp;offset=0&amp;query=any,contains,991000150449702656","Catalog Record")</f>
        <v/>
      </c>
      <c r="AT1415">
        <f>HYPERLINK("http://www.worldcat.org/oclc/9198272","WorldCat Record")</f>
        <v/>
      </c>
      <c r="AU1415" t="inlineStr">
        <is>
          <t>409246:eng</t>
        </is>
      </c>
      <c r="AV1415" t="inlineStr">
        <is>
          <t>9198272</t>
        </is>
      </c>
      <c r="AW1415" t="inlineStr">
        <is>
          <t>991000150449702656</t>
        </is>
      </c>
      <c r="AX1415" t="inlineStr">
        <is>
          <t>991000150449702656</t>
        </is>
      </c>
      <c r="AY1415" t="inlineStr">
        <is>
          <t>2262930050002656</t>
        </is>
      </c>
      <c r="AZ1415" t="inlineStr">
        <is>
          <t>BOOK</t>
        </is>
      </c>
      <c r="BB1415" t="inlineStr">
        <is>
          <t>9780123900609</t>
        </is>
      </c>
      <c r="BC1415" t="inlineStr">
        <is>
          <t>32285001643153</t>
        </is>
      </c>
      <c r="BD1415" t="inlineStr">
        <is>
          <t>893419247</t>
        </is>
      </c>
    </row>
    <row r="1416">
      <c r="A1416" t="inlineStr">
        <is>
          <t>No</t>
        </is>
      </c>
      <c r="B1416" t="inlineStr">
        <is>
          <t>QH600 .M33 1983</t>
        </is>
      </c>
      <c r="C1416" t="inlineStr">
        <is>
          <t>0                      QH 0600000M  33          1983</t>
        </is>
      </c>
      <c r="D1416" t="inlineStr">
        <is>
          <t>Working with animal chromosomes / Herbert C. Macgregor and Jennifer M. Varley ; chapter 7 contributed by Aimee Bakken, R. Stephen Hill.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Macgregor, Herbert C.</t>
        </is>
      </c>
      <c r="L1416" t="inlineStr">
        <is>
          <t>Chichester ; New York : Wiley, c1983.</t>
        </is>
      </c>
      <c r="M1416" t="inlineStr">
        <is>
          <t>1983</t>
        </is>
      </c>
      <c r="O1416" t="inlineStr">
        <is>
          <t>eng</t>
        </is>
      </c>
      <c r="P1416" t="inlineStr">
        <is>
          <t>enk</t>
        </is>
      </c>
      <c r="R1416" t="inlineStr">
        <is>
          <t xml:space="preserve">QH </t>
        </is>
      </c>
      <c r="S1416" t="n">
        <v>2</v>
      </c>
      <c r="T1416" t="n">
        <v>2</v>
      </c>
      <c r="U1416" t="inlineStr">
        <is>
          <t>2008-09-28</t>
        </is>
      </c>
      <c r="V1416" t="inlineStr">
        <is>
          <t>2008-09-28</t>
        </is>
      </c>
      <c r="W1416" t="inlineStr">
        <is>
          <t>1993-05-10</t>
        </is>
      </c>
      <c r="X1416" t="inlineStr">
        <is>
          <t>1993-05-10</t>
        </is>
      </c>
      <c r="Y1416" t="n">
        <v>408</v>
      </c>
      <c r="Z1416" t="n">
        <v>325</v>
      </c>
      <c r="AA1416" t="n">
        <v>406</v>
      </c>
      <c r="AB1416" t="n">
        <v>4</v>
      </c>
      <c r="AC1416" t="n">
        <v>4</v>
      </c>
      <c r="AD1416" t="n">
        <v>15</v>
      </c>
      <c r="AE1416" t="n">
        <v>17</v>
      </c>
      <c r="AF1416" t="n">
        <v>6</v>
      </c>
      <c r="AG1416" t="n">
        <v>6</v>
      </c>
      <c r="AH1416" t="n">
        <v>5</v>
      </c>
      <c r="AI1416" t="n">
        <v>6</v>
      </c>
      <c r="AJ1416" t="n">
        <v>7</v>
      </c>
      <c r="AK1416" t="n">
        <v>8</v>
      </c>
      <c r="AL1416" t="n">
        <v>3</v>
      </c>
      <c r="AM1416" t="n">
        <v>3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HYPERLINK("http://catalog.hathitrust.org/Record/000165664","HathiTrust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HYPERLINK("https://creighton-primo.hosted.exlibrisgroup.com/primo-explore/search?tab=default_tab&amp;search_scope=EVERYTHING&amp;vid=01CRU&amp;lang=en_US&amp;offset=0&amp;query=any,contains,991005254269702656","Catalog Record")</f>
        <v/>
      </c>
      <c r="AT1416">
        <f>HYPERLINK("http://www.worldcat.org/oclc/9082819","WorldCat Record")</f>
        <v/>
      </c>
      <c r="AU1416" t="inlineStr">
        <is>
          <t>16324887:eng</t>
        </is>
      </c>
      <c r="AV1416" t="inlineStr">
        <is>
          <t>9082819</t>
        </is>
      </c>
      <c r="AW1416" t="inlineStr">
        <is>
          <t>991005254269702656</t>
        </is>
      </c>
      <c r="AX1416" t="inlineStr">
        <is>
          <t>991005254269702656</t>
        </is>
      </c>
      <c r="AY1416" t="inlineStr">
        <is>
          <t>2255069930002656</t>
        </is>
      </c>
      <c r="AZ1416" t="inlineStr">
        <is>
          <t>BOOK</t>
        </is>
      </c>
      <c r="BB1416" t="inlineStr">
        <is>
          <t>9780471102953</t>
        </is>
      </c>
      <c r="BC1416" t="inlineStr">
        <is>
          <t>32285001643161</t>
        </is>
      </c>
      <c r="BD1416" t="inlineStr">
        <is>
          <t>893326470</t>
        </is>
      </c>
    </row>
    <row r="1417">
      <c r="A1417" t="inlineStr">
        <is>
          <t>No</t>
        </is>
      </c>
      <c r="B1417" t="inlineStr">
        <is>
          <t>QH600 .M63 1989</t>
        </is>
      </c>
      <c r="C1417" t="inlineStr">
        <is>
          <t>0                      QH 0600000M  63          1989</t>
        </is>
      </c>
      <c r="D1417" t="inlineStr">
        <is>
          <t>Molecular biology of chromosome function / Kenneth W. Adolph, editor.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Springer-Verlag, c1989.</t>
        </is>
      </c>
      <c r="M1417" t="inlineStr">
        <is>
          <t>1989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QH </t>
        </is>
      </c>
      <c r="S1417" t="n">
        <v>7</v>
      </c>
      <c r="T1417" t="n">
        <v>7</v>
      </c>
      <c r="U1417" t="inlineStr">
        <is>
          <t>2008-11-13</t>
        </is>
      </c>
      <c r="V1417" t="inlineStr">
        <is>
          <t>2008-11-13</t>
        </is>
      </c>
      <c r="W1417" t="inlineStr">
        <is>
          <t>1990-07-25</t>
        </is>
      </c>
      <c r="X1417" t="inlineStr">
        <is>
          <t>1990-07-25</t>
        </is>
      </c>
      <c r="Y1417" t="n">
        <v>256</v>
      </c>
      <c r="Z1417" t="n">
        <v>184</v>
      </c>
      <c r="AA1417" t="n">
        <v>210</v>
      </c>
      <c r="AB1417" t="n">
        <v>2</v>
      </c>
      <c r="AC1417" t="n">
        <v>2</v>
      </c>
      <c r="AD1417" t="n">
        <v>9</v>
      </c>
      <c r="AE1417" t="n">
        <v>10</v>
      </c>
      <c r="AF1417" t="n">
        <v>0</v>
      </c>
      <c r="AG1417" t="n">
        <v>1</v>
      </c>
      <c r="AH1417" t="n">
        <v>3</v>
      </c>
      <c r="AI1417" t="n">
        <v>3</v>
      </c>
      <c r="AJ1417" t="n">
        <v>6</v>
      </c>
      <c r="AK1417" t="n">
        <v>7</v>
      </c>
      <c r="AL1417" t="n">
        <v>1</v>
      </c>
      <c r="AM1417" t="n">
        <v>1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HYPERLINK("http://catalog.hathitrust.org/Record/001551629","HathiTrust Record")</f>
        <v/>
      </c>
      <c r="AS1417">
        <f>HYPERLINK("https://creighton-primo.hosted.exlibrisgroup.com/primo-explore/search?tab=default_tab&amp;search_scope=EVERYTHING&amp;vid=01CRU&amp;lang=en_US&amp;offset=0&amp;query=any,contains,991001478389702656","Catalog Record")</f>
        <v/>
      </c>
      <c r="AT1417">
        <f>HYPERLINK("http://www.worldcat.org/oclc/19590056","WorldCat Record")</f>
        <v/>
      </c>
      <c r="AU1417" t="inlineStr">
        <is>
          <t>55206893:eng</t>
        </is>
      </c>
      <c r="AV1417" t="inlineStr">
        <is>
          <t>19590056</t>
        </is>
      </c>
      <c r="AW1417" t="inlineStr">
        <is>
          <t>991001478389702656</t>
        </is>
      </c>
      <c r="AX1417" t="inlineStr">
        <is>
          <t>991001478389702656</t>
        </is>
      </c>
      <c r="AY1417" t="inlineStr">
        <is>
          <t>2267542890002656</t>
        </is>
      </c>
      <c r="AZ1417" t="inlineStr">
        <is>
          <t>BOOK</t>
        </is>
      </c>
      <c r="BB1417" t="inlineStr">
        <is>
          <t>9780387969824</t>
        </is>
      </c>
      <c r="BC1417" t="inlineStr">
        <is>
          <t>32285000240308</t>
        </is>
      </c>
      <c r="BD1417" t="inlineStr">
        <is>
          <t>893785128</t>
        </is>
      </c>
    </row>
    <row r="1418">
      <c r="A1418" t="inlineStr">
        <is>
          <t>No</t>
        </is>
      </c>
      <c r="B1418" t="inlineStr">
        <is>
          <t>QH600 .M64</t>
        </is>
      </c>
      <c r="C1418" t="inlineStr">
        <is>
          <t>0                      QH 0600000M  64</t>
        </is>
      </c>
      <c r="D1418" t="inlineStr">
        <is>
          <t>Molecular structure of human chromosomes / edited by Jorge J. Yunis.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L1418" t="inlineStr">
        <is>
          <t>New York : Academic Press, 1977.</t>
        </is>
      </c>
      <c r="M1418" t="inlineStr">
        <is>
          <t>1977</t>
        </is>
      </c>
      <c r="O1418" t="inlineStr">
        <is>
          <t>eng</t>
        </is>
      </c>
      <c r="P1418" t="inlineStr">
        <is>
          <t>nyu</t>
        </is>
      </c>
      <c r="Q1418" t="inlineStr">
        <is>
          <t>Chromosomes in biology and medicine</t>
        </is>
      </c>
      <c r="R1418" t="inlineStr">
        <is>
          <t xml:space="preserve">QH </t>
        </is>
      </c>
      <c r="S1418" t="n">
        <v>2</v>
      </c>
      <c r="T1418" t="n">
        <v>2</v>
      </c>
      <c r="U1418" t="inlineStr">
        <is>
          <t>2008-09-28</t>
        </is>
      </c>
      <c r="V1418" t="inlineStr">
        <is>
          <t>2008-09-28</t>
        </is>
      </c>
      <c r="W1418" t="inlineStr">
        <is>
          <t>1993-05-10</t>
        </is>
      </c>
      <c r="X1418" t="inlineStr">
        <is>
          <t>1993-05-10</t>
        </is>
      </c>
      <c r="Y1418" t="n">
        <v>325</v>
      </c>
      <c r="Z1418" t="n">
        <v>245</v>
      </c>
      <c r="AA1418" t="n">
        <v>293</v>
      </c>
      <c r="AB1418" t="n">
        <v>4</v>
      </c>
      <c r="AC1418" t="n">
        <v>4</v>
      </c>
      <c r="AD1418" t="n">
        <v>6</v>
      </c>
      <c r="AE1418" t="n">
        <v>8</v>
      </c>
      <c r="AF1418" t="n">
        <v>1</v>
      </c>
      <c r="AG1418" t="n">
        <v>2</v>
      </c>
      <c r="AH1418" t="n">
        <v>1</v>
      </c>
      <c r="AI1418" t="n">
        <v>3</v>
      </c>
      <c r="AJ1418" t="n">
        <v>2</v>
      </c>
      <c r="AK1418" t="n">
        <v>2</v>
      </c>
      <c r="AL1418" t="n">
        <v>3</v>
      </c>
      <c r="AM1418" t="n">
        <v>3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HYPERLINK("http://catalog.hathitrust.org/Record/000293804","HathiTrust Record")</f>
        <v/>
      </c>
      <c r="AS1418">
        <f>HYPERLINK("https://creighton-primo.hosted.exlibrisgroup.com/primo-explore/search?tab=default_tab&amp;search_scope=EVERYTHING&amp;vid=01CRU&amp;lang=en_US&amp;offset=0&amp;query=any,contains,991004365799702656","Catalog Record")</f>
        <v/>
      </c>
      <c r="AT1418">
        <f>HYPERLINK("http://www.worldcat.org/oclc/3169448","WorldCat Record")</f>
        <v/>
      </c>
      <c r="AU1418" t="inlineStr">
        <is>
          <t>8182846:eng</t>
        </is>
      </c>
      <c r="AV1418" t="inlineStr">
        <is>
          <t>3169448</t>
        </is>
      </c>
      <c r="AW1418" t="inlineStr">
        <is>
          <t>991004365799702656</t>
        </is>
      </c>
      <c r="AX1418" t="inlineStr">
        <is>
          <t>991004365799702656</t>
        </is>
      </c>
      <c r="AY1418" t="inlineStr">
        <is>
          <t>2263254210002656</t>
        </is>
      </c>
      <c r="AZ1418" t="inlineStr">
        <is>
          <t>BOOK</t>
        </is>
      </c>
      <c r="BB1418" t="inlineStr">
        <is>
          <t>9780127751689</t>
        </is>
      </c>
      <c r="BC1418" t="inlineStr">
        <is>
          <t>32285001643179</t>
        </is>
      </c>
      <c r="BD1418" t="inlineStr">
        <is>
          <t>893901161</t>
        </is>
      </c>
    </row>
    <row r="1419">
      <c r="A1419" t="inlineStr">
        <is>
          <t>No</t>
        </is>
      </c>
      <c r="B1419" t="inlineStr">
        <is>
          <t>QH600 .R43 1977</t>
        </is>
      </c>
      <c r="C1419" t="inlineStr">
        <is>
          <t>0                      QH 0600000R  43          1977</t>
        </is>
      </c>
      <c r="D1419" t="inlineStr">
        <is>
          <t>Chromosome genetics / H. Rees, R. N. Jones.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Rees, H. (Hubert), 1923-2009.</t>
        </is>
      </c>
      <c r="L1419" t="inlineStr">
        <is>
          <t>Baltimore : University Park Press, 1977.</t>
        </is>
      </c>
      <c r="M1419" t="inlineStr">
        <is>
          <t>1977</t>
        </is>
      </c>
      <c r="O1419" t="inlineStr">
        <is>
          <t>eng</t>
        </is>
      </c>
      <c r="P1419" t="inlineStr">
        <is>
          <t>mdu</t>
        </is>
      </c>
      <c r="Q1419" t="inlineStr">
        <is>
          <t>Genetics, principles and perspectives ; 3</t>
        </is>
      </c>
      <c r="R1419" t="inlineStr">
        <is>
          <t xml:space="preserve">QH </t>
        </is>
      </c>
      <c r="S1419" t="n">
        <v>2</v>
      </c>
      <c r="T1419" t="n">
        <v>2</v>
      </c>
      <c r="U1419" t="inlineStr">
        <is>
          <t>2008-09-28</t>
        </is>
      </c>
      <c r="V1419" t="inlineStr">
        <is>
          <t>2008-09-28</t>
        </is>
      </c>
      <c r="W1419" t="inlineStr">
        <is>
          <t>1992-12-01</t>
        </is>
      </c>
      <c r="X1419" t="inlineStr">
        <is>
          <t>1992-12-01</t>
        </is>
      </c>
      <c r="Y1419" t="n">
        <v>333</v>
      </c>
      <c r="Z1419" t="n">
        <v>306</v>
      </c>
      <c r="AA1419" t="n">
        <v>334</v>
      </c>
      <c r="AB1419" t="n">
        <v>5</v>
      </c>
      <c r="AC1419" t="n">
        <v>6</v>
      </c>
      <c r="AD1419" t="n">
        <v>14</v>
      </c>
      <c r="AE1419" t="n">
        <v>15</v>
      </c>
      <c r="AF1419" t="n">
        <v>4</v>
      </c>
      <c r="AG1419" t="n">
        <v>4</v>
      </c>
      <c r="AH1419" t="n">
        <v>3</v>
      </c>
      <c r="AI1419" t="n">
        <v>3</v>
      </c>
      <c r="AJ1419" t="n">
        <v>7</v>
      </c>
      <c r="AK1419" t="n">
        <v>7</v>
      </c>
      <c r="AL1419" t="n">
        <v>4</v>
      </c>
      <c r="AM1419" t="n">
        <v>5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HYPERLINK("http://catalog.hathitrust.org/Record/000750847","HathiTrust Record")</f>
        <v/>
      </c>
      <c r="AS1419">
        <f>HYPERLINK("https://creighton-primo.hosted.exlibrisgroup.com/primo-explore/search?tab=default_tab&amp;search_scope=EVERYTHING&amp;vid=01CRU&amp;lang=en_US&amp;offset=0&amp;query=any,contains,991004420529702656","Catalog Record")</f>
        <v/>
      </c>
      <c r="AT1419">
        <f>HYPERLINK("http://www.worldcat.org/oclc/3380361","WorldCat Record")</f>
        <v/>
      </c>
      <c r="AU1419" t="inlineStr">
        <is>
          <t>343407993:eng</t>
        </is>
      </c>
      <c r="AV1419" t="inlineStr">
        <is>
          <t>3380361</t>
        </is>
      </c>
      <c r="AW1419" t="inlineStr">
        <is>
          <t>991004420529702656</t>
        </is>
      </c>
      <c r="AX1419" t="inlineStr">
        <is>
          <t>991004420529702656</t>
        </is>
      </c>
      <c r="AY1419" t="inlineStr">
        <is>
          <t>2272748660002656</t>
        </is>
      </c>
      <c r="AZ1419" t="inlineStr">
        <is>
          <t>BOOK</t>
        </is>
      </c>
      <c r="BB1419" t="inlineStr">
        <is>
          <t>9780839111955</t>
        </is>
      </c>
      <c r="BC1419" t="inlineStr">
        <is>
          <t>32285001410785</t>
        </is>
      </c>
      <c r="BD1419" t="inlineStr">
        <is>
          <t>893624720</t>
        </is>
      </c>
    </row>
    <row r="1420">
      <c r="A1420" t="inlineStr">
        <is>
          <t>No</t>
        </is>
      </c>
      <c r="B1420" t="inlineStr">
        <is>
          <t>QH600 .S86 1990</t>
        </is>
      </c>
      <c r="C1420" t="inlineStr">
        <is>
          <t>0                      QH 0600000S  86          1990</t>
        </is>
      </c>
      <c r="D1420" t="inlineStr">
        <is>
          <t>Chromosome banding / A.T. Sumner.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Sumner, A. T. (Adrian Thomas), 1940-</t>
        </is>
      </c>
      <c r="L1420" t="inlineStr">
        <is>
          <t>London ; Boston : Unwin Hyman, 1990.</t>
        </is>
      </c>
      <c r="M1420" t="inlineStr">
        <is>
          <t>1990</t>
        </is>
      </c>
      <c r="O1420" t="inlineStr">
        <is>
          <t>eng</t>
        </is>
      </c>
      <c r="P1420" t="inlineStr">
        <is>
          <t>enk</t>
        </is>
      </c>
      <c r="R1420" t="inlineStr">
        <is>
          <t xml:space="preserve">QH </t>
        </is>
      </c>
      <c r="S1420" t="n">
        <v>2</v>
      </c>
      <c r="T1420" t="n">
        <v>2</v>
      </c>
      <c r="U1420" t="inlineStr">
        <is>
          <t>2008-10-20</t>
        </is>
      </c>
      <c r="V1420" t="inlineStr">
        <is>
          <t>2008-10-20</t>
        </is>
      </c>
      <c r="W1420" t="inlineStr">
        <is>
          <t>1991-09-17</t>
        </is>
      </c>
      <c r="X1420" t="inlineStr">
        <is>
          <t>1991-09-17</t>
        </is>
      </c>
      <c r="Y1420" t="n">
        <v>190</v>
      </c>
      <c r="Z1420" t="n">
        <v>119</v>
      </c>
      <c r="AA1420" t="n">
        <v>120</v>
      </c>
      <c r="AB1420" t="n">
        <v>2</v>
      </c>
      <c r="AC1420" t="n">
        <v>2</v>
      </c>
      <c r="AD1420" t="n">
        <v>4</v>
      </c>
      <c r="AE1420" t="n">
        <v>4</v>
      </c>
      <c r="AF1420" t="n">
        <v>0</v>
      </c>
      <c r="AG1420" t="n">
        <v>0</v>
      </c>
      <c r="AH1420" t="n">
        <v>1</v>
      </c>
      <c r="AI1420" t="n">
        <v>1</v>
      </c>
      <c r="AJ1420" t="n">
        <v>2</v>
      </c>
      <c r="AK1420" t="n">
        <v>2</v>
      </c>
      <c r="AL1420" t="n">
        <v>1</v>
      </c>
      <c r="AM1420" t="n">
        <v>1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HYPERLINK("http://catalog.hathitrust.org/Record/002430986","HathiTrust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HYPERLINK("https://creighton-primo.hosted.exlibrisgroup.com/primo-explore/search?tab=default_tab&amp;search_scope=EVERYTHING&amp;vid=01CRU&amp;lang=en_US&amp;offset=0&amp;query=any,contains,991001688849702656","Catalog Record")</f>
        <v/>
      </c>
      <c r="AT1420">
        <f>HYPERLINK("http://www.worldcat.org/oclc/21412149","WorldCat Record")</f>
        <v/>
      </c>
      <c r="AU1420" t="inlineStr">
        <is>
          <t>22999088:eng</t>
        </is>
      </c>
      <c r="AV1420" t="inlineStr">
        <is>
          <t>21412149</t>
        </is>
      </c>
      <c r="AW1420" t="inlineStr">
        <is>
          <t>991001688849702656</t>
        </is>
      </c>
      <c r="AX1420" t="inlineStr">
        <is>
          <t>991001688849702656</t>
        </is>
      </c>
      <c r="AY1420" t="inlineStr">
        <is>
          <t>2257321790002656</t>
        </is>
      </c>
      <c r="AZ1420" t="inlineStr">
        <is>
          <t>BOOK</t>
        </is>
      </c>
      <c r="BB1420" t="inlineStr">
        <is>
          <t>9780044452799</t>
        </is>
      </c>
      <c r="BC1420" t="inlineStr">
        <is>
          <t>32285000703669</t>
        </is>
      </c>
      <c r="BD1420" t="inlineStr">
        <is>
          <t>893609059</t>
        </is>
      </c>
    </row>
    <row r="1421">
      <c r="A1421" t="inlineStr">
        <is>
          <t>No</t>
        </is>
      </c>
      <c r="B1421" t="inlineStr">
        <is>
          <t>QH600 .W34 1993</t>
        </is>
      </c>
      <c r="C1421" t="inlineStr">
        <is>
          <t>0                      QH 0600000W  34          1993</t>
        </is>
      </c>
      <c r="D1421" t="inlineStr">
        <is>
          <t>Chromosomes : a synthesis / Robert P. Wagner, Marjorie P. Maguire, Raymond L. Stallings.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Wagner, Robert P.</t>
        </is>
      </c>
      <c r="L1421" t="inlineStr">
        <is>
          <t>New York : Wiley-Liss, c1993.</t>
        </is>
      </c>
      <c r="M1421" t="inlineStr">
        <is>
          <t>1993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QH </t>
        </is>
      </c>
      <c r="S1421" t="n">
        <v>13</v>
      </c>
      <c r="T1421" t="n">
        <v>13</v>
      </c>
      <c r="U1421" t="inlineStr">
        <is>
          <t>2008-11-13</t>
        </is>
      </c>
      <c r="V1421" t="inlineStr">
        <is>
          <t>2008-11-13</t>
        </is>
      </c>
      <c r="W1421" t="inlineStr">
        <is>
          <t>1993-12-10</t>
        </is>
      </c>
      <c r="X1421" t="inlineStr">
        <is>
          <t>1993-12-10</t>
        </is>
      </c>
      <c r="Y1421" t="n">
        <v>375</v>
      </c>
      <c r="Z1421" t="n">
        <v>292</v>
      </c>
      <c r="AA1421" t="n">
        <v>302</v>
      </c>
      <c r="AB1421" t="n">
        <v>4</v>
      </c>
      <c r="AC1421" t="n">
        <v>4</v>
      </c>
      <c r="AD1421" t="n">
        <v>14</v>
      </c>
      <c r="AE1421" t="n">
        <v>14</v>
      </c>
      <c r="AF1421" t="n">
        <v>4</v>
      </c>
      <c r="AG1421" t="n">
        <v>4</v>
      </c>
      <c r="AH1421" t="n">
        <v>1</v>
      </c>
      <c r="AI1421" t="n">
        <v>1</v>
      </c>
      <c r="AJ1421" t="n">
        <v>8</v>
      </c>
      <c r="AK1421" t="n">
        <v>8</v>
      </c>
      <c r="AL1421" t="n">
        <v>3</v>
      </c>
      <c r="AM1421" t="n">
        <v>3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HYPERLINK("https://creighton-primo.hosted.exlibrisgroup.com/primo-explore/search?tab=default_tab&amp;search_scope=EVERYTHING&amp;vid=01CRU&amp;lang=en_US&amp;offset=0&amp;query=any,contains,991002052149702656","Catalog Record")</f>
        <v/>
      </c>
      <c r="AT1421">
        <f>HYPERLINK("http://www.worldcat.org/oclc/26211715","WorldCat Record")</f>
        <v/>
      </c>
      <c r="AU1421" t="inlineStr">
        <is>
          <t>335883045:eng</t>
        </is>
      </c>
      <c r="AV1421" t="inlineStr">
        <is>
          <t>26211715</t>
        </is>
      </c>
      <c r="AW1421" t="inlineStr">
        <is>
          <t>991002052149702656</t>
        </is>
      </c>
      <c r="AX1421" t="inlineStr">
        <is>
          <t>991002052149702656</t>
        </is>
      </c>
      <c r="AY1421" t="inlineStr">
        <is>
          <t>2271105020002656</t>
        </is>
      </c>
      <c r="AZ1421" t="inlineStr">
        <is>
          <t>BOOK</t>
        </is>
      </c>
      <c r="BB1421" t="inlineStr">
        <is>
          <t>9780471561248</t>
        </is>
      </c>
      <c r="BC1421" t="inlineStr">
        <is>
          <t>32285001815686</t>
        </is>
      </c>
      <c r="BD1421" t="inlineStr">
        <is>
          <t>893523126</t>
        </is>
      </c>
    </row>
    <row r="1422">
      <c r="A1422" t="inlineStr">
        <is>
          <t>No</t>
        </is>
      </c>
      <c r="B1422" t="inlineStr">
        <is>
          <t>QH600.3 .T45 1995</t>
        </is>
      </c>
      <c r="C1422" t="inlineStr">
        <is>
          <t>0                      QH 0600300T  45          1995</t>
        </is>
      </c>
      <c r="D1422" t="inlineStr">
        <is>
          <t>Telomeres / edited by Elizabeth H. Blackburn, Carol W. Greider.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L1422" t="inlineStr">
        <is>
          <t>Plainview, N.Y. : Cold Spring Harbor Laboratory Press, 1995.</t>
        </is>
      </c>
      <c r="M1422" t="inlineStr">
        <is>
          <t>1995</t>
        </is>
      </c>
      <c r="O1422" t="inlineStr">
        <is>
          <t>eng</t>
        </is>
      </c>
      <c r="P1422" t="inlineStr">
        <is>
          <t>nyu</t>
        </is>
      </c>
      <c r="Q1422" t="inlineStr">
        <is>
          <t>Cold Spring Harbor monograph series, 0270-1847 ; monograph 29</t>
        </is>
      </c>
      <c r="R1422" t="inlineStr">
        <is>
          <t xml:space="preserve">QH </t>
        </is>
      </c>
      <c r="S1422" t="n">
        <v>9</v>
      </c>
      <c r="T1422" t="n">
        <v>9</v>
      </c>
      <c r="U1422" t="inlineStr">
        <is>
          <t>2008-09-26</t>
        </is>
      </c>
      <c r="V1422" t="inlineStr">
        <is>
          <t>2008-09-26</t>
        </is>
      </c>
      <c r="W1422" t="inlineStr">
        <is>
          <t>1996-02-21</t>
        </is>
      </c>
      <c r="X1422" t="inlineStr">
        <is>
          <t>1996-02-21</t>
        </is>
      </c>
      <c r="Y1422" t="n">
        <v>259</v>
      </c>
      <c r="Z1422" t="n">
        <v>186</v>
      </c>
      <c r="AA1422" t="n">
        <v>197</v>
      </c>
      <c r="AB1422" t="n">
        <v>3</v>
      </c>
      <c r="AC1422" t="n">
        <v>3</v>
      </c>
      <c r="AD1422" t="n">
        <v>10</v>
      </c>
      <c r="AE1422" t="n">
        <v>10</v>
      </c>
      <c r="AF1422" t="n">
        <v>1</v>
      </c>
      <c r="AG1422" t="n">
        <v>1</v>
      </c>
      <c r="AH1422" t="n">
        <v>3</v>
      </c>
      <c r="AI1422" t="n">
        <v>3</v>
      </c>
      <c r="AJ1422" t="n">
        <v>7</v>
      </c>
      <c r="AK1422" t="n">
        <v>7</v>
      </c>
      <c r="AL1422" t="n">
        <v>2</v>
      </c>
      <c r="AM1422" t="n">
        <v>2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HYPERLINK("http://catalog.hathitrust.org/Record/003033240","HathiTrust Record")</f>
        <v/>
      </c>
      <c r="AS1422">
        <f>HYPERLINK("https://creighton-primo.hosted.exlibrisgroup.com/primo-explore/search?tab=default_tab&amp;search_scope=EVERYTHING&amp;vid=01CRU&amp;lang=en_US&amp;offset=0&amp;query=any,contains,991002559149702656","Catalog Record")</f>
        <v/>
      </c>
      <c r="AT1422">
        <f>HYPERLINK("http://www.worldcat.org/oclc/33262743","WorldCat Record")</f>
        <v/>
      </c>
      <c r="AU1422" t="inlineStr">
        <is>
          <t>9381497399:eng</t>
        </is>
      </c>
      <c r="AV1422" t="inlineStr">
        <is>
          <t>33262743</t>
        </is>
      </c>
      <c r="AW1422" t="inlineStr">
        <is>
          <t>991002559149702656</t>
        </is>
      </c>
      <c r="AX1422" t="inlineStr">
        <is>
          <t>991002559149702656</t>
        </is>
      </c>
      <c r="AY1422" t="inlineStr">
        <is>
          <t>2259073220002656</t>
        </is>
      </c>
      <c r="AZ1422" t="inlineStr">
        <is>
          <t>BOOK</t>
        </is>
      </c>
      <c r="BB1422" t="inlineStr">
        <is>
          <t>9780879694579</t>
        </is>
      </c>
      <c r="BC1422" t="inlineStr">
        <is>
          <t>32285002136959</t>
        </is>
      </c>
      <c r="BD1422" t="inlineStr">
        <is>
          <t>893323082</t>
        </is>
      </c>
    </row>
    <row r="1423">
      <c r="A1423" t="inlineStr">
        <is>
          <t>No</t>
        </is>
      </c>
      <c r="B1423" t="inlineStr">
        <is>
          <t>QH600.5 .B84 1983</t>
        </is>
      </c>
      <c r="C1423" t="inlineStr">
        <is>
          <t>0                      QH 0600500B  84          1983</t>
        </is>
      </c>
      <c r="D1423" t="inlineStr">
        <is>
          <t>Evolution of sex determining mechanisms / James J. Bull.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Bull, James J.</t>
        </is>
      </c>
      <c r="L1423" t="inlineStr">
        <is>
          <t>Reading, Mass. : Benjamin/Cummings Pub. Co., 1983.</t>
        </is>
      </c>
      <c r="M1423" t="inlineStr">
        <is>
          <t>1983</t>
        </is>
      </c>
      <c r="O1423" t="inlineStr">
        <is>
          <t>eng</t>
        </is>
      </c>
      <c r="P1423" t="inlineStr">
        <is>
          <t>mau</t>
        </is>
      </c>
      <c r="Q1423" t="inlineStr">
        <is>
          <t>Evolution series ; 1</t>
        </is>
      </c>
      <c r="R1423" t="inlineStr">
        <is>
          <t xml:space="preserve">QH </t>
        </is>
      </c>
      <c r="S1423" t="n">
        <v>5</v>
      </c>
      <c r="T1423" t="n">
        <v>5</v>
      </c>
      <c r="U1423" t="inlineStr">
        <is>
          <t>2002-09-26</t>
        </is>
      </c>
      <c r="V1423" t="inlineStr">
        <is>
          <t>2002-09-26</t>
        </is>
      </c>
      <c r="W1423" t="inlineStr">
        <is>
          <t>1993-05-10</t>
        </is>
      </c>
      <c r="X1423" t="inlineStr">
        <is>
          <t>1993-05-10</t>
        </is>
      </c>
      <c r="Y1423" t="n">
        <v>328</v>
      </c>
      <c r="Z1423" t="n">
        <v>240</v>
      </c>
      <c r="AA1423" t="n">
        <v>241</v>
      </c>
      <c r="AB1423" t="n">
        <v>2</v>
      </c>
      <c r="AC1423" t="n">
        <v>2</v>
      </c>
      <c r="AD1423" t="n">
        <v>7</v>
      </c>
      <c r="AE1423" t="n">
        <v>7</v>
      </c>
      <c r="AF1423" t="n">
        <v>3</v>
      </c>
      <c r="AG1423" t="n">
        <v>3</v>
      </c>
      <c r="AH1423" t="n">
        <v>1</v>
      </c>
      <c r="AI1423" t="n">
        <v>1</v>
      </c>
      <c r="AJ1423" t="n">
        <v>5</v>
      </c>
      <c r="AK1423" t="n">
        <v>5</v>
      </c>
      <c r="AL1423" t="n">
        <v>1</v>
      </c>
      <c r="AM1423" t="n">
        <v>1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HYPERLINK("http://catalog.hathitrust.org/Record/000346106","HathiTrust Record")</f>
        <v/>
      </c>
      <c r="AS1423">
        <f>HYPERLINK("https://creighton-primo.hosted.exlibrisgroup.com/primo-explore/search?tab=default_tab&amp;search_scope=EVERYTHING&amp;vid=01CRU&amp;lang=en_US&amp;offset=0&amp;query=any,contains,991000240399702656","Catalog Record")</f>
        <v/>
      </c>
      <c r="AT1423">
        <f>HYPERLINK("http://www.worldcat.org/oclc/9683389","WorldCat Record")</f>
        <v/>
      </c>
      <c r="AU1423" t="inlineStr">
        <is>
          <t>8914148376:eng</t>
        </is>
      </c>
      <c r="AV1423" t="inlineStr">
        <is>
          <t>9683389</t>
        </is>
      </c>
      <c r="AW1423" t="inlineStr">
        <is>
          <t>991000240399702656</t>
        </is>
      </c>
      <c r="AX1423" t="inlineStr">
        <is>
          <t>991000240399702656</t>
        </is>
      </c>
      <c r="AY1423" t="inlineStr">
        <is>
          <t>2261950450002656</t>
        </is>
      </c>
      <c r="AZ1423" t="inlineStr">
        <is>
          <t>BOOK</t>
        </is>
      </c>
      <c r="BB1423" t="inlineStr">
        <is>
          <t>9780805304008</t>
        </is>
      </c>
      <c r="BC1423" t="inlineStr">
        <is>
          <t>32285001643195</t>
        </is>
      </c>
      <c r="BD1423" t="inlineStr">
        <is>
          <t>893884247</t>
        </is>
      </c>
    </row>
    <row r="1424">
      <c r="A1424" t="inlineStr">
        <is>
          <t>No</t>
        </is>
      </c>
      <c r="B1424" t="inlineStr">
        <is>
          <t>QH600.5 .M266 1987</t>
        </is>
      </c>
      <c r="C1424" t="inlineStr">
        <is>
          <t>0                      QH 0600500M  266         1987</t>
        </is>
      </c>
      <c r="D1424" t="inlineStr">
        <is>
          <t>The Mammalian Y chromosome : molecular search for the sex-determining factor / edited by P.N. Goodfellow ... [et al.]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0</t>
        </is>
      </c>
      <c r="L1424" t="inlineStr">
        <is>
          <t>Cambridge [England] : Company of Biologists, c1987.</t>
        </is>
      </c>
      <c r="M1424" t="inlineStr">
        <is>
          <t>1987</t>
        </is>
      </c>
      <c r="O1424" t="inlineStr">
        <is>
          <t>eng</t>
        </is>
      </c>
      <c r="P1424" t="inlineStr">
        <is>
          <t>enk</t>
        </is>
      </c>
      <c r="Q1424" t="inlineStr">
        <is>
          <t>Development, 0950-1991 ; v. 101, suppl</t>
        </is>
      </c>
      <c r="R1424" t="inlineStr">
        <is>
          <t xml:space="preserve">QH </t>
        </is>
      </c>
      <c r="S1424" t="n">
        <v>4</v>
      </c>
      <c r="T1424" t="n">
        <v>5</v>
      </c>
      <c r="U1424" t="inlineStr">
        <is>
          <t>2000-03-07</t>
        </is>
      </c>
      <c r="V1424" t="inlineStr">
        <is>
          <t>2000-03-07</t>
        </is>
      </c>
      <c r="W1424" t="inlineStr">
        <is>
          <t>1993-05-10</t>
        </is>
      </c>
      <c r="X1424" t="inlineStr">
        <is>
          <t>1993-05-10</t>
        </is>
      </c>
      <c r="Y1424" t="n">
        <v>277</v>
      </c>
      <c r="Z1424" t="n">
        <v>218</v>
      </c>
      <c r="AA1424" t="n">
        <v>220</v>
      </c>
      <c r="AB1424" t="n">
        <v>4</v>
      </c>
      <c r="AC1424" t="n">
        <v>4</v>
      </c>
      <c r="AD1424" t="n">
        <v>11</v>
      </c>
      <c r="AE1424" t="n">
        <v>11</v>
      </c>
      <c r="AF1424" t="n">
        <v>2</v>
      </c>
      <c r="AG1424" t="n">
        <v>2</v>
      </c>
      <c r="AH1424" t="n">
        <v>2</v>
      </c>
      <c r="AI1424" t="n">
        <v>2</v>
      </c>
      <c r="AJ1424" t="n">
        <v>7</v>
      </c>
      <c r="AK1424" t="n">
        <v>7</v>
      </c>
      <c r="AL1424" t="n">
        <v>2</v>
      </c>
      <c r="AM1424" t="n">
        <v>2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HYPERLINK("http://catalog.hathitrust.org/Record/001953389","HathiTrust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HYPERLINK("https://creighton-primo.hosted.exlibrisgroup.com/primo-explore/search?tab=default_tab&amp;search_scope=EVERYTHING&amp;vid=01CRU&amp;lang=en_US&amp;offset=0&amp;query=any,contains,991001790119702656","Catalog Record")</f>
        <v/>
      </c>
      <c r="AT1424">
        <f>HYPERLINK("http://www.worldcat.org/oclc/18782414","WorldCat Record")</f>
        <v/>
      </c>
      <c r="AU1424" t="inlineStr">
        <is>
          <t>10227226503:eng</t>
        </is>
      </c>
      <c r="AV1424" t="inlineStr">
        <is>
          <t>18782414</t>
        </is>
      </c>
      <c r="AW1424" t="inlineStr">
        <is>
          <t>991001790119702656</t>
        </is>
      </c>
      <c r="AX1424" t="inlineStr">
        <is>
          <t>991001790119702656</t>
        </is>
      </c>
      <c r="AY1424" t="inlineStr">
        <is>
          <t>2262800760002656</t>
        </is>
      </c>
      <c r="AZ1424" t="inlineStr">
        <is>
          <t>BOOK</t>
        </is>
      </c>
      <c r="BC1424" t="inlineStr">
        <is>
          <t>32285001643203</t>
        </is>
      </c>
      <c r="BD1424" t="inlineStr">
        <is>
          <t>893772910</t>
        </is>
      </c>
    </row>
    <row r="1425">
      <c r="A1425" t="inlineStr">
        <is>
          <t>No</t>
        </is>
      </c>
      <c r="B1425" t="inlineStr">
        <is>
          <t>QH600.5 .M65 1994</t>
        </is>
      </c>
      <c r="C1425" t="inlineStr">
        <is>
          <t>0                      QH 0600500M  65          1994</t>
        </is>
      </c>
      <c r="D1425" t="inlineStr">
        <is>
          <t>Molecular genetics of sex determination / edited by Stephen S. Wachtel.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L1425" t="inlineStr">
        <is>
          <t>San Diego : Academic Press, c1994.</t>
        </is>
      </c>
      <c r="M1425" t="inlineStr">
        <is>
          <t>1994</t>
        </is>
      </c>
      <c r="O1425" t="inlineStr">
        <is>
          <t>eng</t>
        </is>
      </c>
      <c r="P1425" t="inlineStr">
        <is>
          <t>cau</t>
        </is>
      </c>
      <c r="R1425" t="inlineStr">
        <is>
          <t xml:space="preserve">QH </t>
        </is>
      </c>
      <c r="S1425" t="n">
        <v>10</v>
      </c>
      <c r="T1425" t="n">
        <v>10</v>
      </c>
      <c r="U1425" t="inlineStr">
        <is>
          <t>2006-11-26</t>
        </is>
      </c>
      <c r="V1425" t="inlineStr">
        <is>
          <t>2006-11-26</t>
        </is>
      </c>
      <c r="W1425" t="inlineStr">
        <is>
          <t>1994-05-06</t>
        </is>
      </c>
      <c r="X1425" t="inlineStr">
        <is>
          <t>1994-05-06</t>
        </is>
      </c>
      <c r="Y1425" t="n">
        <v>312</v>
      </c>
      <c r="Z1425" t="n">
        <v>217</v>
      </c>
      <c r="AA1425" t="n">
        <v>263</v>
      </c>
      <c r="AB1425" t="n">
        <v>3</v>
      </c>
      <c r="AC1425" t="n">
        <v>4</v>
      </c>
      <c r="AD1425" t="n">
        <v>12</v>
      </c>
      <c r="AE1425" t="n">
        <v>15</v>
      </c>
      <c r="AF1425" t="n">
        <v>4</v>
      </c>
      <c r="AG1425" t="n">
        <v>5</v>
      </c>
      <c r="AH1425" t="n">
        <v>1</v>
      </c>
      <c r="AI1425" t="n">
        <v>3</v>
      </c>
      <c r="AJ1425" t="n">
        <v>8</v>
      </c>
      <c r="AK1425" t="n">
        <v>8</v>
      </c>
      <c r="AL1425" t="n">
        <v>2</v>
      </c>
      <c r="AM1425" t="n">
        <v>3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HYPERLINK("http://catalog.hathitrust.org/Record/002753306","HathiTrust Record")</f>
        <v/>
      </c>
      <c r="AS1425">
        <f>HYPERLINK("https://creighton-primo.hosted.exlibrisgroup.com/primo-explore/search?tab=default_tab&amp;search_scope=EVERYTHING&amp;vid=01CRU&amp;lang=en_US&amp;offset=0&amp;query=any,contains,991002184239702656","Catalog Record")</f>
        <v/>
      </c>
      <c r="AT1425">
        <f>HYPERLINK("http://www.worldcat.org/oclc/28116155","WorldCat Record")</f>
        <v/>
      </c>
      <c r="AU1425" t="inlineStr">
        <is>
          <t>30315177:eng</t>
        </is>
      </c>
      <c r="AV1425" t="inlineStr">
        <is>
          <t>28116155</t>
        </is>
      </c>
      <c r="AW1425" t="inlineStr">
        <is>
          <t>991002184239702656</t>
        </is>
      </c>
      <c r="AX1425" t="inlineStr">
        <is>
          <t>991002184239702656</t>
        </is>
      </c>
      <c r="AY1425" t="inlineStr">
        <is>
          <t>2261410610002656</t>
        </is>
      </c>
      <c r="AZ1425" t="inlineStr">
        <is>
          <t>BOOK</t>
        </is>
      </c>
      <c r="BB1425" t="inlineStr">
        <is>
          <t>9780127289601</t>
        </is>
      </c>
      <c r="BC1425" t="inlineStr">
        <is>
          <t>32285001879062</t>
        </is>
      </c>
      <c r="BD1425" t="inlineStr">
        <is>
          <t>893709958</t>
        </is>
      </c>
    </row>
    <row r="1426">
      <c r="A1426" t="inlineStr">
        <is>
          <t>No</t>
        </is>
      </c>
      <c r="B1426" t="inlineStr">
        <is>
          <t>QH600.5 .S64 1994</t>
        </is>
      </c>
      <c r="C1426" t="inlineStr">
        <is>
          <t>0                      QH 0600500S  64          1994</t>
        </is>
      </c>
      <c r="D1426" t="inlineStr">
        <is>
          <t>Sex chromosomes and sex determination in vertebrates / Alberto J. Solari.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Solari, Alberto J.</t>
        </is>
      </c>
      <c r="L1426" t="inlineStr">
        <is>
          <t>Boca Raton : CRC Press, c1994.</t>
        </is>
      </c>
      <c r="M1426" t="inlineStr">
        <is>
          <t>1994</t>
        </is>
      </c>
      <c r="O1426" t="inlineStr">
        <is>
          <t>eng</t>
        </is>
      </c>
      <c r="P1426" t="inlineStr">
        <is>
          <t>flu</t>
        </is>
      </c>
      <c r="R1426" t="inlineStr">
        <is>
          <t xml:space="preserve">QH </t>
        </is>
      </c>
      <c r="S1426" t="n">
        <v>9</v>
      </c>
      <c r="T1426" t="n">
        <v>9</v>
      </c>
      <c r="U1426" t="inlineStr">
        <is>
          <t>2006-11-26</t>
        </is>
      </c>
      <c r="V1426" t="inlineStr">
        <is>
          <t>2006-11-26</t>
        </is>
      </c>
      <c r="W1426" t="inlineStr">
        <is>
          <t>1994-06-27</t>
        </is>
      </c>
      <c r="X1426" t="inlineStr">
        <is>
          <t>1994-06-27</t>
        </is>
      </c>
      <c r="Y1426" t="n">
        <v>203</v>
      </c>
      <c r="Z1426" t="n">
        <v>146</v>
      </c>
      <c r="AA1426" t="n">
        <v>146</v>
      </c>
      <c r="AB1426" t="n">
        <v>4</v>
      </c>
      <c r="AC1426" t="n">
        <v>4</v>
      </c>
      <c r="AD1426" t="n">
        <v>8</v>
      </c>
      <c r="AE1426" t="n">
        <v>8</v>
      </c>
      <c r="AF1426" t="n">
        <v>3</v>
      </c>
      <c r="AG1426" t="n">
        <v>3</v>
      </c>
      <c r="AH1426" t="n">
        <v>0</v>
      </c>
      <c r="AI1426" t="n">
        <v>0</v>
      </c>
      <c r="AJ1426" t="n">
        <v>3</v>
      </c>
      <c r="AK1426" t="n">
        <v>3</v>
      </c>
      <c r="AL1426" t="n">
        <v>3</v>
      </c>
      <c r="AM1426" t="n">
        <v>3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HYPERLINK("https://creighton-primo.hosted.exlibrisgroup.com/primo-explore/search?tab=default_tab&amp;search_scope=EVERYTHING&amp;vid=01CRU&amp;lang=en_US&amp;offset=0&amp;query=any,contains,991002169569702656","Catalog Record")</f>
        <v/>
      </c>
      <c r="AT1426">
        <f>HYPERLINK("http://www.worldcat.org/oclc/27934923","WorldCat Record")</f>
        <v/>
      </c>
      <c r="AU1426" t="inlineStr">
        <is>
          <t>359030:eng</t>
        </is>
      </c>
      <c r="AV1426" t="inlineStr">
        <is>
          <t>27934923</t>
        </is>
      </c>
      <c r="AW1426" t="inlineStr">
        <is>
          <t>991002169569702656</t>
        </is>
      </c>
      <c r="AX1426" t="inlineStr">
        <is>
          <t>991002169569702656</t>
        </is>
      </c>
      <c r="AY1426" t="inlineStr">
        <is>
          <t>2256228710002656</t>
        </is>
      </c>
      <c r="AZ1426" t="inlineStr">
        <is>
          <t>BOOK</t>
        </is>
      </c>
      <c r="BB1426" t="inlineStr">
        <is>
          <t>9780849345715</t>
        </is>
      </c>
      <c r="BC1426" t="inlineStr">
        <is>
          <t>32285001924280</t>
        </is>
      </c>
      <c r="BD1426" t="inlineStr">
        <is>
          <t>893866886</t>
        </is>
      </c>
    </row>
    <row r="1427">
      <c r="A1427" t="inlineStr">
        <is>
          <t>No</t>
        </is>
      </c>
      <c r="B1427" t="inlineStr">
        <is>
          <t>QH601 .C35</t>
        </is>
      </c>
      <c r="C1427" t="inlineStr">
        <is>
          <t>0                      QH 0601000C  35</t>
        </is>
      </c>
      <c r="D1427" t="inlineStr">
        <is>
          <t>Cell membrane permeability and transport / edited by G. R. Kepner.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L1427" t="inlineStr">
        <is>
          <t>Stroudsburg, Penn. : Dowden, Hutchinson &amp; Ross ; [New York] : distributed world wide by Academic Press, c1979.</t>
        </is>
      </c>
      <c r="M1427" t="inlineStr">
        <is>
          <t>1979</t>
        </is>
      </c>
      <c r="O1427" t="inlineStr">
        <is>
          <t>eng</t>
        </is>
      </c>
      <c r="P1427" t="inlineStr">
        <is>
          <t>pau</t>
        </is>
      </c>
      <c r="Q1427" t="inlineStr">
        <is>
          <t>Benchmark papers in human physiology ; v. 12</t>
        </is>
      </c>
      <c r="R1427" t="inlineStr">
        <is>
          <t xml:space="preserve">QH </t>
        </is>
      </c>
      <c r="S1427" t="n">
        <v>3</v>
      </c>
      <c r="T1427" t="n">
        <v>3</v>
      </c>
      <c r="U1427" t="inlineStr">
        <is>
          <t>2007-09-27</t>
        </is>
      </c>
      <c r="V1427" t="inlineStr">
        <is>
          <t>2007-09-27</t>
        </is>
      </c>
      <c r="W1427" t="inlineStr">
        <is>
          <t>1993-05-10</t>
        </is>
      </c>
      <c r="X1427" t="inlineStr">
        <is>
          <t>1993-05-10</t>
        </is>
      </c>
      <c r="Y1427" t="n">
        <v>219</v>
      </c>
      <c r="Z1427" t="n">
        <v>153</v>
      </c>
      <c r="AA1427" t="n">
        <v>154</v>
      </c>
      <c r="AB1427" t="n">
        <v>2</v>
      </c>
      <c r="AC1427" t="n">
        <v>2</v>
      </c>
      <c r="AD1427" t="n">
        <v>5</v>
      </c>
      <c r="AE1427" t="n">
        <v>5</v>
      </c>
      <c r="AF1427" t="n">
        <v>0</v>
      </c>
      <c r="AG1427" t="n">
        <v>0</v>
      </c>
      <c r="AH1427" t="n">
        <v>3</v>
      </c>
      <c r="AI1427" t="n">
        <v>3</v>
      </c>
      <c r="AJ1427" t="n">
        <v>2</v>
      </c>
      <c r="AK1427" t="n">
        <v>2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HYPERLINK("https://creighton-primo.hosted.exlibrisgroup.com/primo-explore/search?tab=default_tab&amp;search_scope=EVERYTHING&amp;vid=01CRU&amp;lang=en_US&amp;offset=0&amp;query=any,contains,991004736829702656","Catalog Record")</f>
        <v/>
      </c>
      <c r="AT1427">
        <f>HYPERLINK("http://www.worldcat.org/oclc/4857889","WorldCat Record")</f>
        <v/>
      </c>
      <c r="AU1427" t="inlineStr">
        <is>
          <t>14990278:eng</t>
        </is>
      </c>
      <c r="AV1427" t="inlineStr">
        <is>
          <t>4857889</t>
        </is>
      </c>
      <c r="AW1427" t="inlineStr">
        <is>
          <t>991004736829702656</t>
        </is>
      </c>
      <c r="AX1427" t="inlineStr">
        <is>
          <t>991004736829702656</t>
        </is>
      </c>
      <c r="AY1427" t="inlineStr">
        <is>
          <t>2266618490002656</t>
        </is>
      </c>
      <c r="AZ1427" t="inlineStr">
        <is>
          <t>BOOK</t>
        </is>
      </c>
      <c r="BB1427" t="inlineStr">
        <is>
          <t>9780879333522</t>
        </is>
      </c>
      <c r="BC1427" t="inlineStr">
        <is>
          <t>32285001643211</t>
        </is>
      </c>
      <c r="BD1427" t="inlineStr">
        <is>
          <t>893882874</t>
        </is>
      </c>
    </row>
    <row r="1428">
      <c r="A1428" t="inlineStr">
        <is>
          <t>No</t>
        </is>
      </c>
      <c r="B1428" t="inlineStr">
        <is>
          <t>QH601 .G435 1989</t>
        </is>
      </c>
      <c r="C1428" t="inlineStr">
        <is>
          <t>0                      QH 0601000G  435         1989</t>
        </is>
      </c>
      <c r="D1428" t="inlineStr">
        <is>
          <t>Biomembranes : molecular structure and function / Robert B. Gennis.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Gennis, Robert B.</t>
        </is>
      </c>
      <c r="L1428" t="inlineStr">
        <is>
          <t>New York : Springer-Verlag, c1989.</t>
        </is>
      </c>
      <c r="M1428" t="inlineStr">
        <is>
          <t>1989</t>
        </is>
      </c>
      <c r="O1428" t="inlineStr">
        <is>
          <t>eng</t>
        </is>
      </c>
      <c r="P1428" t="inlineStr">
        <is>
          <t>nyu</t>
        </is>
      </c>
      <c r="Q1428" t="inlineStr">
        <is>
          <t>Springer advanced texts in chemistry</t>
        </is>
      </c>
      <c r="R1428" t="inlineStr">
        <is>
          <t xml:space="preserve">QH </t>
        </is>
      </c>
      <c r="S1428" t="n">
        <v>3</v>
      </c>
      <c r="T1428" t="n">
        <v>3</v>
      </c>
      <c r="U1428" t="inlineStr">
        <is>
          <t>1994-10-01</t>
        </is>
      </c>
      <c r="V1428" t="inlineStr">
        <is>
          <t>1994-10-01</t>
        </is>
      </c>
      <c r="W1428" t="inlineStr">
        <is>
          <t>1990-06-06</t>
        </is>
      </c>
      <c r="X1428" t="inlineStr">
        <is>
          <t>1990-06-06</t>
        </is>
      </c>
      <c r="Y1428" t="n">
        <v>658</v>
      </c>
      <c r="Z1428" t="n">
        <v>521</v>
      </c>
      <c r="AA1428" t="n">
        <v>532</v>
      </c>
      <c r="AB1428" t="n">
        <v>3</v>
      </c>
      <c r="AC1428" t="n">
        <v>3</v>
      </c>
      <c r="AD1428" t="n">
        <v>24</v>
      </c>
      <c r="AE1428" t="n">
        <v>25</v>
      </c>
      <c r="AF1428" t="n">
        <v>7</v>
      </c>
      <c r="AG1428" t="n">
        <v>8</v>
      </c>
      <c r="AH1428" t="n">
        <v>6</v>
      </c>
      <c r="AI1428" t="n">
        <v>6</v>
      </c>
      <c r="AJ1428" t="n">
        <v>17</v>
      </c>
      <c r="AK1428" t="n">
        <v>18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HYPERLINK("http://catalog.hathitrust.org/Record/001083213","HathiTrust Record")</f>
        <v/>
      </c>
      <c r="AS1428">
        <f>HYPERLINK("https://creighton-primo.hosted.exlibrisgroup.com/primo-explore/search?tab=default_tab&amp;search_scope=EVERYTHING&amp;vid=01CRU&amp;lang=en_US&amp;offset=0&amp;query=any,contains,991001359469702656","Catalog Record")</f>
        <v/>
      </c>
      <c r="AT1428">
        <f>HYPERLINK("http://www.worldcat.org/oclc/18520202","WorldCat Record")</f>
        <v/>
      </c>
      <c r="AU1428" t="inlineStr">
        <is>
          <t>232650584:eng</t>
        </is>
      </c>
      <c r="AV1428" t="inlineStr">
        <is>
          <t>18520202</t>
        </is>
      </c>
      <c r="AW1428" t="inlineStr">
        <is>
          <t>991001359469702656</t>
        </is>
      </c>
      <c r="AX1428" t="inlineStr">
        <is>
          <t>991001359469702656</t>
        </is>
      </c>
      <c r="AY1428" t="inlineStr">
        <is>
          <t>2268765390002656</t>
        </is>
      </c>
      <c r="AZ1428" t="inlineStr">
        <is>
          <t>BOOK</t>
        </is>
      </c>
      <c r="BB1428" t="inlineStr">
        <is>
          <t>9780387967608</t>
        </is>
      </c>
      <c r="BC1428" t="inlineStr">
        <is>
          <t>32285000175348</t>
        </is>
      </c>
      <c r="BD1428" t="inlineStr">
        <is>
          <t>893244067</t>
        </is>
      </c>
    </row>
    <row r="1429">
      <c r="A1429" t="inlineStr">
        <is>
          <t>No</t>
        </is>
      </c>
      <c r="B1429" t="inlineStr">
        <is>
          <t>QH601 .M468</t>
        </is>
      </c>
      <c r="C1429" t="inlineStr">
        <is>
          <t>0                      QH 0601000M  468</t>
        </is>
      </c>
      <c r="D1429" t="inlineStr">
        <is>
          <t>Membrane-mediated information. Edited by P. W. Kent.</t>
        </is>
      </c>
      <c r="E1429" t="inlineStr">
        <is>
          <t>V.2</t>
        </is>
      </c>
      <c r="F1429" t="inlineStr">
        <is>
          <t>Yes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L1429" t="inlineStr">
        <is>
          <t>New York, American Elsevier Pub. Co. [1973-</t>
        </is>
      </c>
      <c r="M1429" t="inlineStr">
        <is>
          <t>1973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QH </t>
        </is>
      </c>
      <c r="S1429" t="n">
        <v>2</v>
      </c>
      <c r="T1429" t="n">
        <v>4</v>
      </c>
      <c r="U1429" t="inlineStr">
        <is>
          <t>1997-11-07</t>
        </is>
      </c>
      <c r="V1429" t="inlineStr">
        <is>
          <t>1997-11-07</t>
        </is>
      </c>
      <c r="W1429" t="inlineStr">
        <is>
          <t>1997-07-14</t>
        </is>
      </c>
      <c r="X1429" t="inlineStr">
        <is>
          <t>1997-07-14</t>
        </is>
      </c>
      <c r="Y1429" t="n">
        <v>166</v>
      </c>
      <c r="Z1429" t="n">
        <v>145</v>
      </c>
      <c r="AA1429" t="n">
        <v>155</v>
      </c>
      <c r="AB1429" t="n">
        <v>2</v>
      </c>
      <c r="AC1429" t="n">
        <v>2</v>
      </c>
      <c r="AD1429" t="n">
        <v>3</v>
      </c>
      <c r="AE1429" t="n">
        <v>3</v>
      </c>
      <c r="AF1429" t="n">
        <v>0</v>
      </c>
      <c r="AG1429" t="n">
        <v>0</v>
      </c>
      <c r="AH1429" t="n">
        <v>0</v>
      </c>
      <c r="AI1429" t="n">
        <v>0</v>
      </c>
      <c r="AJ1429" t="n">
        <v>2</v>
      </c>
      <c r="AK1429" t="n">
        <v>2</v>
      </c>
      <c r="AL1429" t="n">
        <v>1</v>
      </c>
      <c r="AM1429" t="n">
        <v>1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HYPERLINK("http://catalog.hathitrust.org/Record/000241696","HathiTrust Record")</f>
        <v/>
      </c>
      <c r="AS1429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29">
        <f>HYPERLINK("http://www.worldcat.org/oclc/928309","WorldCat Record")</f>
        <v/>
      </c>
      <c r="AU1429" t="inlineStr">
        <is>
          <t>4757783013:eng</t>
        </is>
      </c>
      <c r="AV1429" t="inlineStr">
        <is>
          <t>928309</t>
        </is>
      </c>
      <c r="AW1429" t="inlineStr">
        <is>
          <t>991003390539702656</t>
        </is>
      </c>
      <c r="AX1429" t="inlineStr">
        <is>
          <t>991003390539702656</t>
        </is>
      </c>
      <c r="AY1429" t="inlineStr">
        <is>
          <t>2268440980002656</t>
        </is>
      </c>
      <c r="AZ1429" t="inlineStr">
        <is>
          <t>BOOK</t>
        </is>
      </c>
      <c r="BB1429" t="inlineStr">
        <is>
          <t>9780444195401</t>
        </is>
      </c>
      <c r="BC1429" t="inlineStr">
        <is>
          <t>32285002914835</t>
        </is>
      </c>
      <c r="BD1429" t="inlineStr">
        <is>
          <t>893705179</t>
        </is>
      </c>
    </row>
    <row r="1430">
      <c r="A1430" t="inlineStr">
        <is>
          <t>No</t>
        </is>
      </c>
      <c r="B1430" t="inlineStr">
        <is>
          <t>QH601 .M468</t>
        </is>
      </c>
      <c r="C1430" t="inlineStr">
        <is>
          <t>0                      QH 0601000M  468</t>
        </is>
      </c>
      <c r="D1430" t="inlineStr">
        <is>
          <t>Membrane-mediated information. Edited by P. W. Kent.</t>
        </is>
      </c>
      <c r="E1430" t="inlineStr">
        <is>
          <t>V.1</t>
        </is>
      </c>
      <c r="F1430" t="inlineStr">
        <is>
          <t>Yes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New York, American Elsevier Pub. Co. [1973-</t>
        </is>
      </c>
      <c r="M1430" t="inlineStr">
        <is>
          <t>1973</t>
        </is>
      </c>
      <c r="O1430" t="inlineStr">
        <is>
          <t>eng</t>
        </is>
      </c>
      <c r="P1430" t="inlineStr">
        <is>
          <t>nyu</t>
        </is>
      </c>
      <c r="R1430" t="inlineStr">
        <is>
          <t xml:space="preserve">QH </t>
        </is>
      </c>
      <c r="S1430" t="n">
        <v>2</v>
      </c>
      <c r="T1430" t="n">
        <v>4</v>
      </c>
      <c r="U1430" t="inlineStr">
        <is>
          <t>1997-11-07</t>
        </is>
      </c>
      <c r="V1430" t="inlineStr">
        <is>
          <t>1997-11-07</t>
        </is>
      </c>
      <c r="W1430" t="inlineStr">
        <is>
          <t>1997-07-14</t>
        </is>
      </c>
      <c r="X1430" t="inlineStr">
        <is>
          <t>1997-07-14</t>
        </is>
      </c>
      <c r="Y1430" t="n">
        <v>166</v>
      </c>
      <c r="Z1430" t="n">
        <v>145</v>
      </c>
      <c r="AA1430" t="n">
        <v>155</v>
      </c>
      <c r="AB1430" t="n">
        <v>2</v>
      </c>
      <c r="AC1430" t="n">
        <v>2</v>
      </c>
      <c r="AD1430" t="n">
        <v>3</v>
      </c>
      <c r="AE1430" t="n">
        <v>3</v>
      </c>
      <c r="AF1430" t="n">
        <v>0</v>
      </c>
      <c r="AG1430" t="n">
        <v>0</v>
      </c>
      <c r="AH1430" t="n">
        <v>0</v>
      </c>
      <c r="AI1430" t="n">
        <v>0</v>
      </c>
      <c r="AJ1430" t="n">
        <v>2</v>
      </c>
      <c r="AK1430" t="n">
        <v>2</v>
      </c>
      <c r="AL1430" t="n">
        <v>1</v>
      </c>
      <c r="AM1430" t="n">
        <v>1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HYPERLINK("http://catalog.hathitrust.org/Record/000241696","HathiTrust Record")</f>
        <v/>
      </c>
      <c r="AS1430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30">
        <f>HYPERLINK("http://www.worldcat.org/oclc/928309","WorldCat Record")</f>
        <v/>
      </c>
      <c r="AU1430" t="inlineStr">
        <is>
          <t>4757783013:eng</t>
        </is>
      </c>
      <c r="AV1430" t="inlineStr">
        <is>
          <t>928309</t>
        </is>
      </c>
      <c r="AW1430" t="inlineStr">
        <is>
          <t>991003390539702656</t>
        </is>
      </c>
      <c r="AX1430" t="inlineStr">
        <is>
          <t>991003390539702656</t>
        </is>
      </c>
      <c r="AY1430" t="inlineStr">
        <is>
          <t>2268440980002656</t>
        </is>
      </c>
      <c r="AZ1430" t="inlineStr">
        <is>
          <t>BOOK</t>
        </is>
      </c>
      <c r="BB1430" t="inlineStr">
        <is>
          <t>9780444195401</t>
        </is>
      </c>
      <c r="BC1430" t="inlineStr">
        <is>
          <t>32285002914827</t>
        </is>
      </c>
      <c r="BD1430" t="inlineStr">
        <is>
          <t>893717608</t>
        </is>
      </c>
    </row>
    <row r="1431">
      <c r="A1431" t="inlineStr">
        <is>
          <t>No</t>
        </is>
      </c>
      <c r="B1431" t="inlineStr">
        <is>
          <t>QH601 .M482</t>
        </is>
      </c>
      <c r="C1431" t="inlineStr">
        <is>
          <t>0                      QH 0601000M  482</t>
        </is>
      </c>
      <c r="D1431" t="inlineStr">
        <is>
          <t>Membranes et communication intercellulaire = Membranes and intercellular communication : Les Houches, session XXXIII, 30 juillet-30 août 1979 / édité par Roger Balian, Marc Chabre, Philippe F. Devaux.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L1431" t="inlineStr">
        <is>
          <t>Amsterdam ; New York : North Holland Pub. Co. ; New York : sole distributors for the USA and Canada, Elsevier North-Holland, 1981.</t>
        </is>
      </c>
      <c r="M1431" t="inlineStr">
        <is>
          <t>1980</t>
        </is>
      </c>
      <c r="O1431" t="inlineStr">
        <is>
          <t>eng</t>
        </is>
      </c>
      <c r="P1431" t="inlineStr">
        <is>
          <t xml:space="preserve">ne </t>
        </is>
      </c>
      <c r="R1431" t="inlineStr">
        <is>
          <t xml:space="preserve">QH </t>
        </is>
      </c>
      <c r="S1431" t="n">
        <v>5</v>
      </c>
      <c r="T1431" t="n">
        <v>5</v>
      </c>
      <c r="U1431" t="inlineStr">
        <is>
          <t>1995-11-02</t>
        </is>
      </c>
      <c r="V1431" t="inlineStr">
        <is>
          <t>1995-11-02</t>
        </is>
      </c>
      <c r="W1431" t="inlineStr">
        <is>
          <t>1993-05-10</t>
        </is>
      </c>
      <c r="X1431" t="inlineStr">
        <is>
          <t>1993-05-10</t>
        </is>
      </c>
      <c r="Y1431" t="n">
        <v>138</v>
      </c>
      <c r="Z1431" t="n">
        <v>85</v>
      </c>
      <c r="AA1431" t="n">
        <v>88</v>
      </c>
      <c r="AB1431" t="n">
        <v>2</v>
      </c>
      <c r="AC1431" t="n">
        <v>2</v>
      </c>
      <c r="AD1431" t="n">
        <v>1</v>
      </c>
      <c r="AE1431" t="n">
        <v>1</v>
      </c>
      <c r="AF1431" t="n">
        <v>0</v>
      </c>
      <c r="AG1431" t="n">
        <v>0</v>
      </c>
      <c r="AH1431" t="n">
        <v>0</v>
      </c>
      <c r="AI1431" t="n">
        <v>0</v>
      </c>
      <c r="AJ1431" t="n">
        <v>0</v>
      </c>
      <c r="AK1431" t="n">
        <v>0</v>
      </c>
      <c r="AL1431" t="n">
        <v>1</v>
      </c>
      <c r="AM1431" t="n">
        <v>1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HYPERLINK("http://catalog.hathitrust.org/Record/006223029","HathiTrust Record")</f>
        <v/>
      </c>
      <c r="AS1431">
        <f>HYPERLINK("https://creighton-primo.hosted.exlibrisgroup.com/primo-explore/search?tab=default_tab&amp;search_scope=EVERYTHING&amp;vid=01CRU&amp;lang=en_US&amp;offset=0&amp;query=any,contains,991005016389702656","Catalog Record")</f>
        <v/>
      </c>
      <c r="AT1431">
        <f>HYPERLINK("http://www.worldcat.org/oclc/6626540","WorldCat Record")</f>
        <v/>
      </c>
      <c r="AU1431" t="inlineStr">
        <is>
          <t>1863238015:eng</t>
        </is>
      </c>
      <c r="AV1431" t="inlineStr">
        <is>
          <t>6626540</t>
        </is>
      </c>
      <c r="AW1431" t="inlineStr">
        <is>
          <t>991005016389702656</t>
        </is>
      </c>
      <c r="AX1431" t="inlineStr">
        <is>
          <t>991005016389702656</t>
        </is>
      </c>
      <c r="AY1431" t="inlineStr">
        <is>
          <t>2256236570002656</t>
        </is>
      </c>
      <c r="AZ1431" t="inlineStr">
        <is>
          <t>BOOK</t>
        </is>
      </c>
      <c r="BB1431" t="inlineStr">
        <is>
          <t>9780444854698</t>
        </is>
      </c>
      <c r="BC1431" t="inlineStr">
        <is>
          <t>32285001643302</t>
        </is>
      </c>
      <c r="BD1431" t="inlineStr">
        <is>
          <t>893338380</t>
        </is>
      </c>
    </row>
    <row r="1432">
      <c r="A1432" t="inlineStr">
        <is>
          <t>No</t>
        </is>
      </c>
      <c r="B1432" t="inlineStr">
        <is>
          <t>QH601 .P473 1993</t>
        </is>
      </c>
      <c r="C1432" t="inlineStr">
        <is>
          <t>0                      QH 0601000P  473         1993</t>
        </is>
      </c>
      <c r="D1432" t="inlineStr">
        <is>
          <t>Molecular biology of membranes : structure and function / Howard R. Petty.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Petty, Howard R.</t>
        </is>
      </c>
      <c r="L1432" t="inlineStr">
        <is>
          <t>New York : Plenum, c1993.</t>
        </is>
      </c>
      <c r="M1432" t="inlineStr">
        <is>
          <t>1993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QH </t>
        </is>
      </c>
      <c r="S1432" t="n">
        <v>6</v>
      </c>
      <c r="T1432" t="n">
        <v>21</v>
      </c>
      <c r="U1432" t="inlineStr">
        <is>
          <t>1998-02-25</t>
        </is>
      </c>
      <c r="V1432" t="inlineStr">
        <is>
          <t>1999-02-09</t>
        </is>
      </c>
      <c r="W1432" t="inlineStr">
        <is>
          <t>1994-01-11</t>
        </is>
      </c>
      <c r="X1432" t="inlineStr">
        <is>
          <t>1994-01-11</t>
        </is>
      </c>
      <c r="Y1432" t="n">
        <v>342</v>
      </c>
      <c r="Z1432" t="n">
        <v>263</v>
      </c>
      <c r="AA1432" t="n">
        <v>281</v>
      </c>
      <c r="AB1432" t="n">
        <v>3</v>
      </c>
      <c r="AC1432" t="n">
        <v>3</v>
      </c>
      <c r="AD1432" t="n">
        <v>16</v>
      </c>
      <c r="AE1432" t="n">
        <v>16</v>
      </c>
      <c r="AF1432" t="n">
        <v>8</v>
      </c>
      <c r="AG1432" t="n">
        <v>8</v>
      </c>
      <c r="AH1432" t="n">
        <v>5</v>
      </c>
      <c r="AI1432" t="n">
        <v>5</v>
      </c>
      <c r="AJ1432" t="n">
        <v>8</v>
      </c>
      <c r="AK1432" t="n">
        <v>8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S1432">
        <f>HYPERLINK("https://creighton-primo.hosted.exlibrisgroup.com/primo-explore/search?tab=default_tab&amp;search_scope=EVERYTHING&amp;vid=01CRU&amp;lang=en_US&amp;offset=0&amp;query=any,contains,991001802459702656","Catalog Record")</f>
        <v/>
      </c>
      <c r="AT1432">
        <f>HYPERLINK("http://www.worldcat.org/oclc/27896975","WorldCat Record")</f>
        <v/>
      </c>
      <c r="AU1432" t="inlineStr">
        <is>
          <t>365475989:eng</t>
        </is>
      </c>
      <c r="AV1432" t="inlineStr">
        <is>
          <t>27896975</t>
        </is>
      </c>
      <c r="AW1432" t="inlineStr">
        <is>
          <t>991001802459702656</t>
        </is>
      </c>
      <c r="AX1432" t="inlineStr">
        <is>
          <t>991001802459702656</t>
        </is>
      </c>
      <c r="AY1432" t="inlineStr">
        <is>
          <t>2260187650002656</t>
        </is>
      </c>
      <c r="AZ1432" t="inlineStr">
        <is>
          <t>BOOK</t>
        </is>
      </c>
      <c r="BB1432" t="inlineStr">
        <is>
          <t>9780306444296</t>
        </is>
      </c>
      <c r="BC1432" t="inlineStr">
        <is>
          <t>32285001830537</t>
        </is>
      </c>
      <c r="BD1432" t="inlineStr">
        <is>
          <t>893426882</t>
        </is>
      </c>
    </row>
    <row r="1433">
      <c r="A1433" t="inlineStr">
        <is>
          <t>No</t>
        </is>
      </c>
      <c r="B1433" t="inlineStr">
        <is>
          <t>QH601 .P49 1988</t>
        </is>
      </c>
      <c r="C1433" t="inlineStr">
        <is>
          <t>0                      QH 0601000P  49          1988</t>
        </is>
      </c>
      <c r="D1433" t="inlineStr">
        <is>
          <t>Physiological regulation of membrane fluidity / editors, Roland C. Aloia, Cyril C. Curtain, Larry M. Gordon.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New York : A.R. Liss,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Q1433" t="inlineStr">
        <is>
          <t>Advances in membrane fluidity ; v. 3</t>
        </is>
      </c>
      <c r="R1433" t="inlineStr">
        <is>
          <t xml:space="preserve">QH </t>
        </is>
      </c>
      <c r="S1433" t="n">
        <v>3</v>
      </c>
      <c r="T1433" t="n">
        <v>3</v>
      </c>
      <c r="U1433" t="inlineStr">
        <is>
          <t>1994-06-28</t>
        </is>
      </c>
      <c r="V1433" t="inlineStr">
        <is>
          <t>1994-06-28</t>
        </is>
      </c>
      <c r="W1433" t="inlineStr">
        <is>
          <t>1993-05-10</t>
        </is>
      </c>
      <c r="X1433" t="inlineStr">
        <is>
          <t>1993-05-10</t>
        </is>
      </c>
      <c r="Y1433" t="n">
        <v>140</v>
      </c>
      <c r="Z1433" t="n">
        <v>98</v>
      </c>
      <c r="AA1433" t="n">
        <v>100</v>
      </c>
      <c r="AB1433" t="n">
        <v>1</v>
      </c>
      <c r="AC1433" t="n">
        <v>1</v>
      </c>
      <c r="AD1433" t="n">
        <v>3</v>
      </c>
      <c r="AE1433" t="n">
        <v>3</v>
      </c>
      <c r="AF1433" t="n">
        <v>0</v>
      </c>
      <c r="AG1433" t="n">
        <v>0</v>
      </c>
      <c r="AH1433" t="n">
        <v>1</v>
      </c>
      <c r="AI1433" t="n">
        <v>1</v>
      </c>
      <c r="AJ1433" t="n">
        <v>2</v>
      </c>
      <c r="AK1433" t="n">
        <v>2</v>
      </c>
      <c r="AL1433" t="n">
        <v>0</v>
      </c>
      <c r="AM1433" t="n">
        <v>0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HYPERLINK("http://catalog.hathitrust.org/Record/001076200","HathiTrust Record")</f>
        <v/>
      </c>
      <c r="AS1433">
        <f>HYPERLINK("https://creighton-primo.hosted.exlibrisgroup.com/primo-explore/search?tab=default_tab&amp;search_scope=EVERYTHING&amp;vid=01CRU&amp;lang=en_US&amp;offset=0&amp;query=any,contains,991001237439702656","Catalog Record")</f>
        <v/>
      </c>
      <c r="AT1433">
        <f>HYPERLINK("http://www.worldcat.org/oclc/17552057","WorldCat Record")</f>
        <v/>
      </c>
      <c r="AU1433" t="inlineStr">
        <is>
          <t>349960277:eng</t>
        </is>
      </c>
      <c r="AV1433" t="inlineStr">
        <is>
          <t>17552057</t>
        </is>
      </c>
      <c r="AW1433" t="inlineStr">
        <is>
          <t>991001237439702656</t>
        </is>
      </c>
      <c r="AX1433" t="inlineStr">
        <is>
          <t>991001237439702656</t>
        </is>
      </c>
      <c r="AY1433" t="inlineStr">
        <is>
          <t>2263563330002656</t>
        </is>
      </c>
      <c r="AZ1433" t="inlineStr">
        <is>
          <t>BOOK</t>
        </is>
      </c>
      <c r="BB1433" t="inlineStr">
        <is>
          <t>9780845146026</t>
        </is>
      </c>
      <c r="BC1433" t="inlineStr">
        <is>
          <t>32285001643328</t>
        </is>
      </c>
      <c r="BD1433" t="inlineStr">
        <is>
          <t>893225730</t>
        </is>
      </c>
    </row>
    <row r="1434">
      <c r="A1434" t="inlineStr">
        <is>
          <t>No</t>
        </is>
      </c>
      <c r="B1434" t="inlineStr">
        <is>
          <t>QH601 .R62</t>
        </is>
      </c>
      <c r="C1434" t="inlineStr">
        <is>
          <t>0                      QH 0601000R  62</t>
        </is>
      </c>
      <c r="D1434" t="inlineStr">
        <is>
          <t>Microbial cell walls and membranes / H. J. Rogers, H. R. Perkins, J. B. Ward.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Rogers, H. J. (Howard John)</t>
        </is>
      </c>
      <c r="L1434" t="inlineStr">
        <is>
          <t>London ; New York : Chapman and Hall, 1980.</t>
        </is>
      </c>
      <c r="M1434" t="inlineStr">
        <is>
          <t>1980</t>
        </is>
      </c>
      <c r="O1434" t="inlineStr">
        <is>
          <t>eng</t>
        </is>
      </c>
      <c r="P1434" t="inlineStr">
        <is>
          <t>enk</t>
        </is>
      </c>
      <c r="R1434" t="inlineStr">
        <is>
          <t xml:space="preserve">QH </t>
        </is>
      </c>
      <c r="S1434" t="n">
        <v>7</v>
      </c>
      <c r="T1434" t="n">
        <v>7</v>
      </c>
      <c r="U1434" t="inlineStr">
        <is>
          <t>1994-12-07</t>
        </is>
      </c>
      <c r="V1434" t="inlineStr">
        <is>
          <t>1994-12-07</t>
        </is>
      </c>
      <c r="W1434" t="inlineStr">
        <is>
          <t>1993-05-10</t>
        </is>
      </c>
      <c r="X1434" t="inlineStr">
        <is>
          <t>1993-05-10</t>
        </is>
      </c>
      <c r="Y1434" t="n">
        <v>466</v>
      </c>
      <c r="Z1434" t="n">
        <v>316</v>
      </c>
      <c r="AA1434" t="n">
        <v>330</v>
      </c>
      <c r="AB1434" t="n">
        <v>3</v>
      </c>
      <c r="AC1434" t="n">
        <v>3</v>
      </c>
      <c r="AD1434" t="n">
        <v>11</v>
      </c>
      <c r="AE1434" t="n">
        <v>12</v>
      </c>
      <c r="AF1434" t="n">
        <v>2</v>
      </c>
      <c r="AG1434" t="n">
        <v>3</v>
      </c>
      <c r="AH1434" t="n">
        <v>6</v>
      </c>
      <c r="AI1434" t="n">
        <v>6</v>
      </c>
      <c r="AJ1434" t="n">
        <v>5</v>
      </c>
      <c r="AK1434" t="n">
        <v>6</v>
      </c>
      <c r="AL1434" t="n">
        <v>2</v>
      </c>
      <c r="AM1434" t="n">
        <v>2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HYPERLINK("http://catalog.hathitrust.org/Record/009904892","HathiTrust Record")</f>
        <v/>
      </c>
      <c r="AS1434">
        <f>HYPERLINK("https://creighton-primo.hosted.exlibrisgroup.com/primo-explore/search?tab=default_tab&amp;search_scope=EVERYTHING&amp;vid=01CRU&amp;lang=en_US&amp;offset=0&amp;query=any,contains,991005075169702656","Catalog Record")</f>
        <v/>
      </c>
      <c r="AT1434">
        <f>HYPERLINK("http://www.worldcat.org/oclc/7776612","WorldCat Record")</f>
        <v/>
      </c>
      <c r="AU1434" t="inlineStr">
        <is>
          <t>3858210942:eng</t>
        </is>
      </c>
      <c r="AV1434" t="inlineStr">
        <is>
          <t>7776612</t>
        </is>
      </c>
      <c r="AW1434" t="inlineStr">
        <is>
          <t>991005075169702656</t>
        </is>
      </c>
      <c r="AX1434" t="inlineStr">
        <is>
          <t>991005075169702656</t>
        </is>
      </c>
      <c r="AY1434" t="inlineStr">
        <is>
          <t>2260793060002656</t>
        </is>
      </c>
      <c r="AZ1434" t="inlineStr">
        <is>
          <t>BOOK</t>
        </is>
      </c>
      <c r="BB1434" t="inlineStr">
        <is>
          <t>9780412120305</t>
        </is>
      </c>
      <c r="BC1434" t="inlineStr">
        <is>
          <t>32285001643344</t>
        </is>
      </c>
      <c r="BD1434" t="inlineStr">
        <is>
          <t>893594426</t>
        </is>
      </c>
    </row>
    <row r="1435">
      <c r="A1435" t="inlineStr">
        <is>
          <t>No</t>
        </is>
      </c>
      <c r="B1435" t="inlineStr">
        <is>
          <t>QH601 .T42 1994</t>
        </is>
      </c>
      <c r="C1435" t="inlineStr">
        <is>
          <t>0                      QH 0601000T  42          1994</t>
        </is>
      </c>
      <c r="D1435" t="inlineStr">
        <is>
          <t>Temperature adaptation of biological membranes : proceedings of the meeting held in Cambridge under the auspices of the Society for Experimental Biology in conjunction with its US/Canadian counterparts / editor, A.R. Cossins.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L1435" t="inlineStr">
        <is>
          <t>London ; Chapel Hill, NC : Portland Press, c1994.</t>
        </is>
      </c>
      <c r="M1435" t="inlineStr">
        <is>
          <t>1994</t>
        </is>
      </c>
      <c r="O1435" t="inlineStr">
        <is>
          <t>eng</t>
        </is>
      </c>
      <c r="P1435" t="inlineStr">
        <is>
          <t>enk</t>
        </is>
      </c>
      <c r="Q1435" t="inlineStr">
        <is>
          <t>Portland Press proceedings ; 7</t>
        </is>
      </c>
      <c r="R1435" t="inlineStr">
        <is>
          <t xml:space="preserve">QH </t>
        </is>
      </c>
      <c r="S1435" t="n">
        <v>1</v>
      </c>
      <c r="T1435" t="n">
        <v>1</v>
      </c>
      <c r="U1435" t="inlineStr">
        <is>
          <t>2003-03-21</t>
        </is>
      </c>
      <c r="V1435" t="inlineStr">
        <is>
          <t>2003-03-21</t>
        </is>
      </c>
      <c r="W1435" t="inlineStr">
        <is>
          <t>1995-05-10</t>
        </is>
      </c>
      <c r="X1435" t="inlineStr">
        <is>
          <t>1995-05-10</t>
        </is>
      </c>
      <c r="Y1435" t="n">
        <v>102</v>
      </c>
      <c r="Z1435" t="n">
        <v>64</v>
      </c>
      <c r="AA1435" t="n">
        <v>65</v>
      </c>
      <c r="AB1435" t="n">
        <v>2</v>
      </c>
      <c r="AC1435" t="n">
        <v>2</v>
      </c>
      <c r="AD1435" t="n">
        <v>2</v>
      </c>
      <c r="AE1435" t="n">
        <v>2</v>
      </c>
      <c r="AF1435" t="n">
        <v>0</v>
      </c>
      <c r="AG1435" t="n">
        <v>0</v>
      </c>
      <c r="AH1435" t="n">
        <v>0</v>
      </c>
      <c r="AI1435" t="n">
        <v>0</v>
      </c>
      <c r="AJ1435" t="n">
        <v>1</v>
      </c>
      <c r="AK1435" t="n">
        <v>1</v>
      </c>
      <c r="AL1435" t="n">
        <v>1</v>
      </c>
      <c r="AM1435" t="n">
        <v>1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HYPERLINK("http://catalog.hathitrust.org/Record/002994068","HathiTrust Record")</f>
        <v/>
      </c>
      <c r="AS1435">
        <f>HYPERLINK("https://creighton-primo.hosted.exlibrisgroup.com/primo-explore/search?tab=default_tab&amp;search_scope=EVERYTHING&amp;vid=01CRU&amp;lang=en_US&amp;offset=0&amp;query=any,contains,991002402899702656","Catalog Record")</f>
        <v/>
      </c>
      <c r="AT1435">
        <f>HYPERLINK("http://www.worldcat.org/oclc/31241400","WorldCat Record")</f>
        <v/>
      </c>
      <c r="AU1435" t="inlineStr">
        <is>
          <t>808857932:eng</t>
        </is>
      </c>
      <c r="AV1435" t="inlineStr">
        <is>
          <t>31241400</t>
        </is>
      </c>
      <c r="AW1435" t="inlineStr">
        <is>
          <t>991002402899702656</t>
        </is>
      </c>
      <c r="AX1435" t="inlineStr">
        <is>
          <t>991002402899702656</t>
        </is>
      </c>
      <c r="AY1435" t="inlineStr">
        <is>
          <t>2258931400002656</t>
        </is>
      </c>
      <c r="AZ1435" t="inlineStr">
        <is>
          <t>BOOK</t>
        </is>
      </c>
      <c r="BB1435" t="inlineStr">
        <is>
          <t>9781855780620</t>
        </is>
      </c>
      <c r="BC1435" t="inlineStr">
        <is>
          <t>32285002039112</t>
        </is>
      </c>
      <c r="BD1435" t="inlineStr">
        <is>
          <t>893873471</t>
        </is>
      </c>
    </row>
    <row r="1436">
      <c r="A1436" t="inlineStr">
        <is>
          <t>No</t>
        </is>
      </c>
      <c r="B1436" t="inlineStr">
        <is>
          <t>QH603.C43 C42</t>
        </is>
      </c>
      <c r="C1436" t="inlineStr">
        <is>
          <t>0                      QH 0603000C  43                 C  42</t>
        </is>
      </c>
      <c r="D1436" t="inlineStr">
        <is>
          <t>Cell membrane receptors for drugs and hormones : a multidisciplinary approach / editors, Ralph W. Straub, Liana Bolis.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L1436" t="inlineStr">
        <is>
          <t>New York : Raven Press, c1978.</t>
        </is>
      </c>
      <c r="M1436" t="inlineStr">
        <is>
          <t>1978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QH </t>
        </is>
      </c>
      <c r="S1436" t="n">
        <v>4</v>
      </c>
      <c r="T1436" t="n">
        <v>4</v>
      </c>
      <c r="U1436" t="inlineStr">
        <is>
          <t>2007-02-09</t>
        </is>
      </c>
      <c r="V1436" t="inlineStr">
        <is>
          <t>2007-02-09</t>
        </is>
      </c>
      <c r="W1436" t="inlineStr">
        <is>
          <t>1993-05-12</t>
        </is>
      </c>
      <c r="X1436" t="inlineStr">
        <is>
          <t>1993-05-12</t>
        </is>
      </c>
      <c r="Y1436" t="n">
        <v>255</v>
      </c>
      <c r="Z1436" t="n">
        <v>176</v>
      </c>
      <c r="AA1436" t="n">
        <v>186</v>
      </c>
      <c r="AB1436" t="n">
        <v>2</v>
      </c>
      <c r="AC1436" t="n">
        <v>2</v>
      </c>
      <c r="AD1436" t="n">
        <v>4</v>
      </c>
      <c r="AE1436" t="n">
        <v>5</v>
      </c>
      <c r="AF1436" t="n">
        <v>2</v>
      </c>
      <c r="AG1436" t="n">
        <v>2</v>
      </c>
      <c r="AH1436" t="n">
        <v>1</v>
      </c>
      <c r="AI1436" t="n">
        <v>2</v>
      </c>
      <c r="AJ1436" t="n">
        <v>1</v>
      </c>
      <c r="AK1436" t="n">
        <v>2</v>
      </c>
      <c r="AL1436" t="n">
        <v>1</v>
      </c>
      <c r="AM1436" t="n">
        <v>1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HYPERLINK("http://catalog.hathitrust.org/Record/000176890","HathiTrust Record")</f>
        <v/>
      </c>
      <c r="AS1436">
        <f>HYPERLINK("https://creighton-primo.hosted.exlibrisgroup.com/primo-explore/search?tab=default_tab&amp;search_scope=EVERYTHING&amp;vid=01CRU&amp;lang=en_US&amp;offset=0&amp;query=any,contains,991005264119702656","Catalog Record")</f>
        <v/>
      </c>
      <c r="AT1436">
        <f>HYPERLINK("http://www.worldcat.org/oclc/4005292","WorldCat Record")</f>
        <v/>
      </c>
      <c r="AU1436" t="inlineStr">
        <is>
          <t>889599505:eng</t>
        </is>
      </c>
      <c r="AV1436" t="inlineStr">
        <is>
          <t>4005292</t>
        </is>
      </c>
      <c r="AW1436" t="inlineStr">
        <is>
          <t>991005264119702656</t>
        </is>
      </c>
      <c r="AX1436" t="inlineStr">
        <is>
          <t>991005264119702656</t>
        </is>
      </c>
      <c r="AY1436" t="inlineStr">
        <is>
          <t>2264847660002656</t>
        </is>
      </c>
      <c r="AZ1436" t="inlineStr">
        <is>
          <t>BOOK</t>
        </is>
      </c>
      <c r="BB1436" t="inlineStr">
        <is>
          <t>9780890042274</t>
        </is>
      </c>
      <c r="BC1436" t="inlineStr">
        <is>
          <t>32285001643377</t>
        </is>
      </c>
      <c r="BD1436" t="inlineStr">
        <is>
          <t>893412581</t>
        </is>
      </c>
    </row>
    <row r="1437">
      <c r="A1437" t="inlineStr">
        <is>
          <t>No</t>
        </is>
      </c>
      <c r="B1437" t="inlineStr">
        <is>
          <t>QH603.C43 R428 yr..., v...</t>
        </is>
      </c>
      <c r="C1437" t="inlineStr">
        <is>
          <t>0                      QH 0603000C  43                 R  428                               yr..., v...</t>
        </is>
      </c>
      <c r="D1437" t="inlineStr">
        <is>
          <t>The Receptors / edited by P. Michael Conn.</t>
        </is>
      </c>
      <c r="E1437" t="inlineStr">
        <is>
          <t>V.4</t>
        </is>
      </c>
      <c r="F1437" t="inlineStr">
        <is>
          <t>Yes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Orlando, Fla. : Academic Press, 1984-</t>
        </is>
      </c>
      <c r="M1437" t="inlineStr">
        <is>
          <t>1984</t>
        </is>
      </c>
      <c r="O1437" t="inlineStr">
        <is>
          <t>eng</t>
        </is>
      </c>
      <c r="P1437" t="inlineStr">
        <is>
          <t>flu</t>
        </is>
      </c>
      <c r="R1437" t="inlineStr">
        <is>
          <t xml:space="preserve">QH </t>
        </is>
      </c>
      <c r="S1437" t="n">
        <v>3</v>
      </c>
      <c r="T1437" t="n">
        <v>4</v>
      </c>
      <c r="U1437" t="inlineStr">
        <is>
          <t>2007-02-09</t>
        </is>
      </c>
      <c r="V1437" t="inlineStr">
        <is>
          <t>2007-02-09</t>
        </is>
      </c>
      <c r="W1437" t="inlineStr">
        <is>
          <t>1993-05-12</t>
        </is>
      </c>
      <c r="X1437" t="inlineStr">
        <is>
          <t>1993-05-12</t>
        </is>
      </c>
      <c r="Y1437" t="n">
        <v>279</v>
      </c>
      <c r="Z1437" t="n">
        <v>222</v>
      </c>
      <c r="AA1437" t="n">
        <v>244</v>
      </c>
      <c r="AB1437" t="n">
        <v>3</v>
      </c>
      <c r="AC1437" t="n">
        <v>4</v>
      </c>
      <c r="AD1437" t="n">
        <v>11</v>
      </c>
      <c r="AE1437" t="n">
        <v>13</v>
      </c>
      <c r="AF1437" t="n">
        <v>4</v>
      </c>
      <c r="AG1437" t="n">
        <v>5</v>
      </c>
      <c r="AH1437" t="n">
        <v>3</v>
      </c>
      <c r="AI1437" t="n">
        <v>4</v>
      </c>
      <c r="AJ1437" t="n">
        <v>7</v>
      </c>
      <c r="AK1437" t="n">
        <v>7</v>
      </c>
      <c r="AL1437" t="n">
        <v>2</v>
      </c>
      <c r="AM1437" t="n">
        <v>3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HYPERLINK("http://catalog.hathitrust.org/Record/000453193","HathiTrust Record")</f>
        <v/>
      </c>
      <c r="AS1437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7">
        <f>HYPERLINK("http://www.worldcat.org/oclc/10726961","WorldCat Record")</f>
        <v/>
      </c>
      <c r="AU1437" t="inlineStr">
        <is>
          <t>2863447992:eng</t>
        </is>
      </c>
      <c r="AV1437" t="inlineStr">
        <is>
          <t>10726961</t>
        </is>
      </c>
      <c r="AW1437" t="inlineStr">
        <is>
          <t>991000418919702656</t>
        </is>
      </c>
      <c r="AX1437" t="inlineStr">
        <is>
          <t>991000418919702656</t>
        </is>
      </c>
      <c r="AY1437" t="inlineStr">
        <is>
          <t>2264122740002656</t>
        </is>
      </c>
      <c r="AZ1437" t="inlineStr">
        <is>
          <t>BOOK</t>
        </is>
      </c>
      <c r="BB1437" t="inlineStr">
        <is>
          <t>9780121852016</t>
        </is>
      </c>
      <c r="BC1437" t="inlineStr">
        <is>
          <t>32285001643419</t>
        </is>
      </c>
      <c r="BD1437" t="inlineStr">
        <is>
          <t>893589422</t>
        </is>
      </c>
    </row>
    <row r="1438">
      <c r="A1438" t="inlineStr">
        <is>
          <t>No</t>
        </is>
      </c>
      <c r="B1438" t="inlineStr">
        <is>
          <t>QH603.C43 R428 yr..., v...</t>
        </is>
      </c>
      <c r="C1438" t="inlineStr">
        <is>
          <t>0                      QH 0603000C  43                 R  428                               yr..., v...</t>
        </is>
      </c>
      <c r="D1438" t="inlineStr">
        <is>
          <t>The Receptors / edited by P. Michael Conn.</t>
        </is>
      </c>
      <c r="E1438" t="inlineStr">
        <is>
          <t>V.2</t>
        </is>
      </c>
      <c r="F1438" t="inlineStr">
        <is>
          <t>Yes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Orlando, Fla. : Academic Press, 1984-</t>
        </is>
      </c>
      <c r="M1438" t="inlineStr">
        <is>
          <t>1984</t>
        </is>
      </c>
      <c r="O1438" t="inlineStr">
        <is>
          <t>eng</t>
        </is>
      </c>
      <c r="P1438" t="inlineStr">
        <is>
          <t>flu</t>
        </is>
      </c>
      <c r="R1438" t="inlineStr">
        <is>
          <t xml:space="preserve">QH </t>
        </is>
      </c>
      <c r="S1438" t="n">
        <v>1</v>
      </c>
      <c r="T1438" t="n">
        <v>4</v>
      </c>
      <c r="V1438" t="inlineStr">
        <is>
          <t>2007-02-09</t>
        </is>
      </c>
      <c r="W1438" t="inlineStr">
        <is>
          <t>1993-05-12</t>
        </is>
      </c>
      <c r="X1438" t="inlineStr">
        <is>
          <t>1993-05-12</t>
        </is>
      </c>
      <c r="Y1438" t="n">
        <v>279</v>
      </c>
      <c r="Z1438" t="n">
        <v>222</v>
      </c>
      <c r="AA1438" t="n">
        <v>244</v>
      </c>
      <c r="AB1438" t="n">
        <v>3</v>
      </c>
      <c r="AC1438" t="n">
        <v>4</v>
      </c>
      <c r="AD1438" t="n">
        <v>11</v>
      </c>
      <c r="AE1438" t="n">
        <v>13</v>
      </c>
      <c r="AF1438" t="n">
        <v>4</v>
      </c>
      <c r="AG1438" t="n">
        <v>5</v>
      </c>
      <c r="AH1438" t="n">
        <v>3</v>
      </c>
      <c r="AI1438" t="n">
        <v>4</v>
      </c>
      <c r="AJ1438" t="n">
        <v>7</v>
      </c>
      <c r="AK1438" t="n">
        <v>7</v>
      </c>
      <c r="AL1438" t="n">
        <v>2</v>
      </c>
      <c r="AM1438" t="n">
        <v>3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HYPERLINK("http://catalog.hathitrust.org/Record/000453193","HathiTrust Record")</f>
        <v/>
      </c>
      <c r="AS1438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8">
        <f>HYPERLINK("http://www.worldcat.org/oclc/10726961","WorldCat Record")</f>
        <v/>
      </c>
      <c r="AU1438" t="inlineStr">
        <is>
          <t>2863447992:eng</t>
        </is>
      </c>
      <c r="AV1438" t="inlineStr">
        <is>
          <t>10726961</t>
        </is>
      </c>
      <c r="AW1438" t="inlineStr">
        <is>
          <t>991000418919702656</t>
        </is>
      </c>
      <c r="AX1438" t="inlineStr">
        <is>
          <t>991000418919702656</t>
        </is>
      </c>
      <c r="AY1438" t="inlineStr">
        <is>
          <t>2264122740002656</t>
        </is>
      </c>
      <c r="AZ1438" t="inlineStr">
        <is>
          <t>BOOK</t>
        </is>
      </c>
      <c r="BB1438" t="inlineStr">
        <is>
          <t>9780121852016</t>
        </is>
      </c>
      <c r="BC1438" t="inlineStr">
        <is>
          <t>32285001643401</t>
        </is>
      </c>
      <c r="BD1438" t="inlineStr">
        <is>
          <t>893601733</t>
        </is>
      </c>
    </row>
    <row r="1439">
      <c r="A1439" t="inlineStr">
        <is>
          <t>No</t>
        </is>
      </c>
      <c r="B1439" t="inlineStr">
        <is>
          <t>QH603.E93 E96</t>
        </is>
      </c>
      <c r="C1439" t="inlineStr">
        <is>
          <t>0                      QH 0603000E  93                 E  96</t>
        </is>
      </c>
      <c r="D1439" t="inlineStr">
        <is>
          <t>Extracellular matrix influences on gene expression : [proceedings] / edited by Harold C. Slavkin, Richard C. Greulich.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Academic Press, 1975.</t>
        </is>
      </c>
      <c r="M1439" t="inlineStr">
        <is>
          <t>1975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QH </t>
        </is>
      </c>
      <c r="S1439" t="n">
        <v>5</v>
      </c>
      <c r="T1439" t="n">
        <v>5</v>
      </c>
      <c r="U1439" t="inlineStr">
        <is>
          <t>2005-08-05</t>
        </is>
      </c>
      <c r="V1439" t="inlineStr">
        <is>
          <t>2005-08-05</t>
        </is>
      </c>
      <c r="W1439" t="inlineStr">
        <is>
          <t>1997-07-14</t>
        </is>
      </c>
      <c r="X1439" t="inlineStr">
        <is>
          <t>1997-07-14</t>
        </is>
      </c>
      <c r="Y1439" t="n">
        <v>294</v>
      </c>
      <c r="Z1439" t="n">
        <v>215</v>
      </c>
      <c r="AA1439" t="n">
        <v>261</v>
      </c>
      <c r="AB1439" t="n">
        <v>3</v>
      </c>
      <c r="AC1439" t="n">
        <v>3</v>
      </c>
      <c r="AD1439" t="n">
        <v>8</v>
      </c>
      <c r="AE1439" t="n">
        <v>11</v>
      </c>
      <c r="AF1439" t="n">
        <v>1</v>
      </c>
      <c r="AG1439" t="n">
        <v>3</v>
      </c>
      <c r="AH1439" t="n">
        <v>3</v>
      </c>
      <c r="AI1439" t="n">
        <v>5</v>
      </c>
      <c r="AJ1439" t="n">
        <v>4</v>
      </c>
      <c r="AK1439" t="n">
        <v>4</v>
      </c>
      <c r="AL1439" t="n">
        <v>2</v>
      </c>
      <c r="AM1439" t="n">
        <v>2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HYPERLINK("http://catalog.hathitrust.org/Record/001493085","HathiTrust Record")</f>
        <v/>
      </c>
      <c r="AS1439">
        <f>HYPERLINK("https://creighton-primo.hosted.exlibrisgroup.com/primo-explore/search?tab=default_tab&amp;search_scope=EVERYTHING&amp;vid=01CRU&amp;lang=en_US&amp;offset=0&amp;query=any,contains,991003598889702656","Catalog Record")</f>
        <v/>
      </c>
      <c r="AT1439">
        <f>HYPERLINK("http://www.worldcat.org/oclc/1176784","WorldCat Record")</f>
        <v/>
      </c>
      <c r="AU1439" t="inlineStr">
        <is>
          <t>356150399:eng</t>
        </is>
      </c>
      <c r="AV1439" t="inlineStr">
        <is>
          <t>1176784</t>
        </is>
      </c>
      <c r="AW1439" t="inlineStr">
        <is>
          <t>991003598889702656</t>
        </is>
      </c>
      <c r="AX1439" t="inlineStr">
        <is>
          <t>991003598889702656</t>
        </is>
      </c>
      <c r="AY1439" t="inlineStr">
        <is>
          <t>2269585900002656</t>
        </is>
      </c>
      <c r="AZ1439" t="inlineStr">
        <is>
          <t>BOOK</t>
        </is>
      </c>
      <c r="BB1439" t="inlineStr">
        <is>
          <t>9780126483604</t>
        </is>
      </c>
      <c r="BC1439" t="inlineStr">
        <is>
          <t>32285002935012</t>
        </is>
      </c>
      <c r="BD1439" t="inlineStr">
        <is>
          <t>893234332</t>
        </is>
      </c>
    </row>
    <row r="1440">
      <c r="A1440" t="inlineStr">
        <is>
          <t>No</t>
        </is>
      </c>
      <c r="B1440" t="inlineStr">
        <is>
          <t>QH603.G6 W48</t>
        </is>
      </c>
      <c r="C1440" t="inlineStr">
        <is>
          <t>0                      QH 0603000G  6                  W  48</t>
        </is>
      </c>
      <c r="D1440" t="inlineStr">
        <is>
          <t>The Golgi apparatus / W. G. Whaley.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Whaley, W. Gordon (William Gordon), 1914-1982.</t>
        </is>
      </c>
      <c r="L1440" t="inlineStr">
        <is>
          <t>New York : Springer-Verlag, c1975.</t>
        </is>
      </c>
      <c r="M1440" t="inlineStr">
        <is>
          <t>1975</t>
        </is>
      </c>
      <c r="O1440" t="inlineStr">
        <is>
          <t>eng</t>
        </is>
      </c>
      <c r="P1440" t="inlineStr">
        <is>
          <t>nyu</t>
        </is>
      </c>
      <c r="Q1440" t="inlineStr">
        <is>
          <t>Cell biology monographs ; v. 2</t>
        </is>
      </c>
      <c r="R1440" t="inlineStr">
        <is>
          <t xml:space="preserve">QH </t>
        </is>
      </c>
      <c r="S1440" t="n">
        <v>3</v>
      </c>
      <c r="T1440" t="n">
        <v>3</v>
      </c>
      <c r="U1440" t="inlineStr">
        <is>
          <t>1999-04-19</t>
        </is>
      </c>
      <c r="V1440" t="inlineStr">
        <is>
          <t>1999-04-19</t>
        </is>
      </c>
      <c r="W1440" t="inlineStr">
        <is>
          <t>1997-07-14</t>
        </is>
      </c>
      <c r="X1440" t="inlineStr">
        <is>
          <t>1997-07-14</t>
        </is>
      </c>
      <c r="Y1440" t="n">
        <v>339</v>
      </c>
      <c r="Z1440" t="n">
        <v>236</v>
      </c>
      <c r="AA1440" t="n">
        <v>238</v>
      </c>
      <c r="AB1440" t="n">
        <v>2</v>
      </c>
      <c r="AC1440" t="n">
        <v>2</v>
      </c>
      <c r="AD1440" t="n">
        <v>6</v>
      </c>
      <c r="AE1440" t="n">
        <v>6</v>
      </c>
      <c r="AF1440" t="n">
        <v>1</v>
      </c>
      <c r="AG1440" t="n">
        <v>1</v>
      </c>
      <c r="AH1440" t="n">
        <v>2</v>
      </c>
      <c r="AI1440" t="n">
        <v>2</v>
      </c>
      <c r="AJ1440" t="n">
        <v>3</v>
      </c>
      <c r="AK1440" t="n">
        <v>3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HYPERLINK("http://catalog.hathitrust.org/Record/000045202","HathiTrust Record")</f>
        <v/>
      </c>
      <c r="AS1440">
        <f>HYPERLINK("https://creighton-primo.hosted.exlibrisgroup.com/primo-explore/search?tab=default_tab&amp;search_scope=EVERYTHING&amp;vid=01CRU&amp;lang=en_US&amp;offset=0&amp;query=any,contains,991003803609702656","Catalog Record")</f>
        <v/>
      </c>
      <c r="AT1440">
        <f>HYPERLINK("http://www.worldcat.org/oclc/1529316","WorldCat Record")</f>
        <v/>
      </c>
      <c r="AU1440" t="inlineStr">
        <is>
          <t>908633538:eng</t>
        </is>
      </c>
      <c r="AV1440" t="inlineStr">
        <is>
          <t>1529316</t>
        </is>
      </c>
      <c r="AW1440" t="inlineStr">
        <is>
          <t>991003803609702656</t>
        </is>
      </c>
      <c r="AX1440" t="inlineStr">
        <is>
          <t>991003803609702656</t>
        </is>
      </c>
      <c r="AY1440" t="inlineStr">
        <is>
          <t>2256871460002656</t>
        </is>
      </c>
      <c r="AZ1440" t="inlineStr">
        <is>
          <t>BOOK</t>
        </is>
      </c>
      <c r="BB1440" t="inlineStr">
        <is>
          <t>9780387813158</t>
        </is>
      </c>
      <c r="BC1440" t="inlineStr">
        <is>
          <t>32285002935020</t>
        </is>
      </c>
      <c r="BD1440" t="inlineStr">
        <is>
          <t>893330832</t>
        </is>
      </c>
    </row>
    <row r="1441">
      <c r="A1441" t="inlineStr">
        <is>
          <t>No</t>
        </is>
      </c>
      <c r="B1441" t="inlineStr">
        <is>
          <t>QH603.M5 A9</t>
        </is>
      </c>
      <c r="C1441" t="inlineStr">
        <is>
          <t>0                      QH 0603000M  5                  A  9</t>
        </is>
      </c>
      <c r="D1441" t="inlineStr">
        <is>
          <t>Autonomy and biogenesis of mitochondria and chloroplasts; a symposium sponsored by International Union of Biochemistry, Australian Academy of Science and United States National Academy of Sciences. Ed. by N. K. Boardman, Anthony W. Linnane and Robert M. Smillie.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L1441" t="inlineStr">
        <is>
          <t>Amsterdam, North-Holland Pub. Co., 1971.</t>
        </is>
      </c>
      <c r="M1441" t="inlineStr">
        <is>
          <t>1971</t>
        </is>
      </c>
      <c r="O1441" t="inlineStr">
        <is>
          <t>eng</t>
        </is>
      </c>
      <c r="P1441" t="inlineStr">
        <is>
          <t xml:space="preserve">ne </t>
        </is>
      </c>
      <c r="R1441" t="inlineStr">
        <is>
          <t xml:space="preserve">QH </t>
        </is>
      </c>
      <c r="S1441" t="n">
        <v>2</v>
      </c>
      <c r="T1441" t="n">
        <v>2</v>
      </c>
      <c r="U1441" t="inlineStr">
        <is>
          <t>1998-10-21</t>
        </is>
      </c>
      <c r="V1441" t="inlineStr">
        <is>
          <t>1998-10-21</t>
        </is>
      </c>
      <c r="W1441" t="inlineStr">
        <is>
          <t>1997-07-14</t>
        </is>
      </c>
      <c r="X1441" t="inlineStr">
        <is>
          <t>1997-07-14</t>
        </is>
      </c>
      <c r="Y1441" t="n">
        <v>376</v>
      </c>
      <c r="Z1441" t="n">
        <v>277</v>
      </c>
      <c r="AA1441" t="n">
        <v>279</v>
      </c>
      <c r="AB1441" t="n">
        <v>2</v>
      </c>
      <c r="AC1441" t="n">
        <v>2</v>
      </c>
      <c r="AD1441" t="n">
        <v>13</v>
      </c>
      <c r="AE1441" t="n">
        <v>13</v>
      </c>
      <c r="AF1441" t="n">
        <v>5</v>
      </c>
      <c r="AG1441" t="n">
        <v>5</v>
      </c>
      <c r="AH1441" t="n">
        <v>4</v>
      </c>
      <c r="AI1441" t="n">
        <v>4</v>
      </c>
      <c r="AJ1441" t="n">
        <v>6</v>
      </c>
      <c r="AK1441" t="n">
        <v>6</v>
      </c>
      <c r="AL1441" t="n">
        <v>1</v>
      </c>
      <c r="AM1441" t="n">
        <v>1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HYPERLINK("http://catalog.hathitrust.org/Record/001493088","HathiTrust Record")</f>
        <v/>
      </c>
      <c r="AS1441">
        <f>HYPERLINK("https://creighton-primo.hosted.exlibrisgroup.com/primo-explore/search?tab=default_tab&amp;search_scope=EVERYTHING&amp;vid=01CRU&amp;lang=en_US&amp;offset=0&amp;query=any,contains,991000843979702656","Catalog Record")</f>
        <v/>
      </c>
      <c r="AT1441">
        <f>HYPERLINK("http://www.worldcat.org/oclc/148830","WorldCat Record")</f>
        <v/>
      </c>
      <c r="AU1441" t="inlineStr">
        <is>
          <t>1154289732:eng</t>
        </is>
      </c>
      <c r="AV1441" t="inlineStr">
        <is>
          <t>148830</t>
        </is>
      </c>
      <c r="AW1441" t="inlineStr">
        <is>
          <t>991000843979702656</t>
        </is>
      </c>
      <c r="AX1441" t="inlineStr">
        <is>
          <t>991000843979702656</t>
        </is>
      </c>
      <c r="AY1441" t="inlineStr">
        <is>
          <t>2260133210002656</t>
        </is>
      </c>
      <c r="AZ1441" t="inlineStr">
        <is>
          <t>BOOK</t>
        </is>
      </c>
      <c r="BB1441" t="inlineStr">
        <is>
          <t>9780720440874</t>
        </is>
      </c>
      <c r="BC1441" t="inlineStr">
        <is>
          <t>32285002935046</t>
        </is>
      </c>
      <c r="BD1441" t="inlineStr">
        <is>
          <t>893432355</t>
        </is>
      </c>
    </row>
    <row r="1442">
      <c r="A1442" t="inlineStr">
        <is>
          <t>No</t>
        </is>
      </c>
      <c r="B1442" t="inlineStr">
        <is>
          <t>QH603.M5 I52 1988</t>
        </is>
      </c>
      <c r="C1442" t="inlineStr">
        <is>
          <t>0                      QH 0603000M  5                  I  52          1988</t>
        </is>
      </c>
      <c r="D1442" t="inlineStr">
        <is>
          <t>Integration of mitochondrial function / edited by John J. Lemasters ... [et al.].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L1442" t="inlineStr">
        <is>
          <t>New York : Plenum Press, c1988.</t>
        </is>
      </c>
      <c r="M1442" t="inlineStr">
        <is>
          <t>1988</t>
        </is>
      </c>
      <c r="O1442" t="inlineStr">
        <is>
          <t>eng</t>
        </is>
      </c>
      <c r="P1442" t="inlineStr">
        <is>
          <t>nyu</t>
        </is>
      </c>
      <c r="R1442" t="inlineStr">
        <is>
          <t xml:space="preserve">QH </t>
        </is>
      </c>
      <c r="S1442" t="n">
        <v>5</v>
      </c>
      <c r="T1442" t="n">
        <v>5</v>
      </c>
      <c r="U1442" t="inlineStr">
        <is>
          <t>1994-09-19</t>
        </is>
      </c>
      <c r="V1442" t="inlineStr">
        <is>
          <t>1994-09-19</t>
        </is>
      </c>
      <c r="W1442" t="inlineStr">
        <is>
          <t>1993-05-12</t>
        </is>
      </c>
      <c r="X1442" t="inlineStr">
        <is>
          <t>1993-05-12</t>
        </is>
      </c>
      <c r="Y1442" t="n">
        <v>141</v>
      </c>
      <c r="Z1442" t="n">
        <v>108</v>
      </c>
      <c r="AA1442" t="n">
        <v>127</v>
      </c>
      <c r="AB1442" t="n">
        <v>1</v>
      </c>
      <c r="AC1442" t="n">
        <v>1</v>
      </c>
      <c r="AD1442" t="n">
        <v>5</v>
      </c>
      <c r="AE1442" t="n">
        <v>6</v>
      </c>
      <c r="AF1442" t="n">
        <v>2</v>
      </c>
      <c r="AG1442" t="n">
        <v>3</v>
      </c>
      <c r="AH1442" t="n">
        <v>1</v>
      </c>
      <c r="AI1442" t="n">
        <v>1</v>
      </c>
      <c r="AJ1442" t="n">
        <v>3</v>
      </c>
      <c r="AK1442" t="n">
        <v>4</v>
      </c>
      <c r="AL1442" t="n">
        <v>0</v>
      </c>
      <c r="AM1442" t="n">
        <v>0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HYPERLINK("http://catalog.hathitrust.org/Record/001095936","HathiTrust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HYPERLINK("https://creighton-primo.hosted.exlibrisgroup.com/primo-explore/search?tab=default_tab&amp;search_scope=EVERYTHING&amp;vid=01CRU&amp;lang=en_US&amp;offset=0&amp;query=any,contains,991001322329702656","Catalog Record")</f>
        <v/>
      </c>
      <c r="AT1442">
        <f>HYPERLINK("http://www.worldcat.org/oclc/18254708","WorldCat Record")</f>
        <v/>
      </c>
      <c r="AU1442" t="inlineStr">
        <is>
          <t>479288872:eng</t>
        </is>
      </c>
      <c r="AV1442" t="inlineStr">
        <is>
          <t>18254708</t>
        </is>
      </c>
      <c r="AW1442" t="inlineStr">
        <is>
          <t>991001322329702656</t>
        </is>
      </c>
      <c r="AX1442" t="inlineStr">
        <is>
          <t>991001322329702656</t>
        </is>
      </c>
      <c r="AY1442" t="inlineStr">
        <is>
          <t>2258600960002656</t>
        </is>
      </c>
      <c r="AZ1442" t="inlineStr">
        <is>
          <t>BOOK</t>
        </is>
      </c>
      <c r="BB1442" t="inlineStr">
        <is>
          <t>9780306429996</t>
        </is>
      </c>
      <c r="BC1442" t="inlineStr">
        <is>
          <t>32285001643468</t>
        </is>
      </c>
      <c r="BD1442" t="inlineStr">
        <is>
          <t>893408039</t>
        </is>
      </c>
    </row>
    <row r="1443">
      <c r="A1443" t="inlineStr">
        <is>
          <t>No</t>
        </is>
      </c>
      <c r="B1443" t="inlineStr">
        <is>
          <t>QH603.M5 M54</t>
        </is>
      </c>
      <c r="C1443" t="inlineStr">
        <is>
          <t>0                      QH 0603000M  5                  M  54</t>
        </is>
      </c>
      <c r="D1443" t="inlineStr">
        <is>
          <t>Mitochondria and microsomes : in honor of Lars Ernster / edited by C.P. Lee, G. Schatz, G. Dallner.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L1443" t="inlineStr">
        <is>
          <t>Reading, Mass. : Addison-Wesley, Advanced Book Program, 1981.</t>
        </is>
      </c>
      <c r="M1443" t="inlineStr">
        <is>
          <t>1981</t>
        </is>
      </c>
      <c r="O1443" t="inlineStr">
        <is>
          <t>eng</t>
        </is>
      </c>
      <c r="P1443" t="inlineStr">
        <is>
          <t>mau</t>
        </is>
      </c>
      <c r="R1443" t="inlineStr">
        <is>
          <t xml:space="preserve">QH </t>
        </is>
      </c>
      <c r="S1443" t="n">
        <v>6</v>
      </c>
      <c r="T1443" t="n">
        <v>6</v>
      </c>
      <c r="U1443" t="inlineStr">
        <is>
          <t>1994-10-01</t>
        </is>
      </c>
      <c r="V1443" t="inlineStr">
        <is>
          <t>1994-10-01</t>
        </is>
      </c>
      <c r="W1443" t="inlineStr">
        <is>
          <t>1993-05-12</t>
        </is>
      </c>
      <c r="X1443" t="inlineStr">
        <is>
          <t>1993-05-12</t>
        </is>
      </c>
      <c r="Y1443" t="n">
        <v>295</v>
      </c>
      <c r="Z1443" t="n">
        <v>247</v>
      </c>
      <c r="AA1443" t="n">
        <v>253</v>
      </c>
      <c r="AB1443" t="n">
        <v>4</v>
      </c>
      <c r="AC1443" t="n">
        <v>4</v>
      </c>
      <c r="AD1443" t="n">
        <v>11</v>
      </c>
      <c r="AE1443" t="n">
        <v>11</v>
      </c>
      <c r="AF1443" t="n">
        <v>3</v>
      </c>
      <c r="AG1443" t="n">
        <v>3</v>
      </c>
      <c r="AH1443" t="n">
        <v>3</v>
      </c>
      <c r="AI1443" t="n">
        <v>3</v>
      </c>
      <c r="AJ1443" t="n">
        <v>5</v>
      </c>
      <c r="AK1443" t="n">
        <v>5</v>
      </c>
      <c r="AL1443" t="n">
        <v>3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HYPERLINK("http://catalog.hathitrust.org/Record/000190233","HathiTrust Record")</f>
        <v/>
      </c>
      <c r="AS1443">
        <f>HYPERLINK("https://creighton-primo.hosted.exlibrisgroup.com/primo-explore/search?tab=default_tab&amp;search_scope=EVERYTHING&amp;vid=01CRU&amp;lang=en_US&amp;offset=0&amp;query=any,contains,991005135649702656","Catalog Record")</f>
        <v/>
      </c>
      <c r="AT1443">
        <f>HYPERLINK("http://www.worldcat.org/oclc/7576723","WorldCat Record")</f>
        <v/>
      </c>
      <c r="AU1443" t="inlineStr">
        <is>
          <t>836674261:eng</t>
        </is>
      </c>
      <c r="AV1443" t="inlineStr">
        <is>
          <t>7576723</t>
        </is>
      </c>
      <c r="AW1443" t="inlineStr">
        <is>
          <t>991005135649702656</t>
        </is>
      </c>
      <c r="AX1443" t="inlineStr">
        <is>
          <t>991005135649702656</t>
        </is>
      </c>
      <c r="AY1443" t="inlineStr">
        <is>
          <t>2262524800002656</t>
        </is>
      </c>
      <c r="AZ1443" t="inlineStr">
        <is>
          <t>BOOK</t>
        </is>
      </c>
      <c r="BB1443" t="inlineStr">
        <is>
          <t>9780201045765</t>
        </is>
      </c>
      <c r="BC1443" t="inlineStr">
        <is>
          <t>32285001643476</t>
        </is>
      </c>
      <c r="BD1443" t="inlineStr">
        <is>
          <t>893526967</t>
        </is>
      </c>
    </row>
    <row r="1444">
      <c r="A1444" t="inlineStr">
        <is>
          <t>No</t>
        </is>
      </c>
      <c r="B1444" t="inlineStr">
        <is>
          <t>QH603.M5 M56 1982</t>
        </is>
      </c>
      <c r="C1444" t="inlineStr">
        <is>
          <t>0                      QH 0603000M  5                  M  56          1982</t>
        </is>
      </c>
      <c r="D1444" t="inlineStr">
        <is>
          <t>Mitochondrial genes / edited by Piotr Slonimski, Piet Borst, Giuseppe Attardi.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L1444" t="inlineStr">
        <is>
          <t>Cold Spring Harbor, NY : Cold Spring Harbor Laboratory, 1982.</t>
        </is>
      </c>
      <c r="M1444" t="inlineStr">
        <is>
          <t>1982</t>
        </is>
      </c>
      <c r="O1444" t="inlineStr">
        <is>
          <t>eng</t>
        </is>
      </c>
      <c r="P1444" t="inlineStr">
        <is>
          <t>nyu</t>
        </is>
      </c>
      <c r="Q1444" t="inlineStr">
        <is>
          <t>Cold Spring Harbor monograph series ; 12</t>
        </is>
      </c>
      <c r="R1444" t="inlineStr">
        <is>
          <t xml:space="preserve">QH </t>
        </is>
      </c>
      <c r="S1444" t="n">
        <v>7</v>
      </c>
      <c r="T1444" t="n">
        <v>7</v>
      </c>
      <c r="U1444" t="inlineStr">
        <is>
          <t>2005-10-27</t>
        </is>
      </c>
      <c r="V1444" t="inlineStr">
        <is>
          <t>2005-10-27</t>
        </is>
      </c>
      <c r="W1444" t="inlineStr">
        <is>
          <t>1993-05-12</t>
        </is>
      </c>
      <c r="X1444" t="inlineStr">
        <is>
          <t>1993-05-12</t>
        </is>
      </c>
      <c r="Y1444" t="n">
        <v>301</v>
      </c>
      <c r="Z1444" t="n">
        <v>219</v>
      </c>
      <c r="AA1444" t="n">
        <v>227</v>
      </c>
      <c r="AB1444" t="n">
        <v>3</v>
      </c>
      <c r="AC1444" t="n">
        <v>3</v>
      </c>
      <c r="AD1444" t="n">
        <v>9</v>
      </c>
      <c r="AE1444" t="n">
        <v>9</v>
      </c>
      <c r="AF1444" t="n">
        <v>1</v>
      </c>
      <c r="AG1444" t="n">
        <v>1</v>
      </c>
      <c r="AH1444" t="n">
        <v>4</v>
      </c>
      <c r="AI1444" t="n">
        <v>4</v>
      </c>
      <c r="AJ1444" t="n">
        <v>4</v>
      </c>
      <c r="AK1444" t="n">
        <v>4</v>
      </c>
      <c r="AL1444" t="n">
        <v>2</v>
      </c>
      <c r="AM1444" t="n">
        <v>2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HYPERLINK("http://catalog.hathitrust.org/Record/000771643","HathiTrust Record")</f>
        <v/>
      </c>
      <c r="AS1444">
        <f>HYPERLINK("https://creighton-primo.hosted.exlibrisgroup.com/primo-explore/search?tab=default_tab&amp;search_scope=EVERYTHING&amp;vid=01CRU&amp;lang=en_US&amp;offset=0&amp;query=any,contains,991005232179702656","Catalog Record")</f>
        <v/>
      </c>
      <c r="AT1444">
        <f>HYPERLINK("http://www.worldcat.org/oclc/8345013","WorldCat Record")</f>
        <v/>
      </c>
      <c r="AU1444" t="inlineStr">
        <is>
          <t>366098181:eng</t>
        </is>
      </c>
      <c r="AV1444" t="inlineStr">
        <is>
          <t>8345013</t>
        </is>
      </c>
      <c r="AW1444" t="inlineStr">
        <is>
          <t>991005232179702656</t>
        </is>
      </c>
      <c r="AX1444" t="inlineStr">
        <is>
          <t>991005232179702656</t>
        </is>
      </c>
      <c r="AY1444" t="inlineStr">
        <is>
          <t>2263331330002656</t>
        </is>
      </c>
      <c r="AZ1444" t="inlineStr">
        <is>
          <t>BOOK</t>
        </is>
      </c>
      <c r="BB1444" t="inlineStr">
        <is>
          <t>9780879691455</t>
        </is>
      </c>
      <c r="BC1444" t="inlineStr">
        <is>
          <t>32285001643484</t>
        </is>
      </c>
      <c r="BD1444" t="inlineStr">
        <is>
          <t>893431091</t>
        </is>
      </c>
    </row>
    <row r="1445">
      <c r="A1445" t="inlineStr">
        <is>
          <t>No</t>
        </is>
      </c>
      <c r="B1445" t="inlineStr">
        <is>
          <t>QH603.M5 M565 1986</t>
        </is>
      </c>
      <c r="C1445" t="inlineStr">
        <is>
          <t>0                      QH 0603000M  5                  M  565         1986</t>
        </is>
      </c>
      <c r="D1445" t="inlineStr">
        <is>
          <t>Mitochondrial physiology and pathology / Gary Fiskum, editor.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L1445" t="inlineStr">
        <is>
          <t>New York : Van Nostrand Reinhold, c1986.</t>
        </is>
      </c>
      <c r="M1445" t="inlineStr">
        <is>
          <t>1986</t>
        </is>
      </c>
      <c r="O1445" t="inlineStr">
        <is>
          <t>eng</t>
        </is>
      </c>
      <c r="P1445" t="inlineStr">
        <is>
          <t>nyu</t>
        </is>
      </c>
      <c r="Q1445" t="inlineStr">
        <is>
          <t>Van Nostrand Reinhold advanced cell biology series</t>
        </is>
      </c>
      <c r="R1445" t="inlineStr">
        <is>
          <t xml:space="preserve">QH </t>
        </is>
      </c>
      <c r="S1445" t="n">
        <v>4</v>
      </c>
      <c r="T1445" t="n">
        <v>4</v>
      </c>
      <c r="U1445" t="inlineStr">
        <is>
          <t>1994-09-26</t>
        </is>
      </c>
      <c r="V1445" t="inlineStr">
        <is>
          <t>1994-09-26</t>
        </is>
      </c>
      <c r="W1445" t="inlineStr">
        <is>
          <t>1993-05-12</t>
        </is>
      </c>
      <c r="X1445" t="inlineStr">
        <is>
          <t>1993-05-12</t>
        </is>
      </c>
      <c r="Y1445" t="n">
        <v>199</v>
      </c>
      <c r="Z1445" t="n">
        <v>176</v>
      </c>
      <c r="AA1445" t="n">
        <v>190</v>
      </c>
      <c r="AB1445" t="n">
        <v>1</v>
      </c>
      <c r="AC1445" t="n">
        <v>1</v>
      </c>
      <c r="AD1445" t="n">
        <v>10</v>
      </c>
      <c r="AE1445" t="n">
        <v>10</v>
      </c>
      <c r="AF1445" t="n">
        <v>1</v>
      </c>
      <c r="AG1445" t="n">
        <v>1</v>
      </c>
      <c r="AH1445" t="n">
        <v>5</v>
      </c>
      <c r="AI1445" t="n">
        <v>5</v>
      </c>
      <c r="AJ1445" t="n">
        <v>6</v>
      </c>
      <c r="AK1445" t="n">
        <v>6</v>
      </c>
      <c r="AL1445" t="n">
        <v>0</v>
      </c>
      <c r="AM1445" t="n">
        <v>0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HYPERLINK("http://catalog.hathitrust.org/Record/000436821","HathiTrust Record")</f>
        <v/>
      </c>
      <c r="AS1445">
        <f>HYPERLINK("https://creighton-primo.hosted.exlibrisgroup.com/primo-explore/search?tab=default_tab&amp;search_scope=EVERYTHING&amp;vid=01CRU&amp;lang=en_US&amp;offset=0&amp;query=any,contains,991000886309702656","Catalog Record")</f>
        <v/>
      </c>
      <c r="AT1445">
        <f>HYPERLINK("http://www.worldcat.org/oclc/16825471","WorldCat Record")</f>
        <v/>
      </c>
      <c r="AU1445" t="inlineStr">
        <is>
          <t>13624835:eng</t>
        </is>
      </c>
      <c r="AV1445" t="inlineStr">
        <is>
          <t>16825471</t>
        </is>
      </c>
      <c r="AW1445" t="inlineStr">
        <is>
          <t>991000886309702656</t>
        </is>
      </c>
      <c r="AX1445" t="inlineStr">
        <is>
          <t>991000886309702656</t>
        </is>
      </c>
      <c r="AY1445" t="inlineStr">
        <is>
          <t>2262364620002656</t>
        </is>
      </c>
      <c r="AZ1445" t="inlineStr">
        <is>
          <t>BOOK</t>
        </is>
      </c>
      <c r="BB1445" t="inlineStr">
        <is>
          <t>9780442227258</t>
        </is>
      </c>
      <c r="BC1445" t="inlineStr">
        <is>
          <t>32285001643492</t>
        </is>
      </c>
      <c r="BD1445" t="inlineStr">
        <is>
          <t>893237693</t>
        </is>
      </c>
    </row>
    <row r="1446">
      <c r="A1446" t="inlineStr">
        <is>
          <t>No</t>
        </is>
      </c>
      <c r="B1446" t="inlineStr">
        <is>
          <t>QH603.M5 R6</t>
        </is>
      </c>
      <c r="C1446" t="inlineStr">
        <is>
          <t>0                      QH 0603000M  5                  R  6</t>
        </is>
      </c>
      <c r="D1446" t="inlineStr">
        <is>
          <t>The biogenesis of mitochondria [by] D. B. Roodyn and D. Wilkie.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Roodyn, D. B.</t>
        </is>
      </c>
      <c r="L1446" t="inlineStr">
        <is>
          <t>London, Methuen, 1968.</t>
        </is>
      </c>
      <c r="M1446" t="inlineStr">
        <is>
          <t>1968</t>
        </is>
      </c>
      <c r="O1446" t="inlineStr">
        <is>
          <t>eng</t>
        </is>
      </c>
      <c r="P1446" t="inlineStr">
        <is>
          <t>enk</t>
        </is>
      </c>
      <c r="Q1446" t="inlineStr">
        <is>
          <t>Methuen's monographs on biological subjects</t>
        </is>
      </c>
      <c r="R1446" t="inlineStr">
        <is>
          <t xml:space="preserve">QH </t>
        </is>
      </c>
      <c r="S1446" t="n">
        <v>2</v>
      </c>
      <c r="T1446" t="n">
        <v>2</v>
      </c>
      <c r="U1446" t="inlineStr">
        <is>
          <t>2001-02-24</t>
        </is>
      </c>
      <c r="V1446" t="inlineStr">
        <is>
          <t>2001-02-24</t>
        </is>
      </c>
      <c r="W1446" t="inlineStr">
        <is>
          <t>1997-07-14</t>
        </is>
      </c>
      <c r="X1446" t="inlineStr">
        <is>
          <t>1997-07-14</t>
        </is>
      </c>
      <c r="Y1446" t="n">
        <v>463</v>
      </c>
      <c r="Z1446" t="n">
        <v>350</v>
      </c>
      <c r="AA1446" t="n">
        <v>352</v>
      </c>
      <c r="AB1446" t="n">
        <v>5</v>
      </c>
      <c r="AC1446" t="n">
        <v>5</v>
      </c>
      <c r="AD1446" t="n">
        <v>13</v>
      </c>
      <c r="AE1446" t="n">
        <v>13</v>
      </c>
      <c r="AF1446" t="n">
        <v>4</v>
      </c>
      <c r="AG1446" t="n">
        <v>4</v>
      </c>
      <c r="AH1446" t="n">
        <v>1</v>
      </c>
      <c r="AI1446" t="n">
        <v>1</v>
      </c>
      <c r="AJ1446" t="n">
        <v>7</v>
      </c>
      <c r="AK1446" t="n">
        <v>7</v>
      </c>
      <c r="AL1446" t="n">
        <v>4</v>
      </c>
      <c r="AM1446" t="n">
        <v>4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HYPERLINK("http://catalog.hathitrust.org/Record/001493097","HathiTrust Record")</f>
        <v/>
      </c>
      <c r="AS1446">
        <f>HYPERLINK("https://creighton-primo.hosted.exlibrisgroup.com/primo-explore/search?tab=default_tab&amp;search_scope=EVERYTHING&amp;vid=01CRU&amp;lang=en_US&amp;offset=0&amp;query=any,contains,991001925249702656","Catalog Record")</f>
        <v/>
      </c>
      <c r="AT1446">
        <f>HYPERLINK("http://www.worldcat.org/oclc/246224","WorldCat Record")</f>
        <v/>
      </c>
      <c r="AU1446" t="inlineStr">
        <is>
          <t>1400436:eng</t>
        </is>
      </c>
      <c r="AV1446" t="inlineStr">
        <is>
          <t>246224</t>
        </is>
      </c>
      <c r="AW1446" t="inlineStr">
        <is>
          <t>991001925249702656</t>
        </is>
      </c>
      <c r="AX1446" t="inlineStr">
        <is>
          <t>991001925249702656</t>
        </is>
      </c>
      <c r="AY1446" t="inlineStr">
        <is>
          <t>2257391070002656</t>
        </is>
      </c>
      <c r="AZ1446" t="inlineStr">
        <is>
          <t>BOOK</t>
        </is>
      </c>
      <c r="BC1446" t="inlineStr">
        <is>
          <t>32285002935103</t>
        </is>
      </c>
      <c r="BD1446" t="inlineStr">
        <is>
          <t>893516686</t>
        </is>
      </c>
    </row>
    <row r="1447">
      <c r="A1447" t="inlineStr">
        <is>
          <t>No</t>
        </is>
      </c>
      <c r="B1447" t="inlineStr">
        <is>
          <t>QH603.P47 M37 1995</t>
        </is>
      </c>
      <c r="C1447" t="inlineStr">
        <is>
          <t>0                      QH 0603000P  47                 M  37          1995</t>
        </is>
      </c>
      <c r="D1447" t="inlineStr">
        <is>
          <t>The peroxisome : a vital organelle / Colin Masters and Denis Crane.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Masters, Colin J.</t>
        </is>
      </c>
      <c r="L1447" t="inlineStr">
        <is>
          <t>Cambridge ; New York : Cambridge University Press, 1995.</t>
        </is>
      </c>
      <c r="M1447" t="inlineStr">
        <is>
          <t>1995</t>
        </is>
      </c>
      <c r="O1447" t="inlineStr">
        <is>
          <t>eng</t>
        </is>
      </c>
      <c r="P1447" t="inlineStr">
        <is>
          <t>enk</t>
        </is>
      </c>
      <c r="R1447" t="inlineStr">
        <is>
          <t xml:space="preserve">QH </t>
        </is>
      </c>
      <c r="S1447" t="n">
        <v>2</v>
      </c>
      <c r="T1447" t="n">
        <v>2</v>
      </c>
      <c r="U1447" t="inlineStr">
        <is>
          <t>1998-02-25</t>
        </is>
      </c>
      <c r="V1447" t="inlineStr">
        <is>
          <t>1998-02-25</t>
        </is>
      </c>
      <c r="W1447" t="inlineStr">
        <is>
          <t>1997-02-04</t>
        </is>
      </c>
      <c r="X1447" t="inlineStr">
        <is>
          <t>1997-02-04</t>
        </is>
      </c>
      <c r="Y1447" t="n">
        <v>318</v>
      </c>
      <c r="Z1447" t="n">
        <v>237</v>
      </c>
      <c r="AA1447" t="n">
        <v>243</v>
      </c>
      <c r="AB1447" t="n">
        <v>3</v>
      </c>
      <c r="AC1447" t="n">
        <v>3</v>
      </c>
      <c r="AD1447" t="n">
        <v>11</v>
      </c>
      <c r="AE1447" t="n">
        <v>11</v>
      </c>
      <c r="AF1447" t="n">
        <v>3</v>
      </c>
      <c r="AG1447" t="n">
        <v>3</v>
      </c>
      <c r="AH1447" t="n">
        <v>3</v>
      </c>
      <c r="AI1447" t="n">
        <v>3</v>
      </c>
      <c r="AJ1447" t="n">
        <v>7</v>
      </c>
      <c r="AK1447" t="n">
        <v>7</v>
      </c>
      <c r="AL1447" t="n">
        <v>2</v>
      </c>
      <c r="AM1447" t="n">
        <v>2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HYPERLINK("https://creighton-primo.hosted.exlibrisgroup.com/primo-explore/search?tab=default_tab&amp;search_scope=EVERYTHING&amp;vid=01CRU&amp;lang=en_US&amp;offset=0&amp;query=any,contains,991002412739702656","Catalog Record")</f>
        <v/>
      </c>
      <c r="AT1447">
        <f>HYPERLINK("http://www.worldcat.org/oclc/31409467","WorldCat Record")</f>
        <v/>
      </c>
      <c r="AU1447" t="inlineStr">
        <is>
          <t>795832839:eng</t>
        </is>
      </c>
      <c r="AV1447" t="inlineStr">
        <is>
          <t>31409467</t>
        </is>
      </c>
      <c r="AW1447" t="inlineStr">
        <is>
          <t>991002412739702656</t>
        </is>
      </c>
      <c r="AX1447" t="inlineStr">
        <is>
          <t>991002412739702656</t>
        </is>
      </c>
      <c r="AY1447" t="inlineStr">
        <is>
          <t>2270511690002656</t>
        </is>
      </c>
      <c r="AZ1447" t="inlineStr">
        <is>
          <t>BOOK</t>
        </is>
      </c>
      <c r="BB1447" t="inlineStr">
        <is>
          <t>9780521482127</t>
        </is>
      </c>
      <c r="BC1447" t="inlineStr">
        <is>
          <t>32285002413895</t>
        </is>
      </c>
      <c r="BD1447" t="inlineStr">
        <is>
          <t>893591318</t>
        </is>
      </c>
    </row>
    <row r="1448">
      <c r="A1448" t="inlineStr">
        <is>
          <t>No</t>
        </is>
      </c>
      <c r="B1448" t="inlineStr">
        <is>
          <t>QH603.R5 F43</t>
        </is>
      </c>
      <c r="C1448" t="inlineStr">
        <is>
          <t>0                      QH 0603000R  5                  F  43</t>
        </is>
      </c>
      <c r="D1448" t="inlineStr">
        <is>
          <t>RNA viruses: replication and structure. Ribosomes: structure, function and biogenesis. Organized by H. Bloemendal, E. M. J. Jaspars, A. van Kammen [and others]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Federation of European Biochemical Societies.</t>
        </is>
      </c>
      <c r="L1448" t="inlineStr">
        <is>
          <t>[Amsterdam] North-Holland Pub. Co.; [New York] American Elsevier, 1972 [1973]</t>
        </is>
      </c>
      <c r="M1448" t="inlineStr">
        <is>
          <t>1973</t>
        </is>
      </c>
      <c r="O1448" t="inlineStr">
        <is>
          <t>eng</t>
        </is>
      </c>
      <c r="P1448" t="inlineStr">
        <is>
          <t xml:space="preserve">ne </t>
        </is>
      </c>
      <c r="Q1448" t="inlineStr">
        <is>
          <t>FEBS meeting, v. 27</t>
        </is>
      </c>
      <c r="R1448" t="inlineStr">
        <is>
          <t xml:space="preserve">QH </t>
        </is>
      </c>
      <c r="S1448" t="n">
        <v>4</v>
      </c>
      <c r="T1448" t="n">
        <v>4</v>
      </c>
      <c r="U1448" t="inlineStr">
        <is>
          <t>1999-10-04</t>
        </is>
      </c>
      <c r="V1448" t="inlineStr">
        <is>
          <t>1999-10-04</t>
        </is>
      </c>
      <c r="W1448" t="inlineStr">
        <is>
          <t>1997-07-14</t>
        </is>
      </c>
      <c r="X1448" t="inlineStr">
        <is>
          <t>1997-07-14</t>
        </is>
      </c>
      <c r="Y1448" t="n">
        <v>187</v>
      </c>
      <c r="Z1448" t="n">
        <v>159</v>
      </c>
      <c r="AA1448" t="n">
        <v>191</v>
      </c>
      <c r="AB1448" t="n">
        <v>2</v>
      </c>
      <c r="AC1448" t="n">
        <v>2</v>
      </c>
      <c r="AD1448" t="n">
        <v>4</v>
      </c>
      <c r="AE1448" t="n">
        <v>4</v>
      </c>
      <c r="AF1448" t="n">
        <v>1</v>
      </c>
      <c r="AG1448" t="n">
        <v>1</v>
      </c>
      <c r="AH1448" t="n">
        <v>1</v>
      </c>
      <c r="AI1448" t="n">
        <v>1</v>
      </c>
      <c r="AJ1448" t="n">
        <v>1</v>
      </c>
      <c r="AK1448" t="n">
        <v>1</v>
      </c>
      <c r="AL1448" t="n">
        <v>1</v>
      </c>
      <c r="AM1448" t="n">
        <v>1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HYPERLINK("http://catalog.hathitrust.org/Record/010072723","HathiTrust Record")</f>
        <v/>
      </c>
      <c r="AS1448">
        <f>HYPERLINK("https://creighton-primo.hosted.exlibrisgroup.com/primo-explore/search?tab=default_tab&amp;search_scope=EVERYTHING&amp;vid=01CRU&amp;lang=en_US&amp;offset=0&amp;query=any,contains,991003098889702656","Catalog Record")</f>
        <v/>
      </c>
      <c r="AT1448">
        <f>HYPERLINK("http://www.worldcat.org/oclc/648450","WorldCat Record")</f>
        <v/>
      </c>
      <c r="AU1448" t="inlineStr">
        <is>
          <t>46783611:eng</t>
        </is>
      </c>
      <c r="AV1448" t="inlineStr">
        <is>
          <t>648450</t>
        </is>
      </c>
      <c r="AW1448" t="inlineStr">
        <is>
          <t>991003098889702656</t>
        </is>
      </c>
      <c r="AX1448" t="inlineStr">
        <is>
          <t>991003098889702656</t>
        </is>
      </c>
      <c r="AY1448" t="inlineStr">
        <is>
          <t>2256403310002656</t>
        </is>
      </c>
      <c r="AZ1448" t="inlineStr">
        <is>
          <t>BOOK</t>
        </is>
      </c>
      <c r="BB1448" t="inlineStr">
        <is>
          <t>9780444104229</t>
        </is>
      </c>
      <c r="BC1448" t="inlineStr">
        <is>
          <t>32285002935137</t>
        </is>
      </c>
      <c r="BD1448" t="inlineStr">
        <is>
          <t>893409919</t>
        </is>
      </c>
    </row>
    <row r="1449">
      <c r="A1449" t="inlineStr">
        <is>
          <t>No</t>
        </is>
      </c>
      <c r="B1449" t="inlineStr">
        <is>
          <t>QH604.2 .C444 1983</t>
        </is>
      </c>
      <c r="C1449" t="inlineStr">
        <is>
          <t>0                      QH 0604200C  444         1983</t>
        </is>
      </c>
      <c r="D1449" t="inlineStr">
        <is>
          <t>Cell interactions and development : molecular mechanisms / edited by Kenneth M. Yamada.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L1449" t="inlineStr">
        <is>
          <t>New York : Wiley, c1983.</t>
        </is>
      </c>
      <c r="M1449" t="inlineStr">
        <is>
          <t>1983</t>
        </is>
      </c>
      <c r="O1449" t="inlineStr">
        <is>
          <t>eng</t>
        </is>
      </c>
      <c r="P1449" t="inlineStr">
        <is>
          <t>nyu</t>
        </is>
      </c>
      <c r="R1449" t="inlineStr">
        <is>
          <t xml:space="preserve">QH </t>
        </is>
      </c>
      <c r="S1449" t="n">
        <v>10</v>
      </c>
      <c r="T1449" t="n">
        <v>10</v>
      </c>
      <c r="U1449" t="inlineStr">
        <is>
          <t>2002-02-03</t>
        </is>
      </c>
      <c r="V1449" t="inlineStr">
        <is>
          <t>2002-02-03</t>
        </is>
      </c>
      <c r="W1449" t="inlineStr">
        <is>
          <t>1992-01-21</t>
        </is>
      </c>
      <c r="X1449" t="inlineStr">
        <is>
          <t>1992-01-21</t>
        </is>
      </c>
      <c r="Y1449" t="n">
        <v>328</v>
      </c>
      <c r="Z1449" t="n">
        <v>263</v>
      </c>
      <c r="AA1449" t="n">
        <v>271</v>
      </c>
      <c r="AB1449" t="n">
        <v>3</v>
      </c>
      <c r="AC1449" t="n">
        <v>3</v>
      </c>
      <c r="AD1449" t="n">
        <v>13</v>
      </c>
      <c r="AE1449" t="n">
        <v>13</v>
      </c>
      <c r="AF1449" t="n">
        <v>4</v>
      </c>
      <c r="AG1449" t="n">
        <v>4</v>
      </c>
      <c r="AH1449" t="n">
        <v>3</v>
      </c>
      <c r="AI1449" t="n">
        <v>3</v>
      </c>
      <c r="AJ1449" t="n">
        <v>8</v>
      </c>
      <c r="AK1449" t="n">
        <v>8</v>
      </c>
      <c r="AL1449" t="n">
        <v>2</v>
      </c>
      <c r="AM1449" t="n">
        <v>2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HYPERLINK("http://catalog.hathitrust.org/Record/000107009","HathiTrust Record")</f>
        <v/>
      </c>
      <c r="AS1449">
        <f>HYPERLINK("https://creighton-primo.hosted.exlibrisgroup.com/primo-explore/search?tab=default_tab&amp;search_scope=EVERYTHING&amp;vid=01CRU&amp;lang=en_US&amp;offset=0&amp;query=any,contains,991000028439702656","Catalog Record")</f>
        <v/>
      </c>
      <c r="AT1449">
        <f>HYPERLINK("http://www.worldcat.org/oclc/8590507","WorldCat Record")</f>
        <v/>
      </c>
      <c r="AU1449" t="inlineStr">
        <is>
          <t>796083188:eng</t>
        </is>
      </c>
      <c r="AV1449" t="inlineStr">
        <is>
          <t>8590507</t>
        </is>
      </c>
      <c r="AW1449" t="inlineStr">
        <is>
          <t>991000028439702656</t>
        </is>
      </c>
      <c r="AX1449" t="inlineStr">
        <is>
          <t>991000028439702656</t>
        </is>
      </c>
      <c r="AY1449" t="inlineStr">
        <is>
          <t>2272141490002656</t>
        </is>
      </c>
      <c r="AZ1449" t="inlineStr">
        <is>
          <t>BOOK</t>
        </is>
      </c>
      <c r="BB1449" t="inlineStr">
        <is>
          <t>9780471079873</t>
        </is>
      </c>
      <c r="BC1449" t="inlineStr">
        <is>
          <t>32285000916667</t>
        </is>
      </c>
      <c r="BD1449" t="inlineStr">
        <is>
          <t>893527727</t>
        </is>
      </c>
    </row>
    <row r="1450">
      <c r="A1450" t="inlineStr">
        <is>
          <t>No</t>
        </is>
      </c>
      <c r="B1450" t="inlineStr">
        <is>
          <t>QH604.2 .M67 1989</t>
        </is>
      </c>
      <c r="C1450" t="inlineStr">
        <is>
          <t>0                      QH 0604200M  67          1989</t>
        </is>
      </c>
      <c r="D1450" t="inlineStr">
        <is>
          <t>Cell signalling / by Noel G. Morgan.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Morgan, Noel G.</t>
        </is>
      </c>
      <c r="L1450" t="inlineStr">
        <is>
          <t>New York : Guilford Press, 1989.</t>
        </is>
      </c>
      <c r="M1450" t="inlineStr">
        <is>
          <t>1989</t>
        </is>
      </c>
      <c r="O1450" t="inlineStr">
        <is>
          <t>eng</t>
        </is>
      </c>
      <c r="P1450" t="inlineStr">
        <is>
          <t>nyu</t>
        </is>
      </c>
      <c r="R1450" t="inlineStr">
        <is>
          <t xml:space="preserve">QH </t>
        </is>
      </c>
      <c r="S1450" t="n">
        <v>5</v>
      </c>
      <c r="T1450" t="n">
        <v>5</v>
      </c>
      <c r="U1450" t="inlineStr">
        <is>
          <t>2007-02-19</t>
        </is>
      </c>
      <c r="V1450" t="inlineStr">
        <is>
          <t>2007-02-19</t>
        </is>
      </c>
      <c r="W1450" t="inlineStr">
        <is>
          <t>1992-06-29</t>
        </is>
      </c>
      <c r="X1450" t="inlineStr">
        <is>
          <t>1992-06-29</t>
        </is>
      </c>
      <c r="Y1450" t="n">
        <v>224</v>
      </c>
      <c r="Z1450" t="n">
        <v>187</v>
      </c>
      <c r="AA1450" t="n">
        <v>213</v>
      </c>
      <c r="AB1450" t="n">
        <v>3</v>
      </c>
      <c r="AC1450" t="n">
        <v>3</v>
      </c>
      <c r="AD1450" t="n">
        <v>6</v>
      </c>
      <c r="AE1450" t="n">
        <v>6</v>
      </c>
      <c r="AF1450" t="n">
        <v>0</v>
      </c>
      <c r="AG1450" t="n">
        <v>0</v>
      </c>
      <c r="AH1450" t="n">
        <v>1</v>
      </c>
      <c r="AI1450" t="n">
        <v>1</v>
      </c>
      <c r="AJ1450" t="n">
        <v>4</v>
      </c>
      <c r="AK1450" t="n">
        <v>4</v>
      </c>
      <c r="AL1450" t="n">
        <v>2</v>
      </c>
      <c r="AM1450" t="n">
        <v>2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HYPERLINK("https://creighton-primo.hosted.exlibrisgroup.com/primo-explore/search?tab=default_tab&amp;search_scope=EVERYTHING&amp;vid=01CRU&amp;lang=en_US&amp;offset=0&amp;query=any,contains,991001512819702656","Catalog Record")</f>
        <v/>
      </c>
      <c r="AT1450">
        <f>HYPERLINK("http://www.worldcat.org/oclc/19920266","WorldCat Record")</f>
        <v/>
      </c>
      <c r="AU1450" t="inlineStr">
        <is>
          <t>17467228:eng</t>
        </is>
      </c>
      <c r="AV1450" t="inlineStr">
        <is>
          <t>19920266</t>
        </is>
      </c>
      <c r="AW1450" t="inlineStr">
        <is>
          <t>991001512819702656</t>
        </is>
      </c>
      <c r="AX1450" t="inlineStr">
        <is>
          <t>991001512819702656</t>
        </is>
      </c>
      <c r="AY1450" t="inlineStr">
        <is>
          <t>2268990580002656</t>
        </is>
      </c>
      <c r="AZ1450" t="inlineStr">
        <is>
          <t>BOOK</t>
        </is>
      </c>
      <c r="BB1450" t="inlineStr">
        <is>
          <t>9780898625189</t>
        </is>
      </c>
      <c r="BC1450" t="inlineStr">
        <is>
          <t>32285001156339</t>
        </is>
      </c>
      <c r="BD1450" t="inlineStr">
        <is>
          <t>893772637</t>
        </is>
      </c>
    </row>
    <row r="1451">
      <c r="A1451" t="inlineStr">
        <is>
          <t>No</t>
        </is>
      </c>
      <c r="B1451" t="inlineStr">
        <is>
          <t>QH605 .C23</t>
        </is>
      </c>
      <c r="C1451" t="inlineStr">
        <is>
          <t>0                      QH 0605000C  23</t>
        </is>
      </c>
      <c r="D1451" t="inlineStr">
        <is>
          <t>Cell synchrony; studies in biosynthetic regulation, edited by Ivan L. Cameron [and] George M. Padilla.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Cameron, Ivan L., editor.</t>
        </is>
      </c>
      <c r="L1451" t="inlineStr">
        <is>
          <t>New York, Academic Press, 1966.</t>
        </is>
      </c>
      <c r="M1451" t="inlineStr">
        <is>
          <t>1966</t>
        </is>
      </c>
      <c r="O1451" t="inlineStr">
        <is>
          <t>eng</t>
        </is>
      </c>
      <c r="P1451" t="inlineStr">
        <is>
          <t>nyu</t>
        </is>
      </c>
      <c r="R1451" t="inlineStr">
        <is>
          <t xml:space="preserve">QH </t>
        </is>
      </c>
      <c r="S1451" t="n">
        <v>2</v>
      </c>
      <c r="T1451" t="n">
        <v>2</v>
      </c>
      <c r="U1451" t="inlineStr">
        <is>
          <t>2010-02-27</t>
        </is>
      </c>
      <c r="V1451" t="inlineStr">
        <is>
          <t>2010-02-27</t>
        </is>
      </c>
      <c r="W1451" t="inlineStr">
        <is>
          <t>1997-07-14</t>
        </is>
      </c>
      <c r="X1451" t="inlineStr">
        <is>
          <t>1997-07-14</t>
        </is>
      </c>
      <c r="Y1451" t="n">
        <v>446</v>
      </c>
      <c r="Z1451" t="n">
        <v>334</v>
      </c>
      <c r="AA1451" t="n">
        <v>383</v>
      </c>
      <c r="AB1451" t="n">
        <v>1</v>
      </c>
      <c r="AC1451" t="n">
        <v>2</v>
      </c>
      <c r="AD1451" t="n">
        <v>13</v>
      </c>
      <c r="AE1451" t="n">
        <v>18</v>
      </c>
      <c r="AF1451" t="n">
        <v>5</v>
      </c>
      <c r="AG1451" t="n">
        <v>7</v>
      </c>
      <c r="AH1451" t="n">
        <v>3</v>
      </c>
      <c r="AI1451" t="n">
        <v>5</v>
      </c>
      <c r="AJ1451" t="n">
        <v>9</v>
      </c>
      <c r="AK1451" t="n">
        <v>11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HYPERLINK("http://catalog.hathitrust.org/Record/006213659","HathiTrust Record")</f>
        <v/>
      </c>
      <c r="AS1451">
        <f>HYPERLINK("https://creighton-primo.hosted.exlibrisgroup.com/primo-explore/search?tab=default_tab&amp;search_scope=EVERYTHING&amp;vid=01CRU&amp;lang=en_US&amp;offset=0&amp;query=any,contains,991002142579702656","Catalog Record")</f>
        <v/>
      </c>
      <c r="AT1451">
        <f>HYPERLINK("http://www.worldcat.org/oclc/270749","WorldCat Record")</f>
        <v/>
      </c>
      <c r="AU1451" t="inlineStr">
        <is>
          <t>364506479:eng</t>
        </is>
      </c>
      <c r="AV1451" t="inlineStr">
        <is>
          <t>270749</t>
        </is>
      </c>
      <c r="AW1451" t="inlineStr">
        <is>
          <t>991002142579702656</t>
        </is>
      </c>
      <c r="AX1451" t="inlineStr">
        <is>
          <t>991002142579702656</t>
        </is>
      </c>
      <c r="AY1451" t="inlineStr">
        <is>
          <t>2263774980002656</t>
        </is>
      </c>
      <c r="AZ1451" t="inlineStr">
        <is>
          <t>BOOK</t>
        </is>
      </c>
      <c r="BC1451" t="inlineStr">
        <is>
          <t>32285002935228</t>
        </is>
      </c>
      <c r="BD1451" t="inlineStr">
        <is>
          <t>893433530</t>
        </is>
      </c>
    </row>
    <row r="1452">
      <c r="A1452" t="inlineStr">
        <is>
          <t>No</t>
        </is>
      </c>
      <c r="B1452" t="inlineStr">
        <is>
          <t>QH605 .C43</t>
        </is>
      </c>
      <c r="C1452" t="inlineStr">
        <is>
          <t>0                      QH 0605000C  43</t>
        </is>
      </c>
      <c r="D1452" t="inlineStr">
        <is>
          <t>The Cell cycle: gene-enzyme interactions. Edited by G. M. Padilla, G. L. Whitson [and] I. L. Cameron.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York, Academic Press, 1969.</t>
        </is>
      </c>
      <c r="M1452" t="inlineStr">
        <is>
          <t>1969</t>
        </is>
      </c>
      <c r="O1452" t="inlineStr">
        <is>
          <t>eng</t>
        </is>
      </c>
      <c r="P1452" t="inlineStr">
        <is>
          <t>nyu</t>
        </is>
      </c>
      <c r="Q1452" t="inlineStr">
        <is>
          <t>Cell biology</t>
        </is>
      </c>
      <c r="R1452" t="inlineStr">
        <is>
          <t xml:space="preserve">QH </t>
        </is>
      </c>
      <c r="S1452" t="n">
        <v>2</v>
      </c>
      <c r="T1452" t="n">
        <v>4</v>
      </c>
      <c r="U1452" t="inlineStr">
        <is>
          <t>2002-02-24</t>
        </is>
      </c>
      <c r="V1452" t="inlineStr">
        <is>
          <t>2002-02-24</t>
        </is>
      </c>
      <c r="W1452" t="inlineStr">
        <is>
          <t>1997-07-14</t>
        </is>
      </c>
      <c r="X1452" t="inlineStr">
        <is>
          <t>1997-07-14</t>
        </is>
      </c>
      <c r="Y1452" t="n">
        <v>503</v>
      </c>
      <c r="Z1452" t="n">
        <v>374</v>
      </c>
      <c r="AA1452" t="n">
        <v>418</v>
      </c>
      <c r="AB1452" t="n">
        <v>6</v>
      </c>
      <c r="AC1452" t="n">
        <v>6</v>
      </c>
      <c r="AD1452" t="n">
        <v>19</v>
      </c>
      <c r="AE1452" t="n">
        <v>22</v>
      </c>
      <c r="AF1452" t="n">
        <v>4</v>
      </c>
      <c r="AG1452" t="n">
        <v>6</v>
      </c>
      <c r="AH1452" t="n">
        <v>5</v>
      </c>
      <c r="AI1452" t="n">
        <v>7</v>
      </c>
      <c r="AJ1452" t="n">
        <v>11</v>
      </c>
      <c r="AK1452" t="n">
        <v>11</v>
      </c>
      <c r="AL1452" t="n">
        <v>4</v>
      </c>
      <c r="AM1452" t="n">
        <v>4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HYPERLINK("http://catalog.hathitrust.org/Record/001493121","HathiTrust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HYPERLINK("https://creighton-primo.hosted.exlibrisgroup.com/primo-explore/search?tab=default_tab&amp;search_scope=EVERYTHING&amp;vid=01CRU&amp;lang=en_US&amp;offset=0&amp;query=any,contains,991001770209702656","Catalog Record")</f>
        <v/>
      </c>
      <c r="AT1452">
        <f>HYPERLINK("http://www.worldcat.org/oclc/10597","WorldCat Record")</f>
        <v/>
      </c>
      <c r="AU1452" t="inlineStr">
        <is>
          <t>352279515:eng</t>
        </is>
      </c>
      <c r="AV1452" t="inlineStr">
        <is>
          <t>10597</t>
        </is>
      </c>
      <c r="AW1452" t="inlineStr">
        <is>
          <t>991001770209702656</t>
        </is>
      </c>
      <c r="AX1452" t="inlineStr">
        <is>
          <t>991001770209702656</t>
        </is>
      </c>
      <c r="AY1452" t="inlineStr">
        <is>
          <t>2268092470002656</t>
        </is>
      </c>
      <c r="AZ1452" t="inlineStr">
        <is>
          <t>BOOK</t>
        </is>
      </c>
      <c r="BC1452" t="inlineStr">
        <is>
          <t>32285002935244</t>
        </is>
      </c>
      <c r="BD1452" t="inlineStr">
        <is>
          <t>893626822</t>
        </is>
      </c>
    </row>
    <row r="1453">
      <c r="A1453" t="inlineStr">
        <is>
          <t>No</t>
        </is>
      </c>
      <c r="B1453" t="inlineStr">
        <is>
          <t>QH605 .C757 1991</t>
        </is>
      </c>
      <c r="C1453" t="inlineStr">
        <is>
          <t>0                      QH 0605000C  757         1991</t>
        </is>
      </c>
      <c r="D1453" t="inlineStr">
        <is>
          <t>Control of cell growth and division / edited by Akira Ishihama and Hiroshi Yoshikawa.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L1453" t="inlineStr">
        <is>
          <t>Tokyo : Japan Scientific Societies Press ; Berlin ; New York : Springer-Verlag, 1991.</t>
        </is>
      </c>
      <c r="M1453" t="inlineStr">
        <is>
          <t>1991</t>
        </is>
      </c>
      <c r="O1453" t="inlineStr">
        <is>
          <t>eng</t>
        </is>
      </c>
      <c r="P1453" t="inlineStr">
        <is>
          <t xml:space="preserve">ja </t>
        </is>
      </c>
      <c r="R1453" t="inlineStr">
        <is>
          <t xml:space="preserve">QH </t>
        </is>
      </c>
      <c r="S1453" t="n">
        <v>6</v>
      </c>
      <c r="T1453" t="n">
        <v>6</v>
      </c>
      <c r="U1453" t="inlineStr">
        <is>
          <t>2002-02-20</t>
        </is>
      </c>
      <c r="V1453" t="inlineStr">
        <is>
          <t>2002-02-20</t>
        </is>
      </c>
      <c r="W1453" t="inlineStr">
        <is>
          <t>1992-12-16</t>
        </is>
      </c>
      <c r="X1453" t="inlineStr">
        <is>
          <t>1992-12-16</t>
        </is>
      </c>
      <c r="Y1453" t="n">
        <v>118</v>
      </c>
      <c r="Z1453" t="n">
        <v>89</v>
      </c>
      <c r="AA1453" t="n">
        <v>92</v>
      </c>
      <c r="AB1453" t="n">
        <v>2</v>
      </c>
      <c r="AC1453" t="n">
        <v>2</v>
      </c>
      <c r="AD1453" t="n">
        <v>6</v>
      </c>
      <c r="AE1453" t="n">
        <v>6</v>
      </c>
      <c r="AF1453" t="n">
        <v>1</v>
      </c>
      <c r="AG1453" t="n">
        <v>1</v>
      </c>
      <c r="AH1453" t="n">
        <v>3</v>
      </c>
      <c r="AI1453" t="n">
        <v>3</v>
      </c>
      <c r="AJ1453" t="n">
        <v>4</v>
      </c>
      <c r="AK1453" t="n">
        <v>4</v>
      </c>
      <c r="AL1453" t="n">
        <v>1</v>
      </c>
      <c r="AM1453" t="n">
        <v>1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HYPERLINK("http://catalog.hathitrust.org/Record/002507303","HathiTrust Record")</f>
        <v/>
      </c>
      <c r="AS1453">
        <f>HYPERLINK("https://creighton-primo.hosted.exlibrisgroup.com/primo-explore/search?tab=default_tab&amp;search_scope=EVERYTHING&amp;vid=01CRU&amp;lang=en_US&amp;offset=0&amp;query=any,contains,991002011689702656","Catalog Record")</f>
        <v/>
      </c>
      <c r="AT1453">
        <f>HYPERLINK("http://www.worldcat.org/oclc/25592687","WorldCat Record")</f>
        <v/>
      </c>
      <c r="AU1453" t="inlineStr">
        <is>
          <t>353966441:eng</t>
        </is>
      </c>
      <c r="AV1453" t="inlineStr">
        <is>
          <t>25592687</t>
        </is>
      </c>
      <c r="AW1453" t="inlineStr">
        <is>
          <t>991002011689702656</t>
        </is>
      </c>
      <c r="AX1453" t="inlineStr">
        <is>
          <t>991002011689702656</t>
        </is>
      </c>
      <c r="AY1453" t="inlineStr">
        <is>
          <t>2261043140002656</t>
        </is>
      </c>
      <c r="AZ1453" t="inlineStr">
        <is>
          <t>BOOK</t>
        </is>
      </c>
      <c r="BB1453" t="inlineStr">
        <is>
          <t>9780387539348</t>
        </is>
      </c>
      <c r="BC1453" t="inlineStr">
        <is>
          <t>32285001403137</t>
        </is>
      </c>
      <c r="BD1453" t="inlineStr">
        <is>
          <t>893609357</t>
        </is>
      </c>
    </row>
    <row r="1454">
      <c r="A1454" t="inlineStr">
        <is>
          <t>No</t>
        </is>
      </c>
      <c r="B1454" t="inlineStr">
        <is>
          <t>QH605 .E87 1991</t>
        </is>
      </c>
      <c r="C1454" t="inlineStr">
        <is>
          <t>0                      QH 0605000E  87          1991</t>
        </is>
      </c>
      <c r="D1454" t="inlineStr">
        <is>
          <t>Eukaryotic chromosomes : structural and functional aspects / editors, R.C. Sobti, G. Obe.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L1454" t="inlineStr">
        <is>
          <t>Berlin ; New York : Springer Verlag ; New Delhi : Narosa Publishing House, c1991.</t>
        </is>
      </c>
      <c r="M1454" t="inlineStr">
        <is>
          <t>1991</t>
        </is>
      </c>
      <c r="O1454" t="inlineStr">
        <is>
          <t>eng</t>
        </is>
      </c>
      <c r="P1454" t="inlineStr">
        <is>
          <t xml:space="preserve">gw </t>
        </is>
      </c>
      <c r="R1454" t="inlineStr">
        <is>
          <t xml:space="preserve">QH </t>
        </is>
      </c>
      <c r="S1454" t="n">
        <v>10</v>
      </c>
      <c r="T1454" t="n">
        <v>10</v>
      </c>
      <c r="U1454" t="inlineStr">
        <is>
          <t>2008-09-11</t>
        </is>
      </c>
      <c r="V1454" t="inlineStr">
        <is>
          <t>2008-09-11</t>
        </is>
      </c>
      <c r="W1454" t="inlineStr">
        <is>
          <t>1993-01-19</t>
        </is>
      </c>
      <c r="X1454" t="inlineStr">
        <is>
          <t>1993-01-19</t>
        </is>
      </c>
      <c r="Y1454" t="n">
        <v>143</v>
      </c>
      <c r="Z1454" t="n">
        <v>89</v>
      </c>
      <c r="AA1454" t="n">
        <v>91</v>
      </c>
      <c r="AB1454" t="n">
        <v>2</v>
      </c>
      <c r="AC1454" t="n">
        <v>2</v>
      </c>
      <c r="AD1454" t="n">
        <v>4</v>
      </c>
      <c r="AE1454" t="n">
        <v>4</v>
      </c>
      <c r="AF1454" t="n">
        <v>0</v>
      </c>
      <c r="AG1454" t="n">
        <v>0</v>
      </c>
      <c r="AH1454" t="n">
        <v>1</v>
      </c>
      <c r="AI1454" t="n">
        <v>1</v>
      </c>
      <c r="AJ1454" t="n">
        <v>3</v>
      </c>
      <c r="AK1454" t="n">
        <v>3</v>
      </c>
      <c r="AL1454" t="n">
        <v>1</v>
      </c>
      <c r="AM1454" t="n">
        <v>1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HYPERLINK("http://catalog.hathitrust.org/Record/002495439","HathiTrust Record")</f>
        <v/>
      </c>
      <c r="AS1454">
        <f>HYPERLINK("https://creighton-primo.hosted.exlibrisgroup.com/primo-explore/search?tab=default_tab&amp;search_scope=EVERYTHING&amp;vid=01CRU&amp;lang=en_US&amp;offset=0&amp;query=any,contains,991002033139702656","Catalog Record")</f>
        <v/>
      </c>
      <c r="AT1454">
        <f>HYPERLINK("http://www.worldcat.org/oclc/25876457","WorldCat Record")</f>
        <v/>
      </c>
      <c r="AU1454" t="inlineStr">
        <is>
          <t>871727554:eng</t>
        </is>
      </c>
      <c r="AV1454" t="inlineStr">
        <is>
          <t>25876457</t>
        </is>
      </c>
      <c r="AW1454" t="inlineStr">
        <is>
          <t>991002033139702656</t>
        </is>
      </c>
      <c r="AX1454" t="inlineStr">
        <is>
          <t>991002033139702656</t>
        </is>
      </c>
      <c r="AY1454" t="inlineStr">
        <is>
          <t>2268029510002656</t>
        </is>
      </c>
      <c r="AZ1454" t="inlineStr">
        <is>
          <t>BOOK</t>
        </is>
      </c>
      <c r="BB1454" t="inlineStr">
        <is>
          <t>9780387519029</t>
        </is>
      </c>
      <c r="BC1454" t="inlineStr">
        <is>
          <t>32285001446565</t>
        </is>
      </c>
      <c r="BD1454" t="inlineStr">
        <is>
          <t>893328606</t>
        </is>
      </c>
    </row>
    <row r="1455">
      <c r="A1455" t="inlineStr">
        <is>
          <t>No</t>
        </is>
      </c>
      <c r="B1455" t="inlineStr">
        <is>
          <t>QH605 .H275</t>
        </is>
      </c>
      <c r="C1455" t="inlineStr">
        <is>
          <t>0                      QH 0605000H  275</t>
        </is>
      </c>
      <c r="D1455" t="inlineStr">
        <is>
          <t>Cell growth and cell division.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Harris, R. J. C. (Robert John Cecil), 1922- editor.</t>
        </is>
      </c>
      <c r="L1455" t="inlineStr">
        <is>
          <t>New York : Academic Press, 1963.</t>
        </is>
      </c>
      <c r="M1455" t="inlineStr">
        <is>
          <t>1963</t>
        </is>
      </c>
      <c r="O1455" t="inlineStr">
        <is>
          <t>eng</t>
        </is>
      </c>
      <c r="P1455" t="inlineStr">
        <is>
          <t>nyu</t>
        </is>
      </c>
      <c r="Q1455" t="inlineStr">
        <is>
          <t>Symposia of the International Society for Cell Biology, v. 2</t>
        </is>
      </c>
      <c r="R1455" t="inlineStr">
        <is>
          <t xml:space="preserve">QH </t>
        </is>
      </c>
      <c r="S1455" t="n">
        <v>3</v>
      </c>
      <c r="T1455" t="n">
        <v>3</v>
      </c>
      <c r="U1455" t="inlineStr">
        <is>
          <t>1995-09-30</t>
        </is>
      </c>
      <c r="V1455" t="inlineStr">
        <is>
          <t>1995-09-30</t>
        </is>
      </c>
      <c r="W1455" t="inlineStr">
        <is>
          <t>1992-04-01</t>
        </is>
      </c>
      <c r="X1455" t="inlineStr">
        <is>
          <t>1992-04-01</t>
        </is>
      </c>
      <c r="Y1455" t="n">
        <v>484</v>
      </c>
      <c r="Z1455" t="n">
        <v>365</v>
      </c>
      <c r="AA1455" t="n">
        <v>415</v>
      </c>
      <c r="AB1455" t="n">
        <v>2</v>
      </c>
      <c r="AC1455" t="n">
        <v>2</v>
      </c>
      <c r="AD1455" t="n">
        <v>19</v>
      </c>
      <c r="AE1455" t="n">
        <v>22</v>
      </c>
      <c r="AF1455" t="n">
        <v>7</v>
      </c>
      <c r="AG1455" t="n">
        <v>9</v>
      </c>
      <c r="AH1455" t="n">
        <v>5</v>
      </c>
      <c r="AI1455" t="n">
        <v>7</v>
      </c>
      <c r="AJ1455" t="n">
        <v>12</v>
      </c>
      <c r="AK1455" t="n">
        <v>12</v>
      </c>
      <c r="AL1455" t="n">
        <v>1</v>
      </c>
      <c r="AM1455" t="n">
        <v>1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No</t>
        </is>
      </c>
      <c r="AR1455">
        <f>HYPERLINK("http://catalog.hathitrust.org/Record/001493134","HathiTrust Record")</f>
        <v/>
      </c>
      <c r="AS1455">
        <f>HYPERLINK("https://creighton-primo.hosted.exlibrisgroup.com/primo-explore/search?tab=default_tab&amp;search_scope=EVERYTHING&amp;vid=01CRU&amp;lang=en_US&amp;offset=0&amp;query=any,contains,991002982839702656","Catalog Record")</f>
        <v/>
      </c>
      <c r="AT1455">
        <f>HYPERLINK("http://www.worldcat.org/oclc/555805","WorldCat Record")</f>
        <v/>
      </c>
      <c r="AU1455" t="inlineStr">
        <is>
          <t>1616034:eng</t>
        </is>
      </c>
      <c r="AV1455" t="inlineStr">
        <is>
          <t>555805</t>
        </is>
      </c>
      <c r="AW1455" t="inlineStr">
        <is>
          <t>991002982839702656</t>
        </is>
      </c>
      <c r="AX1455" t="inlineStr">
        <is>
          <t>991002982839702656</t>
        </is>
      </c>
      <c r="AY1455" t="inlineStr">
        <is>
          <t>2260404240002656</t>
        </is>
      </c>
      <c r="AZ1455" t="inlineStr">
        <is>
          <t>BOOK</t>
        </is>
      </c>
      <c r="BC1455" t="inlineStr">
        <is>
          <t>32285001030773</t>
        </is>
      </c>
      <c r="BD1455" t="inlineStr">
        <is>
          <t>893498802</t>
        </is>
      </c>
    </row>
    <row r="1456">
      <c r="A1456" t="inlineStr">
        <is>
          <t>No</t>
        </is>
      </c>
      <c r="B1456" t="inlineStr">
        <is>
          <t>QH605 .H76 1952a</t>
        </is>
      </c>
      <c r="C1456" t="inlineStr">
        <is>
          <t>0                      QH 0605000H  76          1952a</t>
        </is>
      </c>
      <c r="D1456" t="inlineStr">
        <is>
          <t>The mitotic cycle; the cytoplasm and nucleus during interphase and mitosis.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Hughes, Arthur Frederick William, 1908-</t>
        </is>
      </c>
      <c r="L1456" t="inlineStr">
        <is>
          <t>New York, Academic Press, 1952.</t>
        </is>
      </c>
      <c r="M1456" t="inlineStr">
        <is>
          <t>1952</t>
        </is>
      </c>
      <c r="N1456" t="inlineStr">
        <is>
          <t>[1st ed.]</t>
        </is>
      </c>
      <c r="O1456" t="inlineStr">
        <is>
          <t>eng</t>
        </is>
      </c>
      <c r="P1456" t="inlineStr">
        <is>
          <t>nyu</t>
        </is>
      </c>
      <c r="R1456" t="inlineStr">
        <is>
          <t xml:space="preserve">QH </t>
        </is>
      </c>
      <c r="S1456" t="n">
        <v>3</v>
      </c>
      <c r="T1456" t="n">
        <v>3</v>
      </c>
      <c r="U1456" t="inlineStr">
        <is>
          <t>1998-09-28</t>
        </is>
      </c>
      <c r="V1456" t="inlineStr">
        <is>
          <t>1998-09-28</t>
        </is>
      </c>
      <c r="W1456" t="inlineStr">
        <is>
          <t>1997-07-14</t>
        </is>
      </c>
      <c r="X1456" t="inlineStr">
        <is>
          <t>1997-07-14</t>
        </is>
      </c>
      <c r="Y1456" t="n">
        <v>144</v>
      </c>
      <c r="Z1456" t="n">
        <v>138</v>
      </c>
      <c r="AA1456" t="n">
        <v>224</v>
      </c>
      <c r="AB1456" t="n">
        <v>1</v>
      </c>
      <c r="AC1456" t="n">
        <v>3</v>
      </c>
      <c r="AD1456" t="n">
        <v>10</v>
      </c>
      <c r="AE1456" t="n">
        <v>16</v>
      </c>
      <c r="AF1456" t="n">
        <v>4</v>
      </c>
      <c r="AG1456" t="n">
        <v>4</v>
      </c>
      <c r="AH1456" t="n">
        <v>2</v>
      </c>
      <c r="AI1456" t="n">
        <v>4</v>
      </c>
      <c r="AJ1456" t="n">
        <v>8</v>
      </c>
      <c r="AK1456" t="n">
        <v>11</v>
      </c>
      <c r="AL1456" t="n">
        <v>0</v>
      </c>
      <c r="AM1456" t="n">
        <v>2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No</t>
        </is>
      </c>
      <c r="AR1456">
        <f>HYPERLINK("http://catalog.hathitrust.org/Record/001493138","HathiTrust Record")</f>
        <v/>
      </c>
      <c r="AS1456">
        <f>HYPERLINK("https://creighton-primo.hosted.exlibrisgroup.com/primo-explore/search?tab=default_tab&amp;search_scope=EVERYTHING&amp;vid=01CRU&amp;lang=en_US&amp;offset=0&amp;query=any,contains,991004627599702656","Catalog Record")</f>
        <v/>
      </c>
      <c r="AT1456">
        <f>HYPERLINK("http://www.worldcat.org/oclc/4349432","WorldCat Record")</f>
        <v/>
      </c>
      <c r="AU1456" t="inlineStr">
        <is>
          <t>351164330:eng</t>
        </is>
      </c>
      <c r="AV1456" t="inlineStr">
        <is>
          <t>4349432</t>
        </is>
      </c>
      <c r="AW1456" t="inlineStr">
        <is>
          <t>991004627599702656</t>
        </is>
      </c>
      <c r="AX1456" t="inlineStr">
        <is>
          <t>991004627599702656</t>
        </is>
      </c>
      <c r="AY1456" t="inlineStr">
        <is>
          <t>2266235680002656</t>
        </is>
      </c>
      <c r="AZ1456" t="inlineStr">
        <is>
          <t>BOOK</t>
        </is>
      </c>
      <c r="BC1456" t="inlineStr">
        <is>
          <t>32285002935335</t>
        </is>
      </c>
      <c r="BD1456" t="inlineStr">
        <is>
          <t>893519874</t>
        </is>
      </c>
    </row>
    <row r="1457">
      <c r="A1457" t="inlineStr">
        <is>
          <t>No</t>
        </is>
      </c>
      <c r="B1457" t="inlineStr">
        <is>
          <t>QH605 .M69 1987</t>
        </is>
      </c>
      <c r="C1457" t="inlineStr">
        <is>
          <t>0                      QH 0605000M  69          1987</t>
        </is>
      </c>
      <c r="D1457" t="inlineStr">
        <is>
          <t>Molecular regulation of nuclear events in mitosis and meiosis / edited by Robert A. Schlegel, Margaret S. Halleck, Potu N. Rao.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Orlando : Academic Press, 1987.</t>
        </is>
      </c>
      <c r="M1457" t="inlineStr">
        <is>
          <t>1987</t>
        </is>
      </c>
      <c r="O1457" t="inlineStr">
        <is>
          <t>eng</t>
        </is>
      </c>
      <c r="P1457" t="inlineStr">
        <is>
          <t>flu</t>
        </is>
      </c>
      <c r="Q1457" t="inlineStr">
        <is>
          <t>Cell biology</t>
        </is>
      </c>
      <c r="R1457" t="inlineStr">
        <is>
          <t xml:space="preserve">QH </t>
        </is>
      </c>
      <c r="S1457" t="n">
        <v>6</v>
      </c>
      <c r="T1457" t="n">
        <v>6</v>
      </c>
      <c r="U1457" t="inlineStr">
        <is>
          <t>1998-09-28</t>
        </is>
      </c>
      <c r="V1457" t="inlineStr">
        <is>
          <t>1998-09-28</t>
        </is>
      </c>
      <c r="W1457" t="inlineStr">
        <is>
          <t>1992-02-25</t>
        </is>
      </c>
      <c r="X1457" t="inlineStr">
        <is>
          <t>1992-02-25</t>
        </is>
      </c>
      <c r="Y1457" t="n">
        <v>281</v>
      </c>
      <c r="Z1457" t="n">
        <v>210</v>
      </c>
      <c r="AA1457" t="n">
        <v>255</v>
      </c>
      <c r="AB1457" t="n">
        <v>1</v>
      </c>
      <c r="AC1457" t="n">
        <v>1</v>
      </c>
      <c r="AD1457" t="n">
        <v>7</v>
      </c>
      <c r="AE1457" t="n">
        <v>10</v>
      </c>
      <c r="AF1457" t="n">
        <v>1</v>
      </c>
      <c r="AG1457" t="n">
        <v>3</v>
      </c>
      <c r="AH1457" t="n">
        <v>3</v>
      </c>
      <c r="AI1457" t="n">
        <v>5</v>
      </c>
      <c r="AJ1457" t="n">
        <v>5</v>
      </c>
      <c r="AK1457" t="n">
        <v>5</v>
      </c>
      <c r="AL1457" t="n">
        <v>0</v>
      </c>
      <c r="AM1457" t="n">
        <v>0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HYPERLINK("http://catalog.hathitrust.org/Record/000818319","HathiTrust Record")</f>
        <v/>
      </c>
      <c r="AS1457">
        <f>HYPERLINK("https://creighton-primo.hosted.exlibrisgroup.com/primo-explore/search?tab=default_tab&amp;search_scope=EVERYTHING&amp;vid=01CRU&amp;lang=en_US&amp;offset=0&amp;query=any,contains,991000892239702656","Catalog Record")</f>
        <v/>
      </c>
      <c r="AT1457">
        <f>HYPERLINK("http://www.worldcat.org/oclc/13945243","WorldCat Record")</f>
        <v/>
      </c>
      <c r="AU1457" t="inlineStr">
        <is>
          <t>350449246:eng</t>
        </is>
      </c>
      <c r="AV1457" t="inlineStr">
        <is>
          <t>13945243</t>
        </is>
      </c>
      <c r="AW1457" t="inlineStr">
        <is>
          <t>991000892239702656</t>
        </is>
      </c>
      <c r="AX1457" t="inlineStr">
        <is>
          <t>991000892239702656</t>
        </is>
      </c>
      <c r="AY1457" t="inlineStr">
        <is>
          <t>2258926340002656</t>
        </is>
      </c>
      <c r="AZ1457" t="inlineStr">
        <is>
          <t>BOOK</t>
        </is>
      </c>
      <c r="BB1457" t="inlineStr">
        <is>
          <t>9780126251159</t>
        </is>
      </c>
      <c r="BC1457" t="inlineStr">
        <is>
          <t>32285000982776</t>
        </is>
      </c>
      <c r="BD1457" t="inlineStr">
        <is>
          <t>893426131</t>
        </is>
      </c>
    </row>
    <row r="1458">
      <c r="A1458" t="inlineStr">
        <is>
          <t>No</t>
        </is>
      </c>
      <c r="B1458" t="inlineStr">
        <is>
          <t>QH605 .M95 1993</t>
        </is>
      </c>
      <c r="C1458" t="inlineStr">
        <is>
          <t>0                      QH 0605000M  95          1993</t>
        </is>
      </c>
      <c r="D1458" t="inlineStr">
        <is>
          <t>The cell cycle : an introduction / Andrew Murray, Tim Hunt.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Murray, Andrew Wood.</t>
        </is>
      </c>
      <c r="L1458" t="inlineStr">
        <is>
          <t>New York : Oxford University Press, c1993.</t>
        </is>
      </c>
      <c r="M1458" t="inlineStr">
        <is>
          <t>1993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QH </t>
        </is>
      </c>
      <c r="S1458" t="n">
        <v>5</v>
      </c>
      <c r="T1458" t="n">
        <v>5</v>
      </c>
      <c r="U1458" t="inlineStr">
        <is>
          <t>2008-10-11</t>
        </is>
      </c>
      <c r="V1458" t="inlineStr">
        <is>
          <t>2008-10-11</t>
        </is>
      </c>
      <c r="W1458" t="inlineStr">
        <is>
          <t>1995-07-05</t>
        </is>
      </c>
      <c r="X1458" t="inlineStr">
        <is>
          <t>1995-07-05</t>
        </is>
      </c>
      <c r="Y1458" t="n">
        <v>470</v>
      </c>
      <c r="Z1458" t="n">
        <v>353</v>
      </c>
      <c r="AA1458" t="n">
        <v>734</v>
      </c>
      <c r="AB1458" t="n">
        <v>4</v>
      </c>
      <c r="AC1458" t="n">
        <v>6</v>
      </c>
      <c r="AD1458" t="n">
        <v>17</v>
      </c>
      <c r="AE1458" t="n">
        <v>40</v>
      </c>
      <c r="AF1458" t="n">
        <v>5</v>
      </c>
      <c r="AG1458" t="n">
        <v>15</v>
      </c>
      <c r="AH1458" t="n">
        <v>3</v>
      </c>
      <c r="AI1458" t="n">
        <v>7</v>
      </c>
      <c r="AJ1458" t="n">
        <v>8</v>
      </c>
      <c r="AK1458" t="n">
        <v>20</v>
      </c>
      <c r="AL1458" t="n">
        <v>3</v>
      </c>
      <c r="AM1458" t="n">
        <v>5</v>
      </c>
      <c r="AN1458" t="n">
        <v>0</v>
      </c>
      <c r="AO1458" t="n">
        <v>0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HYPERLINK("https://creighton-primo.hosted.exlibrisgroup.com/primo-explore/search?tab=default_tab&amp;search_scope=EVERYTHING&amp;vid=01CRU&amp;lang=en_US&amp;offset=0&amp;query=any,contains,991002385309702656","Catalog Record")</f>
        <v/>
      </c>
      <c r="AT1458">
        <f>HYPERLINK("http://www.worldcat.org/oclc/31003347","WorldCat Record")</f>
        <v/>
      </c>
      <c r="AU1458" t="inlineStr">
        <is>
          <t>807421552:eng</t>
        </is>
      </c>
      <c r="AV1458" t="inlineStr">
        <is>
          <t>31003347</t>
        </is>
      </c>
      <c r="AW1458" t="inlineStr">
        <is>
          <t>991002385309702656</t>
        </is>
      </c>
      <c r="AX1458" t="inlineStr">
        <is>
          <t>991002385309702656</t>
        </is>
      </c>
      <c r="AY1458" t="inlineStr">
        <is>
          <t>2267820450002656</t>
        </is>
      </c>
      <c r="AZ1458" t="inlineStr">
        <is>
          <t>BOOK</t>
        </is>
      </c>
      <c r="BB1458" t="inlineStr">
        <is>
          <t>9780195095296</t>
        </is>
      </c>
      <c r="BC1458" t="inlineStr">
        <is>
          <t>32285002053212</t>
        </is>
      </c>
      <c r="BD1458" t="inlineStr">
        <is>
          <t>893873448</t>
        </is>
      </c>
    </row>
    <row r="1459">
      <c r="A1459" t="inlineStr">
        <is>
          <t>No</t>
        </is>
      </c>
      <c r="B1459" t="inlineStr">
        <is>
          <t>QH605 .S565 1999</t>
        </is>
      </c>
      <c r="C1459" t="inlineStr">
        <is>
          <t>0                      QH 0605000S  565         1999</t>
        </is>
      </c>
      <c r="D1459" t="inlineStr">
        <is>
          <t>The society of cells : cancer and control of cell proliferation / C. Sonnenschein and A.M. Soto.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Sonnenschein, C. (Carlos)</t>
        </is>
      </c>
      <c r="L1459" t="inlineStr">
        <is>
          <t>Oxford : Bios Scientific Publishers ; New York : Springer, 1999.</t>
        </is>
      </c>
      <c r="M1459" t="inlineStr">
        <is>
          <t>1999</t>
        </is>
      </c>
      <c r="O1459" t="inlineStr">
        <is>
          <t>eng</t>
        </is>
      </c>
      <c r="P1459" t="inlineStr">
        <is>
          <t>enk</t>
        </is>
      </c>
      <c r="R1459" t="inlineStr">
        <is>
          <t xml:space="preserve">QH </t>
        </is>
      </c>
      <c r="S1459" t="n">
        <v>3</v>
      </c>
      <c r="T1459" t="n">
        <v>3</v>
      </c>
      <c r="U1459" t="inlineStr">
        <is>
          <t>2001-06-20</t>
        </is>
      </c>
      <c r="V1459" t="inlineStr">
        <is>
          <t>2001-06-20</t>
        </is>
      </c>
      <c r="W1459" t="inlineStr">
        <is>
          <t>2000-07-25</t>
        </is>
      </c>
      <c r="X1459" t="inlineStr">
        <is>
          <t>2000-07-25</t>
        </is>
      </c>
      <c r="Y1459" t="n">
        <v>379</v>
      </c>
      <c r="Z1459" t="n">
        <v>334</v>
      </c>
      <c r="AA1459" t="n">
        <v>357</v>
      </c>
      <c r="AB1459" t="n">
        <v>2</v>
      </c>
      <c r="AC1459" t="n">
        <v>3</v>
      </c>
      <c r="AD1459" t="n">
        <v>14</v>
      </c>
      <c r="AE1459" t="n">
        <v>15</v>
      </c>
      <c r="AF1459" t="n">
        <v>4</v>
      </c>
      <c r="AG1459" t="n">
        <v>4</v>
      </c>
      <c r="AH1459" t="n">
        <v>3</v>
      </c>
      <c r="AI1459" t="n">
        <v>3</v>
      </c>
      <c r="AJ1459" t="n">
        <v>9</v>
      </c>
      <c r="AK1459" t="n">
        <v>9</v>
      </c>
      <c r="AL1459" t="n">
        <v>1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HYPERLINK("http://catalog.hathitrust.org/Record/004016388","HathiTrust Record")</f>
        <v/>
      </c>
      <c r="AS1459">
        <f>HYPERLINK("https://creighton-primo.hosted.exlibrisgroup.com/primo-explore/search?tab=default_tab&amp;search_scope=EVERYTHING&amp;vid=01CRU&amp;lang=en_US&amp;offset=0&amp;query=any,contains,991003216949702656","Catalog Record")</f>
        <v/>
      </c>
      <c r="AT1459">
        <f>HYPERLINK("http://www.worldcat.org/oclc/39912699","WorldCat Record")</f>
        <v/>
      </c>
      <c r="AU1459" t="inlineStr">
        <is>
          <t>793842510:eng</t>
        </is>
      </c>
      <c r="AV1459" t="inlineStr">
        <is>
          <t>39912699</t>
        </is>
      </c>
      <c r="AW1459" t="inlineStr">
        <is>
          <t>991003216949702656</t>
        </is>
      </c>
      <c r="AX1459" t="inlineStr">
        <is>
          <t>991003216949702656</t>
        </is>
      </c>
      <c r="AY1459" t="inlineStr">
        <is>
          <t>2266801360002656</t>
        </is>
      </c>
      <c r="AZ1459" t="inlineStr">
        <is>
          <t>BOOK</t>
        </is>
      </c>
      <c r="BB1459" t="inlineStr">
        <is>
          <t>9780387915838</t>
        </is>
      </c>
      <c r="BC1459" t="inlineStr">
        <is>
          <t>32285003742045</t>
        </is>
      </c>
      <c r="BD1459" t="inlineStr">
        <is>
          <t>893592302</t>
        </is>
      </c>
    </row>
    <row r="1460">
      <c r="A1460" t="inlineStr">
        <is>
          <t>No</t>
        </is>
      </c>
      <c r="B1460" t="inlineStr">
        <is>
          <t>QH605.2 .M55</t>
        </is>
      </c>
      <c r="C1460" t="inlineStr">
        <is>
          <t>0                      QH 0605200M  55</t>
        </is>
      </c>
      <c r="D1460" t="inlineStr">
        <is>
          <t>Mitosis/cytokinesis / edited by Arthur M. Zimmerman, Arthur Forer.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L1460" t="inlineStr">
        <is>
          <t>New York : Academic Press, 1981.</t>
        </is>
      </c>
      <c r="M1460" t="inlineStr">
        <is>
          <t>1981</t>
        </is>
      </c>
      <c r="O1460" t="inlineStr">
        <is>
          <t>eng</t>
        </is>
      </c>
      <c r="P1460" t="inlineStr">
        <is>
          <t>nyu</t>
        </is>
      </c>
      <c r="Q1460" t="inlineStr">
        <is>
          <t>Cell biology</t>
        </is>
      </c>
      <c r="R1460" t="inlineStr">
        <is>
          <t xml:space="preserve">QH </t>
        </is>
      </c>
      <c r="S1460" t="n">
        <v>5</v>
      </c>
      <c r="T1460" t="n">
        <v>5</v>
      </c>
      <c r="U1460" t="inlineStr">
        <is>
          <t>1998-09-28</t>
        </is>
      </c>
      <c r="V1460" t="inlineStr">
        <is>
          <t>1998-09-28</t>
        </is>
      </c>
      <c r="W1460" t="inlineStr">
        <is>
          <t>1993-05-12</t>
        </is>
      </c>
      <c r="X1460" t="inlineStr">
        <is>
          <t>1993-05-12</t>
        </is>
      </c>
      <c r="Y1460" t="n">
        <v>303</v>
      </c>
      <c r="Z1460" t="n">
        <v>226</v>
      </c>
      <c r="AA1460" t="n">
        <v>269</v>
      </c>
      <c r="AB1460" t="n">
        <v>2</v>
      </c>
      <c r="AC1460" t="n">
        <v>3</v>
      </c>
      <c r="AD1460" t="n">
        <v>9</v>
      </c>
      <c r="AE1460" t="n">
        <v>13</v>
      </c>
      <c r="AF1460" t="n">
        <v>2</v>
      </c>
      <c r="AG1460" t="n">
        <v>4</v>
      </c>
      <c r="AH1460" t="n">
        <v>3</v>
      </c>
      <c r="AI1460" t="n">
        <v>5</v>
      </c>
      <c r="AJ1460" t="n">
        <v>6</v>
      </c>
      <c r="AK1460" t="n">
        <v>6</v>
      </c>
      <c r="AL1460" t="n">
        <v>1</v>
      </c>
      <c r="AM1460" t="n">
        <v>2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HYPERLINK("http://catalog.hathitrust.org/Record/007902058","HathiTrust Record")</f>
        <v/>
      </c>
      <c r="AS1460">
        <f>HYPERLINK("https://creighton-primo.hosted.exlibrisgroup.com/primo-explore/search?tab=default_tab&amp;search_scope=EVERYTHING&amp;vid=01CRU&amp;lang=en_US&amp;offset=0&amp;query=any,contains,991005167649702656","Catalog Record")</f>
        <v/>
      </c>
      <c r="AT1460">
        <f>HYPERLINK("http://www.worldcat.org/oclc/7836917","WorldCat Record")</f>
        <v/>
      </c>
      <c r="AU1460" t="inlineStr">
        <is>
          <t>353715203:eng</t>
        </is>
      </c>
      <c r="AV1460" t="inlineStr">
        <is>
          <t>7836917</t>
        </is>
      </c>
      <c r="AW1460" t="inlineStr">
        <is>
          <t>991005167649702656</t>
        </is>
      </c>
      <c r="AX1460" t="inlineStr">
        <is>
          <t>991005167649702656</t>
        </is>
      </c>
      <c r="AY1460" t="inlineStr">
        <is>
          <t>2255324110002656</t>
        </is>
      </c>
      <c r="AZ1460" t="inlineStr">
        <is>
          <t>BOOK</t>
        </is>
      </c>
      <c r="BB1460" t="inlineStr">
        <is>
          <t>9780127812403</t>
        </is>
      </c>
      <c r="BC1460" t="inlineStr">
        <is>
          <t>32285001643559</t>
        </is>
      </c>
      <c r="BD1460" t="inlineStr">
        <is>
          <t>893707380</t>
        </is>
      </c>
    </row>
    <row r="1461">
      <c r="A1461" t="inlineStr">
        <is>
          <t>No</t>
        </is>
      </c>
      <c r="B1461" t="inlineStr">
        <is>
          <t>QH605.3 .M45 1987</t>
        </is>
      </c>
      <c r="C1461" t="inlineStr">
        <is>
          <t>0                      QH 0605300M  45          1987</t>
        </is>
      </c>
      <c r="D1461" t="inlineStr">
        <is>
          <t>Meiosis / edited by Peter B. Moens.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Orlando : Academic Press, 1987.</t>
        </is>
      </c>
      <c r="M1461" t="inlineStr">
        <is>
          <t>1987</t>
        </is>
      </c>
      <c r="O1461" t="inlineStr">
        <is>
          <t>eng</t>
        </is>
      </c>
      <c r="P1461" t="inlineStr">
        <is>
          <t>flu</t>
        </is>
      </c>
      <c r="Q1461" t="inlineStr">
        <is>
          <t>Cell biology</t>
        </is>
      </c>
      <c r="R1461" t="inlineStr">
        <is>
          <t xml:space="preserve">QH </t>
        </is>
      </c>
      <c r="S1461" t="n">
        <v>3</v>
      </c>
      <c r="T1461" t="n">
        <v>3</v>
      </c>
      <c r="U1461" t="inlineStr">
        <is>
          <t>1992-03-02</t>
        </is>
      </c>
      <c r="V1461" t="inlineStr">
        <is>
          <t>1992-03-02</t>
        </is>
      </c>
      <c r="W1461" t="inlineStr">
        <is>
          <t>1992-02-25</t>
        </is>
      </c>
      <c r="X1461" t="inlineStr">
        <is>
          <t>1992-02-25</t>
        </is>
      </c>
      <c r="Y1461" t="n">
        <v>308</v>
      </c>
      <c r="Z1461" t="n">
        <v>225</v>
      </c>
      <c r="AA1461" t="n">
        <v>274</v>
      </c>
      <c r="AB1461" t="n">
        <v>2</v>
      </c>
      <c r="AC1461" t="n">
        <v>3</v>
      </c>
      <c r="AD1461" t="n">
        <v>9</v>
      </c>
      <c r="AE1461" t="n">
        <v>13</v>
      </c>
      <c r="AF1461" t="n">
        <v>1</v>
      </c>
      <c r="AG1461" t="n">
        <v>3</v>
      </c>
      <c r="AH1461" t="n">
        <v>3</v>
      </c>
      <c r="AI1461" t="n">
        <v>5</v>
      </c>
      <c r="AJ1461" t="n">
        <v>5</v>
      </c>
      <c r="AK1461" t="n">
        <v>5</v>
      </c>
      <c r="AL1461" t="n">
        <v>1</v>
      </c>
      <c r="AM1461" t="n">
        <v>2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HYPERLINK("http://catalog.hathitrust.org/Record/000806600","HathiTrust Record")</f>
        <v/>
      </c>
      <c r="AS1461">
        <f>HYPERLINK("https://creighton-primo.hosted.exlibrisgroup.com/primo-explore/search?tab=default_tab&amp;search_scope=EVERYTHING&amp;vid=01CRU&amp;lang=en_US&amp;offset=0&amp;query=any,contains,991000851279702656","Catalog Record")</f>
        <v/>
      </c>
      <c r="AT1461">
        <f>HYPERLINK("http://www.worldcat.org/oclc/13582750","WorldCat Record")</f>
        <v/>
      </c>
      <c r="AU1461" t="inlineStr">
        <is>
          <t>54818260:eng</t>
        </is>
      </c>
      <c r="AV1461" t="inlineStr">
        <is>
          <t>13582750</t>
        </is>
      </c>
      <c r="AW1461" t="inlineStr">
        <is>
          <t>991000851279702656</t>
        </is>
      </c>
      <c r="AX1461" t="inlineStr">
        <is>
          <t>991000851279702656</t>
        </is>
      </c>
      <c r="AY1461" t="inlineStr">
        <is>
          <t>2258961620002656</t>
        </is>
      </c>
      <c r="AZ1461" t="inlineStr">
        <is>
          <t>BOOK</t>
        </is>
      </c>
      <c r="BB1461" t="inlineStr">
        <is>
          <t>9780125033657</t>
        </is>
      </c>
      <c r="BC1461" t="inlineStr">
        <is>
          <t>32285000982792</t>
        </is>
      </c>
      <c r="BD1461" t="inlineStr">
        <is>
          <t>893413738</t>
        </is>
      </c>
    </row>
    <row r="1462">
      <c r="A1462" t="inlineStr">
        <is>
          <t>No</t>
        </is>
      </c>
      <c r="B1462" t="inlineStr">
        <is>
          <t>QH607 .D465 1997</t>
        </is>
      </c>
      <c r="C1462" t="inlineStr">
        <is>
          <t>0                      QH 0607000D  465         1997</t>
        </is>
      </c>
      <c r="D1462" t="inlineStr">
        <is>
          <t>Genomic potential of differentiated cells / Marie A. Di Berardino.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DiBerardino, M. A.</t>
        </is>
      </c>
      <c r="L1462" t="inlineStr">
        <is>
          <t>New York : Columbia University Press, c1997.</t>
        </is>
      </c>
      <c r="M1462" t="inlineStr">
        <is>
          <t>1997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QH </t>
        </is>
      </c>
      <c r="S1462" t="n">
        <v>2</v>
      </c>
      <c r="T1462" t="n">
        <v>2</v>
      </c>
      <c r="U1462" t="inlineStr">
        <is>
          <t>1997-09-09</t>
        </is>
      </c>
      <c r="V1462" t="inlineStr">
        <is>
          <t>1997-09-09</t>
        </is>
      </c>
      <c r="W1462" t="inlineStr">
        <is>
          <t>1997-08-22</t>
        </is>
      </c>
      <c r="X1462" t="inlineStr">
        <is>
          <t>1997-08-22</t>
        </is>
      </c>
      <c r="Y1462" t="n">
        <v>284</v>
      </c>
      <c r="Z1462" t="n">
        <v>243</v>
      </c>
      <c r="AA1462" t="n">
        <v>243</v>
      </c>
      <c r="AB1462" t="n">
        <v>2</v>
      </c>
      <c r="AC1462" t="n">
        <v>2</v>
      </c>
      <c r="AD1462" t="n">
        <v>10</v>
      </c>
      <c r="AE1462" t="n">
        <v>10</v>
      </c>
      <c r="AF1462" t="n">
        <v>2</v>
      </c>
      <c r="AG1462" t="n">
        <v>2</v>
      </c>
      <c r="AH1462" t="n">
        <v>4</v>
      </c>
      <c r="AI1462" t="n">
        <v>4</v>
      </c>
      <c r="AJ1462" t="n">
        <v>6</v>
      </c>
      <c r="AK1462" t="n">
        <v>6</v>
      </c>
      <c r="AL1462" t="n">
        <v>1</v>
      </c>
      <c r="AM1462" t="n">
        <v>1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HYPERLINK("https://creighton-primo.hosted.exlibrisgroup.com/primo-explore/search?tab=default_tab&amp;search_scope=EVERYTHING&amp;vid=01CRU&amp;lang=en_US&amp;offset=0&amp;query=any,contains,991002690599702656","Catalog Record")</f>
        <v/>
      </c>
      <c r="AT1462">
        <f>HYPERLINK("http://www.worldcat.org/oclc/35145924","WorldCat Record")</f>
        <v/>
      </c>
      <c r="AU1462" t="inlineStr">
        <is>
          <t>41016136:eng</t>
        </is>
      </c>
      <c r="AV1462" t="inlineStr">
        <is>
          <t>35145924</t>
        </is>
      </c>
      <c r="AW1462" t="inlineStr">
        <is>
          <t>991002690599702656</t>
        </is>
      </c>
      <c r="AX1462" t="inlineStr">
        <is>
          <t>991002690599702656</t>
        </is>
      </c>
      <c r="AY1462" t="inlineStr">
        <is>
          <t>2263163280002656</t>
        </is>
      </c>
      <c r="AZ1462" t="inlineStr">
        <is>
          <t>BOOK</t>
        </is>
      </c>
      <c r="BB1462" t="inlineStr">
        <is>
          <t>9780231069861</t>
        </is>
      </c>
      <c r="BC1462" t="inlineStr">
        <is>
          <t>32285003001772</t>
        </is>
      </c>
      <c r="BD1462" t="inlineStr">
        <is>
          <t>893323243</t>
        </is>
      </c>
    </row>
    <row r="1463">
      <c r="A1463" t="inlineStr">
        <is>
          <t>No</t>
        </is>
      </c>
      <c r="B1463" t="inlineStr">
        <is>
          <t>QH607 .M3 1977</t>
        </is>
      </c>
      <c r="C1463" t="inlineStr">
        <is>
          <t>0                      QH 0607000M  3           1977</t>
        </is>
      </c>
      <c r="D1463" t="inlineStr">
        <is>
          <t>The differentiation of cells / Norman Maclean.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Maclean, Norman, 1932-</t>
        </is>
      </c>
      <c r="L1463" t="inlineStr">
        <is>
          <t>Baltimore : University Park Press, 1977.</t>
        </is>
      </c>
      <c r="M1463" t="inlineStr">
        <is>
          <t>1977</t>
        </is>
      </c>
      <c r="O1463" t="inlineStr">
        <is>
          <t>eng</t>
        </is>
      </c>
      <c r="P1463" t="inlineStr">
        <is>
          <t>mdu</t>
        </is>
      </c>
      <c r="Q1463" t="inlineStr">
        <is>
          <t>Genetics, principles and perspectives ; 1</t>
        </is>
      </c>
      <c r="R1463" t="inlineStr">
        <is>
          <t xml:space="preserve">QH </t>
        </is>
      </c>
      <c r="S1463" t="n">
        <v>2</v>
      </c>
      <c r="T1463" t="n">
        <v>2</v>
      </c>
      <c r="U1463" t="inlineStr">
        <is>
          <t>1995-09-22</t>
        </is>
      </c>
      <c r="V1463" t="inlineStr">
        <is>
          <t>1995-09-22</t>
        </is>
      </c>
      <c r="W1463" t="inlineStr">
        <is>
          <t>1994-06-22</t>
        </is>
      </c>
      <c r="X1463" t="inlineStr">
        <is>
          <t>1994-06-22</t>
        </is>
      </c>
      <c r="Y1463" t="n">
        <v>405</v>
      </c>
      <c r="Z1463" t="n">
        <v>381</v>
      </c>
      <c r="AA1463" t="n">
        <v>429</v>
      </c>
      <c r="AB1463" t="n">
        <v>6</v>
      </c>
      <c r="AC1463" t="n">
        <v>7</v>
      </c>
      <c r="AD1463" t="n">
        <v>18</v>
      </c>
      <c r="AE1463" t="n">
        <v>20</v>
      </c>
      <c r="AF1463" t="n">
        <v>7</v>
      </c>
      <c r="AG1463" t="n">
        <v>7</v>
      </c>
      <c r="AH1463" t="n">
        <v>3</v>
      </c>
      <c r="AI1463" t="n">
        <v>3</v>
      </c>
      <c r="AJ1463" t="n">
        <v>9</v>
      </c>
      <c r="AK1463" t="n">
        <v>10</v>
      </c>
      <c r="AL1463" t="n">
        <v>5</v>
      </c>
      <c r="AM1463" t="n">
        <v>6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Yes</t>
        </is>
      </c>
      <c r="AR1463">
        <f>HYPERLINK("http://catalog.hathitrust.org/Record/000751336","HathiTrust Record")</f>
        <v/>
      </c>
      <c r="AS1463">
        <f>HYPERLINK("https://creighton-primo.hosted.exlibrisgroup.com/primo-explore/search?tab=default_tab&amp;search_scope=EVERYTHING&amp;vid=01CRU&amp;lang=en_US&amp;offset=0&amp;query=any,contains,991004425369702656","Catalog Record")</f>
        <v/>
      </c>
      <c r="AT1463">
        <f>HYPERLINK("http://www.worldcat.org/oclc/3397131","WorldCat Record")</f>
        <v/>
      </c>
      <c r="AU1463" t="inlineStr">
        <is>
          <t>10285414:eng</t>
        </is>
      </c>
      <c r="AV1463" t="inlineStr">
        <is>
          <t>3397131</t>
        </is>
      </c>
      <c r="AW1463" t="inlineStr">
        <is>
          <t>991004425369702656</t>
        </is>
      </c>
      <c r="AX1463" t="inlineStr">
        <is>
          <t>991004425369702656</t>
        </is>
      </c>
      <c r="AY1463" t="inlineStr">
        <is>
          <t>2267258600002656</t>
        </is>
      </c>
      <c r="AZ1463" t="inlineStr">
        <is>
          <t>BOOK</t>
        </is>
      </c>
      <c r="BC1463" t="inlineStr">
        <is>
          <t>32285001929339</t>
        </is>
      </c>
      <c r="BD1463" t="inlineStr">
        <is>
          <t>893325372</t>
        </is>
      </c>
    </row>
    <row r="1464">
      <c r="A1464" t="inlineStr">
        <is>
          <t>No</t>
        </is>
      </c>
      <c r="B1464" t="inlineStr">
        <is>
          <t>QH607 .M65 1990</t>
        </is>
      </c>
      <c r="C1464" t="inlineStr">
        <is>
          <t>0                      QH 0607000M  65          1990</t>
        </is>
      </c>
      <c r="D1464" t="inlineStr">
        <is>
          <t>Molecular approaches to supracellular phenomena / edited by Stephen Roth.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L1464" t="inlineStr">
        <is>
          <t>Philadelphia : University of Pennsylvania Press,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pau</t>
        </is>
      </c>
      <c r="Q1464" t="inlineStr">
        <is>
          <t>Developmental biology series</t>
        </is>
      </c>
      <c r="R1464" t="inlineStr">
        <is>
          <t xml:space="preserve">QH </t>
        </is>
      </c>
      <c r="S1464" t="n">
        <v>3</v>
      </c>
      <c r="T1464" t="n">
        <v>3</v>
      </c>
      <c r="U1464" t="inlineStr">
        <is>
          <t>1993-03-29</t>
        </is>
      </c>
      <c r="V1464" t="inlineStr">
        <is>
          <t>1993-03-29</t>
        </is>
      </c>
      <c r="W1464" t="inlineStr">
        <is>
          <t>1991-02-12</t>
        </is>
      </c>
      <c r="X1464" t="inlineStr">
        <is>
          <t>1991-02-12</t>
        </is>
      </c>
      <c r="Y1464" t="n">
        <v>203</v>
      </c>
      <c r="Z1464" t="n">
        <v>175</v>
      </c>
      <c r="AA1464" t="n">
        <v>380</v>
      </c>
      <c r="AB1464" t="n">
        <v>3</v>
      </c>
      <c r="AC1464" t="n">
        <v>3</v>
      </c>
      <c r="AD1464" t="n">
        <v>9</v>
      </c>
      <c r="AE1464" t="n">
        <v>18</v>
      </c>
      <c r="AF1464" t="n">
        <v>1</v>
      </c>
      <c r="AG1464" t="n">
        <v>7</v>
      </c>
      <c r="AH1464" t="n">
        <v>3</v>
      </c>
      <c r="AI1464" t="n">
        <v>6</v>
      </c>
      <c r="AJ1464" t="n">
        <v>5</v>
      </c>
      <c r="AK1464" t="n">
        <v>8</v>
      </c>
      <c r="AL1464" t="n">
        <v>2</v>
      </c>
      <c r="AM1464" t="n">
        <v>2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HYPERLINK("http://catalog.hathitrust.org/Record/002437484","HathiTrust Record")</f>
        <v/>
      </c>
      <c r="AS1464">
        <f>HYPERLINK("https://creighton-primo.hosted.exlibrisgroup.com/primo-explore/search?tab=default_tab&amp;search_scope=EVERYTHING&amp;vid=01CRU&amp;lang=en_US&amp;offset=0&amp;query=any,contains,991001694909702656","Catalog Record")</f>
        <v/>
      </c>
      <c r="AT1464">
        <f>HYPERLINK("http://www.worldcat.org/oclc/21482338","WorldCat Record")</f>
        <v/>
      </c>
      <c r="AU1464" t="inlineStr">
        <is>
          <t>23352379:eng</t>
        </is>
      </c>
      <c r="AV1464" t="inlineStr">
        <is>
          <t>21482338</t>
        </is>
      </c>
      <c r="AW1464" t="inlineStr">
        <is>
          <t>991001694909702656</t>
        </is>
      </c>
      <c r="AX1464" t="inlineStr">
        <is>
          <t>991001694909702656</t>
        </is>
      </c>
      <c r="AY1464" t="inlineStr">
        <is>
          <t>2259974580002656</t>
        </is>
      </c>
      <c r="AZ1464" t="inlineStr">
        <is>
          <t>BOOK</t>
        </is>
      </c>
      <c r="BB1464" t="inlineStr">
        <is>
          <t>9780812282511</t>
        </is>
      </c>
      <c r="BC1464" t="inlineStr">
        <is>
          <t>32285000464361</t>
        </is>
      </c>
      <c r="BD1464" t="inlineStr">
        <is>
          <t>893444765</t>
        </is>
      </c>
    </row>
    <row r="1465">
      <c r="A1465" t="inlineStr">
        <is>
          <t>No</t>
        </is>
      </c>
      <c r="B1465" t="inlineStr">
        <is>
          <t>QH607 .O42 1991</t>
        </is>
      </c>
      <c r="C1465" t="inlineStr">
        <is>
          <t>0                      QH 0607000O  42          1991</t>
        </is>
      </c>
      <c r="D1465" t="inlineStr">
        <is>
          <t>Transdifferentiation : flexibility in cell differentiation / T.S. Okada.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K1465" t="inlineStr">
        <is>
          <t>Okada, T. S.</t>
        </is>
      </c>
      <c r="L1465" t="inlineStr">
        <is>
          <t>Oxford : Clarendon Press ; Oxford ; New York : Oxford University Press, 1991.</t>
        </is>
      </c>
      <c r="M1465" t="inlineStr">
        <is>
          <t>1991</t>
        </is>
      </c>
      <c r="O1465" t="inlineStr">
        <is>
          <t>eng</t>
        </is>
      </c>
      <c r="P1465" t="inlineStr">
        <is>
          <t>enk</t>
        </is>
      </c>
      <c r="R1465" t="inlineStr">
        <is>
          <t xml:space="preserve">QH </t>
        </is>
      </c>
      <c r="S1465" t="n">
        <v>3</v>
      </c>
      <c r="T1465" t="n">
        <v>3</v>
      </c>
      <c r="U1465" t="inlineStr">
        <is>
          <t>1993-03-26</t>
        </is>
      </c>
      <c r="V1465" t="inlineStr">
        <is>
          <t>1993-03-26</t>
        </is>
      </c>
      <c r="W1465" t="inlineStr">
        <is>
          <t>1992-06-22</t>
        </is>
      </c>
      <c r="X1465" t="inlineStr">
        <is>
          <t>1992-06-22</t>
        </is>
      </c>
      <c r="Y1465" t="n">
        <v>180</v>
      </c>
      <c r="Z1465" t="n">
        <v>142</v>
      </c>
      <c r="AA1465" t="n">
        <v>147</v>
      </c>
      <c r="AB1465" t="n">
        <v>1</v>
      </c>
      <c r="AC1465" t="n">
        <v>1</v>
      </c>
      <c r="AD1465" t="n">
        <v>5</v>
      </c>
      <c r="AE1465" t="n">
        <v>5</v>
      </c>
      <c r="AF1465" t="n">
        <v>1</v>
      </c>
      <c r="AG1465" t="n">
        <v>1</v>
      </c>
      <c r="AH1465" t="n">
        <v>2</v>
      </c>
      <c r="AI1465" t="n">
        <v>2</v>
      </c>
      <c r="AJ1465" t="n">
        <v>4</v>
      </c>
      <c r="AK1465" t="n">
        <v>4</v>
      </c>
      <c r="AL1465" t="n">
        <v>0</v>
      </c>
      <c r="AM1465" t="n">
        <v>0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HYPERLINK("http://catalog.hathitrust.org/Record/002493123","HathiTrust Record")</f>
        <v/>
      </c>
      <c r="AS1465">
        <f>HYPERLINK("https://creighton-primo.hosted.exlibrisgroup.com/primo-explore/search?tab=default_tab&amp;search_scope=EVERYTHING&amp;vid=01CRU&amp;lang=en_US&amp;offset=0&amp;query=any,contains,991001869709702656","Catalog Record")</f>
        <v/>
      </c>
      <c r="AT1465">
        <f>HYPERLINK("http://www.worldcat.org/oclc/23583904","WorldCat Record")</f>
        <v/>
      </c>
      <c r="AU1465" t="inlineStr">
        <is>
          <t>836858351:eng</t>
        </is>
      </c>
      <c r="AV1465" t="inlineStr">
        <is>
          <t>23583904</t>
        </is>
      </c>
      <c r="AW1465" t="inlineStr">
        <is>
          <t>991001869709702656</t>
        </is>
      </c>
      <c r="AX1465" t="inlineStr">
        <is>
          <t>991001869709702656</t>
        </is>
      </c>
      <c r="AY1465" t="inlineStr">
        <is>
          <t>2256875180002656</t>
        </is>
      </c>
      <c r="AZ1465" t="inlineStr">
        <is>
          <t>BOOK</t>
        </is>
      </c>
      <c r="BB1465" t="inlineStr">
        <is>
          <t>9780198542810</t>
        </is>
      </c>
      <c r="BC1465" t="inlineStr">
        <is>
          <t>32285001130003</t>
        </is>
      </c>
      <c r="BD1465" t="inlineStr">
        <is>
          <t>893510017</t>
        </is>
      </c>
    </row>
    <row r="1466">
      <c r="A1466" t="inlineStr">
        <is>
          <t>No</t>
        </is>
      </c>
      <c r="B1466" t="inlineStr">
        <is>
          <t>QH607 .R4 v. 14</t>
        </is>
      </c>
      <c r="C1466" t="inlineStr">
        <is>
          <t>0                      QH 0607000R  4                                                       v. 14</t>
        </is>
      </c>
      <c r="D1466" t="inlineStr">
        <is>
          <t>Structure and function of eukaryotic chromosomes / edited by W. Hennig.</t>
        </is>
      </c>
      <c r="E1466" t="inlineStr">
        <is>
          <t>V. 14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Berlin ; New York : Springer-Verlag, c1987.</t>
        </is>
      </c>
      <c r="M1466" t="inlineStr">
        <is>
          <t>1987</t>
        </is>
      </c>
      <c r="O1466" t="inlineStr">
        <is>
          <t>eng</t>
        </is>
      </c>
      <c r="P1466" t="inlineStr">
        <is>
          <t xml:space="preserve">gw </t>
        </is>
      </c>
      <c r="Q1466" t="inlineStr">
        <is>
          <t>Results and problems in cell differentiation ; 14</t>
        </is>
      </c>
      <c r="R1466" t="inlineStr">
        <is>
          <t xml:space="preserve">QH </t>
        </is>
      </c>
      <c r="S1466" t="n">
        <v>1</v>
      </c>
      <c r="T1466" t="n">
        <v>1</v>
      </c>
      <c r="U1466" t="inlineStr">
        <is>
          <t>2008-09-28</t>
        </is>
      </c>
      <c r="V1466" t="inlineStr">
        <is>
          <t>2008-09-28</t>
        </is>
      </c>
      <c r="W1466" t="inlineStr">
        <is>
          <t>1993-05-26</t>
        </is>
      </c>
      <c r="X1466" t="inlineStr">
        <is>
          <t>1993-05-26</t>
        </is>
      </c>
      <c r="Y1466" t="n">
        <v>287</v>
      </c>
      <c r="Z1466" t="n">
        <v>197</v>
      </c>
      <c r="AA1466" t="n">
        <v>212</v>
      </c>
      <c r="AB1466" t="n">
        <v>1</v>
      </c>
      <c r="AC1466" t="n">
        <v>1</v>
      </c>
      <c r="AD1466" t="n">
        <v>7</v>
      </c>
      <c r="AE1466" t="n">
        <v>8</v>
      </c>
      <c r="AF1466" t="n">
        <v>1</v>
      </c>
      <c r="AG1466" t="n">
        <v>2</v>
      </c>
      <c r="AH1466" t="n">
        <v>4</v>
      </c>
      <c r="AI1466" t="n">
        <v>4</v>
      </c>
      <c r="AJ1466" t="n">
        <v>4</v>
      </c>
      <c r="AK1466" t="n">
        <v>5</v>
      </c>
      <c r="AL1466" t="n">
        <v>0</v>
      </c>
      <c r="AM1466" t="n">
        <v>0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HYPERLINK("http://catalog.hathitrust.org/Record/000839439","HathiTrust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HYPERLINK("https://creighton-primo.hosted.exlibrisgroup.com/primo-explore/search?tab=default_tab&amp;search_scope=EVERYTHING&amp;vid=01CRU&amp;lang=en_US&amp;offset=0&amp;query=any,contains,991001029819702656","Catalog Record")</f>
        <v/>
      </c>
      <c r="AT1466">
        <f>HYPERLINK("http://www.worldcat.org/oclc/15489908","WorldCat Record")</f>
        <v/>
      </c>
      <c r="AU1466" t="inlineStr">
        <is>
          <t>10569777:eng</t>
        </is>
      </c>
      <c r="AV1466" t="inlineStr">
        <is>
          <t>15489908</t>
        </is>
      </c>
      <c r="AW1466" t="inlineStr">
        <is>
          <t>991001029819702656</t>
        </is>
      </c>
      <c r="AX1466" t="inlineStr">
        <is>
          <t>991001029819702656</t>
        </is>
      </c>
      <c r="AY1466" t="inlineStr">
        <is>
          <t>2272595500002656</t>
        </is>
      </c>
      <c r="AZ1466" t="inlineStr">
        <is>
          <t>BOOK</t>
        </is>
      </c>
      <c r="BB1466" t="inlineStr">
        <is>
          <t>9780387177175</t>
        </is>
      </c>
      <c r="BC1466" t="inlineStr">
        <is>
          <t>32285001712289</t>
        </is>
      </c>
      <c r="BD1466" t="inlineStr">
        <is>
          <t>893413895</t>
        </is>
      </c>
    </row>
    <row r="1467">
      <c r="A1467" t="inlineStr">
        <is>
          <t>No</t>
        </is>
      </c>
      <c r="B1467" t="inlineStr">
        <is>
          <t>QH607 .R4 v. 35</t>
        </is>
      </c>
      <c r="C1467" t="inlineStr">
        <is>
          <t>0                      QH 0607000R  4                                                       v. 35</t>
        </is>
      </c>
      <c r="D1467" t="inlineStr">
        <is>
          <t>Nuclear transport / Karsten Weis, (ed.).</t>
        </is>
      </c>
      <c r="E1467" t="inlineStr">
        <is>
          <t>V. 35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Berlin ; New York : Springer, c2002.</t>
        </is>
      </c>
      <c r="M1467" t="inlineStr">
        <is>
          <t>2002</t>
        </is>
      </c>
      <c r="O1467" t="inlineStr">
        <is>
          <t>eng</t>
        </is>
      </c>
      <c r="P1467" t="inlineStr">
        <is>
          <t xml:space="preserve">gw </t>
        </is>
      </c>
      <c r="Q1467" t="inlineStr">
        <is>
          <t>Results and problems in cell differentiation, 0080-1844 ; 35</t>
        </is>
      </c>
      <c r="R1467" t="inlineStr">
        <is>
          <t xml:space="preserve">QH </t>
        </is>
      </c>
      <c r="S1467" t="n">
        <v>2</v>
      </c>
      <c r="T1467" t="n">
        <v>2</v>
      </c>
      <c r="U1467" t="inlineStr">
        <is>
          <t>2006-10-06</t>
        </is>
      </c>
      <c r="V1467" t="inlineStr">
        <is>
          <t>2006-10-06</t>
        </is>
      </c>
      <c r="W1467" t="inlineStr">
        <is>
          <t>2002-02-26</t>
        </is>
      </c>
      <c r="X1467" t="inlineStr">
        <is>
          <t>2002-02-26</t>
        </is>
      </c>
      <c r="Y1467" t="n">
        <v>208</v>
      </c>
      <c r="Z1467" t="n">
        <v>162</v>
      </c>
      <c r="AA1467" t="n">
        <v>193</v>
      </c>
      <c r="AB1467" t="n">
        <v>2</v>
      </c>
      <c r="AC1467" t="n">
        <v>2</v>
      </c>
      <c r="AD1467" t="n">
        <v>7</v>
      </c>
      <c r="AE1467" t="n">
        <v>10</v>
      </c>
      <c r="AF1467" t="n">
        <v>1</v>
      </c>
      <c r="AG1467" t="n">
        <v>3</v>
      </c>
      <c r="AH1467" t="n">
        <v>4</v>
      </c>
      <c r="AI1467" t="n">
        <v>5</v>
      </c>
      <c r="AJ1467" t="n">
        <v>3</v>
      </c>
      <c r="AK1467" t="n">
        <v>5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No</t>
        </is>
      </c>
      <c r="AS1467">
        <f>HYPERLINK("https://creighton-primo.hosted.exlibrisgroup.com/primo-explore/search?tab=default_tab&amp;search_scope=EVERYTHING&amp;vid=01CRU&amp;lang=en_US&amp;offset=0&amp;query=any,contains,991003743899702656","Catalog Record")</f>
        <v/>
      </c>
      <c r="AT1467">
        <f>HYPERLINK("http://www.worldcat.org/oclc/47272137","WorldCat Record")</f>
        <v/>
      </c>
      <c r="AU1467" t="inlineStr">
        <is>
          <t>56692479:eng</t>
        </is>
      </c>
      <c r="AV1467" t="inlineStr">
        <is>
          <t>47272137</t>
        </is>
      </c>
      <c r="AW1467" t="inlineStr">
        <is>
          <t>991003743899702656</t>
        </is>
      </c>
      <c r="AX1467" t="inlineStr">
        <is>
          <t>991003743899702656</t>
        </is>
      </c>
      <c r="AY1467" t="inlineStr">
        <is>
          <t>2263864430002656</t>
        </is>
      </c>
      <c r="AZ1467" t="inlineStr">
        <is>
          <t>BOOK</t>
        </is>
      </c>
      <c r="BB1467" t="inlineStr">
        <is>
          <t>9783540423683</t>
        </is>
      </c>
      <c r="BC1467" t="inlineStr">
        <is>
          <t>32285004457577</t>
        </is>
      </c>
      <c r="BD1467" t="inlineStr">
        <is>
          <t>893881491</t>
        </is>
      </c>
    </row>
    <row r="1468">
      <c r="A1468" t="inlineStr">
        <is>
          <t>No</t>
        </is>
      </c>
      <c r="B1468" t="inlineStr">
        <is>
          <t>QH607 .R4 v. 36</t>
        </is>
      </c>
      <c r="C1468" t="inlineStr">
        <is>
          <t>0                      QH 0607000R  4                                                       v. 36</t>
        </is>
      </c>
      <c r="D1468" t="inlineStr">
        <is>
          <t>Molecular interactions of actin : actin-myosin interaction and actin-based regulation / D.D. Thomas, C.G. dos Remedios (eds.).</t>
        </is>
      </c>
      <c r="E1468" t="inlineStr">
        <is>
          <t>V. 36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Berlin ; New York : Springer, c2002.</t>
        </is>
      </c>
      <c r="M1468" t="inlineStr">
        <is>
          <t>2002</t>
        </is>
      </c>
      <c r="O1468" t="inlineStr">
        <is>
          <t>eng</t>
        </is>
      </c>
      <c r="P1468" t="inlineStr">
        <is>
          <t xml:space="preserve">gw </t>
        </is>
      </c>
      <c r="Q1468" t="inlineStr">
        <is>
          <t>Results and problems in cell differentiation, 0080-1844 ; 36</t>
        </is>
      </c>
      <c r="R1468" t="inlineStr">
        <is>
          <t xml:space="preserve">QH </t>
        </is>
      </c>
      <c r="S1468" t="n">
        <v>2</v>
      </c>
      <c r="T1468" t="n">
        <v>2</v>
      </c>
      <c r="U1468" t="inlineStr">
        <is>
          <t>2003-01-28</t>
        </is>
      </c>
      <c r="V1468" t="inlineStr">
        <is>
          <t>2003-01-28</t>
        </is>
      </c>
      <c r="W1468" t="inlineStr">
        <is>
          <t>2002-05-09</t>
        </is>
      </c>
      <c r="X1468" t="inlineStr">
        <is>
          <t>2002-05-09</t>
        </is>
      </c>
      <c r="Y1468" t="n">
        <v>167</v>
      </c>
      <c r="Z1468" t="n">
        <v>125</v>
      </c>
      <c r="AA1468" t="n">
        <v>157</v>
      </c>
      <c r="AB1468" t="n">
        <v>2</v>
      </c>
      <c r="AC1468" t="n">
        <v>2</v>
      </c>
      <c r="AD1468" t="n">
        <v>7</v>
      </c>
      <c r="AE1468" t="n">
        <v>9</v>
      </c>
      <c r="AF1468" t="n">
        <v>1</v>
      </c>
      <c r="AG1468" t="n">
        <v>2</v>
      </c>
      <c r="AH1468" t="n">
        <v>4</v>
      </c>
      <c r="AI1468" t="n">
        <v>4</v>
      </c>
      <c r="AJ1468" t="n">
        <v>3</v>
      </c>
      <c r="AK1468" t="n">
        <v>5</v>
      </c>
      <c r="AL1468" t="n">
        <v>1</v>
      </c>
      <c r="AM1468" t="n">
        <v>1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HYPERLINK("https://creighton-primo.hosted.exlibrisgroup.com/primo-explore/search?tab=default_tab&amp;search_scope=EVERYTHING&amp;vid=01CRU&amp;lang=en_US&amp;offset=0&amp;query=any,contains,991003803959702656","Catalog Record")</f>
        <v/>
      </c>
      <c r="AT1468">
        <f>HYPERLINK("http://www.worldcat.org/oclc/47521453","WorldCat Record")</f>
        <v/>
      </c>
      <c r="AU1468" t="inlineStr">
        <is>
          <t>5218605611:eng</t>
        </is>
      </c>
      <c r="AV1468" t="inlineStr">
        <is>
          <t>47521453</t>
        </is>
      </c>
      <c r="AW1468" t="inlineStr">
        <is>
          <t>991003803959702656</t>
        </is>
      </c>
      <c r="AX1468" t="inlineStr">
        <is>
          <t>991003803959702656</t>
        </is>
      </c>
      <c r="AY1468" t="inlineStr">
        <is>
          <t>2264271210002656</t>
        </is>
      </c>
      <c r="AZ1468" t="inlineStr">
        <is>
          <t>BOOK</t>
        </is>
      </c>
      <c r="BC1468" t="inlineStr">
        <is>
          <t>32285004487335</t>
        </is>
      </c>
      <c r="BD1468" t="inlineStr">
        <is>
          <t>893240626</t>
        </is>
      </c>
    </row>
    <row r="1469">
      <c r="A1469" t="inlineStr">
        <is>
          <t>No</t>
        </is>
      </c>
      <c r="B1469" t="inlineStr">
        <is>
          <t>QH607 .R4 v. 37</t>
        </is>
      </c>
      <c r="C1469" t="inlineStr">
        <is>
          <t>0                      QH 0607000R  4                                                       v. 37</t>
        </is>
      </c>
      <c r="D1469" t="inlineStr">
        <is>
          <t>Drosophila eye development / Kevin Moses (ed.).</t>
        </is>
      </c>
      <c r="E1469" t="inlineStr">
        <is>
          <t>V. 37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Berlin ; New York : Springer, c2002.</t>
        </is>
      </c>
      <c r="M1469" t="inlineStr">
        <is>
          <t>2002</t>
        </is>
      </c>
      <c r="O1469" t="inlineStr">
        <is>
          <t>eng</t>
        </is>
      </c>
      <c r="P1469" t="inlineStr">
        <is>
          <t xml:space="preserve">gw </t>
        </is>
      </c>
      <c r="Q1469" t="inlineStr">
        <is>
          <t>Results and problems in cell differentiation ; 37</t>
        </is>
      </c>
      <c r="R1469" t="inlineStr">
        <is>
          <t xml:space="preserve">QH </t>
        </is>
      </c>
      <c r="S1469" t="n">
        <v>7</v>
      </c>
      <c r="T1469" t="n">
        <v>7</v>
      </c>
      <c r="U1469" t="inlineStr">
        <is>
          <t>2009-05-05</t>
        </is>
      </c>
      <c r="V1469" t="inlineStr">
        <is>
          <t>2009-05-05</t>
        </is>
      </c>
      <c r="W1469" t="inlineStr">
        <is>
          <t>2002-07-25</t>
        </is>
      </c>
      <c r="X1469" t="inlineStr">
        <is>
          <t>2002-07-25</t>
        </is>
      </c>
      <c r="Y1469" t="n">
        <v>199</v>
      </c>
      <c r="Z1469" t="n">
        <v>152</v>
      </c>
      <c r="AA1469" t="n">
        <v>152</v>
      </c>
      <c r="AB1469" t="n">
        <v>1</v>
      </c>
      <c r="AC1469" t="n">
        <v>1</v>
      </c>
      <c r="AD1469" t="n">
        <v>7</v>
      </c>
      <c r="AE1469" t="n">
        <v>7</v>
      </c>
      <c r="AF1469" t="n">
        <v>2</v>
      </c>
      <c r="AG1469" t="n">
        <v>2</v>
      </c>
      <c r="AH1469" t="n">
        <v>4</v>
      </c>
      <c r="AI1469" t="n">
        <v>4</v>
      </c>
      <c r="AJ1469" t="n">
        <v>4</v>
      </c>
      <c r="AK1469" t="n">
        <v>4</v>
      </c>
      <c r="AL1469" t="n">
        <v>0</v>
      </c>
      <c r="AM1469" t="n">
        <v>0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No</t>
        </is>
      </c>
      <c r="AS1469">
        <f>HYPERLINK("https://creighton-primo.hosted.exlibrisgroup.com/primo-explore/search?tab=default_tab&amp;search_scope=EVERYTHING&amp;vid=01CRU&amp;lang=en_US&amp;offset=0&amp;query=any,contains,991003838909702656","Catalog Record")</f>
        <v/>
      </c>
      <c r="AT1469">
        <f>HYPERLINK("http://www.worldcat.org/oclc/48073519","WorldCat Record")</f>
        <v/>
      </c>
      <c r="AU1469" t="inlineStr">
        <is>
          <t>37252682:eng</t>
        </is>
      </c>
      <c r="AV1469" t="inlineStr">
        <is>
          <t>48073519</t>
        </is>
      </c>
      <c r="AW1469" t="inlineStr">
        <is>
          <t>991003838909702656</t>
        </is>
      </c>
      <c r="AX1469" t="inlineStr">
        <is>
          <t>991003838909702656</t>
        </is>
      </c>
      <c r="AY1469" t="inlineStr">
        <is>
          <t>2255067780002656</t>
        </is>
      </c>
      <c r="AZ1469" t="inlineStr">
        <is>
          <t>BOOK</t>
        </is>
      </c>
      <c r="BB1469" t="inlineStr">
        <is>
          <t>9783540425908</t>
        </is>
      </c>
      <c r="BC1469" t="inlineStr">
        <is>
          <t>32285004499322</t>
        </is>
      </c>
      <c r="BD1469" t="inlineStr">
        <is>
          <t>893506050</t>
        </is>
      </c>
    </row>
    <row r="1470">
      <c r="A1470" t="inlineStr">
        <is>
          <t>No</t>
        </is>
      </c>
      <c r="B1470" t="inlineStr">
        <is>
          <t>QH607 .R4 v. 38</t>
        </is>
      </c>
      <c r="C1470" t="inlineStr">
        <is>
          <t>0                      QH 0607000R  4                                                       v. 38</t>
        </is>
      </c>
      <c r="D1470" t="inlineStr">
        <is>
          <t>Vertebrate myogenesis / Beate Brand-Saberi (ed.).</t>
        </is>
      </c>
      <c r="E1470" t="inlineStr">
        <is>
          <t>V. 38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Berlin ; New York : Springer, c2002.</t>
        </is>
      </c>
      <c r="M1470" t="inlineStr">
        <is>
          <t>2002</t>
        </is>
      </c>
      <c r="O1470" t="inlineStr">
        <is>
          <t>eng</t>
        </is>
      </c>
      <c r="P1470" t="inlineStr">
        <is>
          <t xml:space="preserve">gw </t>
        </is>
      </c>
      <c r="Q1470" t="inlineStr">
        <is>
          <t>Results and problems in cell differentiation, 0080-1844 ; 38</t>
        </is>
      </c>
      <c r="R1470" t="inlineStr">
        <is>
          <t xml:space="preserve">QH </t>
        </is>
      </c>
      <c r="S1470" t="n">
        <v>2</v>
      </c>
      <c r="T1470" t="n">
        <v>2</v>
      </c>
      <c r="U1470" t="inlineStr">
        <is>
          <t>2002-10-07</t>
        </is>
      </c>
      <c r="V1470" t="inlineStr">
        <is>
          <t>2002-10-07</t>
        </is>
      </c>
      <c r="W1470" t="inlineStr">
        <is>
          <t>2002-10-07</t>
        </is>
      </c>
      <c r="X1470" t="inlineStr">
        <is>
          <t>2002-10-07</t>
        </is>
      </c>
      <c r="Y1470" t="n">
        <v>187</v>
      </c>
      <c r="Z1470" t="n">
        <v>139</v>
      </c>
      <c r="AA1470" t="n">
        <v>139</v>
      </c>
      <c r="AB1470" t="n">
        <v>1</v>
      </c>
      <c r="AC1470" t="n">
        <v>1</v>
      </c>
      <c r="AD1470" t="n">
        <v>4</v>
      </c>
      <c r="AE1470" t="n">
        <v>4</v>
      </c>
      <c r="AF1470" t="n">
        <v>1</v>
      </c>
      <c r="AG1470" t="n">
        <v>1</v>
      </c>
      <c r="AH1470" t="n">
        <v>2</v>
      </c>
      <c r="AI1470" t="n">
        <v>2</v>
      </c>
      <c r="AJ1470" t="n">
        <v>3</v>
      </c>
      <c r="AK1470" t="n">
        <v>3</v>
      </c>
      <c r="AL1470" t="n">
        <v>0</v>
      </c>
      <c r="AM1470" t="n">
        <v>0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No</t>
        </is>
      </c>
      <c r="AS1470">
        <f>HYPERLINK("https://creighton-primo.hosted.exlibrisgroup.com/primo-explore/search?tab=default_tab&amp;search_scope=EVERYTHING&amp;vid=01CRU&amp;lang=en_US&amp;offset=0&amp;query=any,contains,991003904489702656","Catalog Record")</f>
        <v/>
      </c>
      <c r="AT1470">
        <f>HYPERLINK("http://www.worldcat.org/oclc/49874867","WorldCat Record")</f>
        <v/>
      </c>
      <c r="AU1470" t="inlineStr">
        <is>
          <t>1074155:eng</t>
        </is>
      </c>
      <c r="AV1470" t="inlineStr">
        <is>
          <t>49874867</t>
        </is>
      </c>
      <c r="AW1470" t="inlineStr">
        <is>
          <t>991003904489702656</t>
        </is>
      </c>
      <c r="AX1470" t="inlineStr">
        <is>
          <t>991003904489702656</t>
        </is>
      </c>
      <c r="AY1470" t="inlineStr">
        <is>
          <t>2267061390002656</t>
        </is>
      </c>
      <c r="AZ1470" t="inlineStr">
        <is>
          <t>BOOK</t>
        </is>
      </c>
      <c r="BB1470" t="inlineStr">
        <is>
          <t>9783540431787</t>
        </is>
      </c>
      <c r="BC1470" t="inlineStr">
        <is>
          <t>32285004652748</t>
        </is>
      </c>
      <c r="BD1470" t="inlineStr">
        <is>
          <t>893800356</t>
        </is>
      </c>
    </row>
    <row r="1471">
      <c r="A1471" t="inlineStr">
        <is>
          <t>No</t>
        </is>
      </c>
      <c r="B1471" t="inlineStr">
        <is>
          <t>QH607 .R4 v. 39</t>
        </is>
      </c>
      <c r="C1471" t="inlineStr">
        <is>
          <t>0                      QH 0607000R  4                                                       v. 39</t>
        </is>
      </c>
      <c r="D1471" t="inlineStr">
        <is>
          <t>Cortical development : from specification to differentiation / Christine F. Hohmann (ed.).</t>
        </is>
      </c>
      <c r="E1471" t="inlineStr">
        <is>
          <t>V. 39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Berlin ; New York : Springer, c2002.</t>
        </is>
      </c>
      <c r="M1471" t="inlineStr">
        <is>
          <t>2002</t>
        </is>
      </c>
      <c r="O1471" t="inlineStr">
        <is>
          <t>eng</t>
        </is>
      </c>
      <c r="P1471" t="inlineStr">
        <is>
          <t xml:space="preserve">gw </t>
        </is>
      </c>
      <c r="Q1471" t="inlineStr">
        <is>
          <t>Results and problems in cell differentiation ; 39</t>
        </is>
      </c>
      <c r="R1471" t="inlineStr">
        <is>
          <t xml:space="preserve">QH </t>
        </is>
      </c>
      <c r="S1471" t="n">
        <v>1</v>
      </c>
      <c r="T1471" t="n">
        <v>1</v>
      </c>
      <c r="U1471" t="inlineStr">
        <is>
          <t>2003-02-25</t>
        </is>
      </c>
      <c r="V1471" t="inlineStr">
        <is>
          <t>2003-02-25</t>
        </is>
      </c>
      <c r="W1471" t="inlineStr">
        <is>
          <t>2003-02-25</t>
        </is>
      </c>
      <c r="X1471" t="inlineStr">
        <is>
          <t>2003-02-25</t>
        </is>
      </c>
      <c r="Y1471" t="n">
        <v>193</v>
      </c>
      <c r="Z1471" t="n">
        <v>146</v>
      </c>
      <c r="AA1471" t="n">
        <v>148</v>
      </c>
      <c r="AB1471" t="n">
        <v>1</v>
      </c>
      <c r="AC1471" t="n">
        <v>1</v>
      </c>
      <c r="AD1471" t="n">
        <v>7</v>
      </c>
      <c r="AE1471" t="n">
        <v>7</v>
      </c>
      <c r="AF1471" t="n">
        <v>1</v>
      </c>
      <c r="AG1471" t="n">
        <v>1</v>
      </c>
      <c r="AH1471" t="n">
        <v>5</v>
      </c>
      <c r="AI1471" t="n">
        <v>5</v>
      </c>
      <c r="AJ1471" t="n">
        <v>3</v>
      </c>
      <c r="AK1471" t="n">
        <v>3</v>
      </c>
      <c r="AL1471" t="n">
        <v>0</v>
      </c>
      <c r="AM1471" t="n">
        <v>0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HYPERLINK("https://creighton-primo.hosted.exlibrisgroup.com/primo-explore/search?tab=default_tab&amp;search_scope=EVERYTHING&amp;vid=01CRU&amp;lang=en_US&amp;offset=0&amp;query=any,contains,991003993909702656","Catalog Record")</f>
        <v/>
      </c>
      <c r="AT1471">
        <f>HYPERLINK("http://www.worldcat.org/oclc/49611088","WorldCat Record")</f>
        <v/>
      </c>
      <c r="AU1471" t="inlineStr">
        <is>
          <t>839525616:eng</t>
        </is>
      </c>
      <c r="AV1471" t="inlineStr">
        <is>
          <t>49611088</t>
        </is>
      </c>
      <c r="AW1471" t="inlineStr">
        <is>
          <t>991003993909702656</t>
        </is>
      </c>
      <c r="AX1471" t="inlineStr">
        <is>
          <t>991003993909702656</t>
        </is>
      </c>
      <c r="AY1471" t="inlineStr">
        <is>
          <t>2266366060002656</t>
        </is>
      </c>
      <c r="AZ1471" t="inlineStr">
        <is>
          <t>BOOK</t>
        </is>
      </c>
      <c r="BB1471" t="inlineStr">
        <is>
          <t>9783540434368</t>
        </is>
      </c>
      <c r="BC1471" t="inlineStr">
        <is>
          <t>32285004680343</t>
        </is>
      </c>
      <c r="BD1471" t="inlineStr">
        <is>
          <t>893605504</t>
        </is>
      </c>
    </row>
    <row r="1472">
      <c r="A1472" t="inlineStr">
        <is>
          <t>No</t>
        </is>
      </c>
      <c r="B1472" t="inlineStr">
        <is>
          <t>QH607 .R4 v. 40</t>
        </is>
      </c>
      <c r="C1472" t="inlineStr">
        <is>
          <t>0                      QH 0607000R  4                                                       v. 40</t>
        </is>
      </c>
      <c r="D1472" t="inlineStr">
        <is>
          <t>Pattern formation in zebrafish / Lilianna Solnica-Krezel (ed.).</t>
        </is>
      </c>
      <c r="E1472" t="inlineStr">
        <is>
          <t>V. 40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L1472" t="inlineStr">
        <is>
          <t>Berlin ; New York : Springer, c2002.</t>
        </is>
      </c>
      <c r="M1472" t="inlineStr">
        <is>
          <t>2002</t>
        </is>
      </c>
      <c r="O1472" t="inlineStr">
        <is>
          <t>eng</t>
        </is>
      </c>
      <c r="P1472" t="inlineStr">
        <is>
          <t xml:space="preserve">gw </t>
        </is>
      </c>
      <c r="Q1472" t="inlineStr">
        <is>
          <t>Results and problems in cell differentiation, 0080-1844 ; 40</t>
        </is>
      </c>
      <c r="R1472" t="inlineStr">
        <is>
          <t xml:space="preserve">QH </t>
        </is>
      </c>
      <c r="S1472" t="n">
        <v>1</v>
      </c>
      <c r="T1472" t="n">
        <v>1</v>
      </c>
      <c r="U1472" t="inlineStr">
        <is>
          <t>2003-01-09</t>
        </is>
      </c>
      <c r="V1472" t="inlineStr">
        <is>
          <t>2003-01-09</t>
        </is>
      </c>
      <c r="W1472" t="inlineStr">
        <is>
          <t>2003-01-09</t>
        </is>
      </c>
      <c r="X1472" t="inlineStr">
        <is>
          <t>2003-01-09</t>
        </is>
      </c>
      <c r="Y1472" t="n">
        <v>185</v>
      </c>
      <c r="Z1472" t="n">
        <v>132</v>
      </c>
      <c r="AA1472" t="n">
        <v>156</v>
      </c>
      <c r="AB1472" t="n">
        <v>1</v>
      </c>
      <c r="AC1472" t="n">
        <v>1</v>
      </c>
      <c r="AD1472" t="n">
        <v>6</v>
      </c>
      <c r="AE1472" t="n">
        <v>8</v>
      </c>
      <c r="AF1472" t="n">
        <v>1</v>
      </c>
      <c r="AG1472" t="n">
        <v>2</v>
      </c>
      <c r="AH1472" t="n">
        <v>4</v>
      </c>
      <c r="AI1472" t="n">
        <v>4</v>
      </c>
      <c r="AJ1472" t="n">
        <v>2</v>
      </c>
      <c r="AK1472" t="n">
        <v>4</v>
      </c>
      <c r="AL1472" t="n">
        <v>0</v>
      </c>
      <c r="AM1472" t="n">
        <v>0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HYPERLINK("https://creighton-primo.hosted.exlibrisgroup.com/primo-explore/search?tab=default_tab&amp;search_scope=EVERYTHING&amp;vid=01CRU&amp;lang=en_US&amp;offset=0&amp;query=any,contains,991003963319702656","Catalog Record")</f>
        <v/>
      </c>
      <c r="AT1472">
        <f>HYPERLINK("http://www.worldcat.org/oclc/49559036","WorldCat Record")</f>
        <v/>
      </c>
      <c r="AU1472" t="inlineStr">
        <is>
          <t>1074362:eng</t>
        </is>
      </c>
      <c r="AV1472" t="inlineStr">
        <is>
          <t>49559036</t>
        </is>
      </c>
      <c r="AW1472" t="inlineStr">
        <is>
          <t>991003963319702656</t>
        </is>
      </c>
      <c r="AX1472" t="inlineStr">
        <is>
          <t>991003963319702656</t>
        </is>
      </c>
      <c r="AY1472" t="inlineStr">
        <is>
          <t>2265753780002656</t>
        </is>
      </c>
      <c r="AZ1472" t="inlineStr">
        <is>
          <t>BOOK</t>
        </is>
      </c>
      <c r="BB1472" t="inlineStr">
        <is>
          <t>9783540435761</t>
        </is>
      </c>
      <c r="BC1472" t="inlineStr">
        <is>
          <t>32285004693361</t>
        </is>
      </c>
      <c r="BD1472" t="inlineStr">
        <is>
          <t>893904645</t>
        </is>
      </c>
    </row>
    <row r="1473">
      <c r="A1473" t="inlineStr">
        <is>
          <t>No</t>
        </is>
      </c>
      <c r="B1473" t="inlineStr">
        <is>
          <t>QH607 .R4 v.10</t>
        </is>
      </c>
      <c r="C1473" t="inlineStr">
        <is>
          <t>0                      QH 0607000R  4                                                       v.10</t>
        </is>
      </c>
      <c r="D1473" t="inlineStr">
        <is>
          <t>Chloroplasts / edited by J. Reinert ; with contributions by L. O. Björn ... [et al.].</t>
        </is>
      </c>
      <c r="E1473" t="inlineStr">
        <is>
          <t>V. 10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L1473" t="inlineStr">
        <is>
          <t>Berlin ; New York : Springer-Verlag, 1980.</t>
        </is>
      </c>
      <c r="M1473" t="inlineStr">
        <is>
          <t>1980</t>
        </is>
      </c>
      <c r="O1473" t="inlineStr">
        <is>
          <t>eng</t>
        </is>
      </c>
      <c r="P1473" t="inlineStr">
        <is>
          <t xml:space="preserve">gw </t>
        </is>
      </c>
      <c r="Q1473" t="inlineStr">
        <is>
          <t>Results and problems in cell differentiation ; 10</t>
        </is>
      </c>
      <c r="R1473" t="inlineStr">
        <is>
          <t xml:space="preserve">QH </t>
        </is>
      </c>
      <c r="S1473" t="n">
        <v>2</v>
      </c>
      <c r="T1473" t="n">
        <v>2</v>
      </c>
      <c r="U1473" t="inlineStr">
        <is>
          <t>1994-09-15</t>
        </is>
      </c>
      <c r="V1473" t="inlineStr">
        <is>
          <t>1994-09-15</t>
        </is>
      </c>
      <c r="W1473" t="inlineStr">
        <is>
          <t>1993-05-26</t>
        </is>
      </c>
      <c r="X1473" t="inlineStr">
        <is>
          <t>1993-05-26</t>
        </is>
      </c>
      <c r="Y1473" t="n">
        <v>349</v>
      </c>
      <c r="Z1473" t="n">
        <v>230</v>
      </c>
      <c r="AA1473" t="n">
        <v>248</v>
      </c>
      <c r="AB1473" t="n">
        <v>2</v>
      </c>
      <c r="AC1473" t="n">
        <v>2</v>
      </c>
      <c r="AD1473" t="n">
        <v>7</v>
      </c>
      <c r="AE1473" t="n">
        <v>8</v>
      </c>
      <c r="AF1473" t="n">
        <v>1</v>
      </c>
      <c r="AG1473" t="n">
        <v>2</v>
      </c>
      <c r="AH1473" t="n">
        <v>5</v>
      </c>
      <c r="AI1473" t="n">
        <v>5</v>
      </c>
      <c r="AJ1473" t="n">
        <v>2</v>
      </c>
      <c r="AK1473" t="n">
        <v>3</v>
      </c>
      <c r="AL1473" t="n">
        <v>1</v>
      </c>
      <c r="AM1473" t="n">
        <v>1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HYPERLINK("http://catalog.hathitrust.org/Record/000692235","HathiTrust Record")</f>
        <v/>
      </c>
      <c r="AS1473">
        <f>HYPERLINK("https://creighton-primo.hosted.exlibrisgroup.com/primo-explore/search?tab=default_tab&amp;search_scope=EVERYTHING&amp;vid=01CRU&amp;lang=en_US&amp;offset=0&amp;query=any,contains,991004978969702656","Catalog Record")</f>
        <v/>
      </c>
      <c r="AT1473">
        <f>HYPERLINK("http://www.worldcat.org/oclc/6420826","WorldCat Record")</f>
        <v/>
      </c>
      <c r="AU1473" t="inlineStr">
        <is>
          <t>22192677:eng</t>
        </is>
      </c>
      <c r="AV1473" t="inlineStr">
        <is>
          <t>6420826</t>
        </is>
      </c>
      <c r="AW1473" t="inlineStr">
        <is>
          <t>991004978969702656</t>
        </is>
      </c>
      <c r="AX1473" t="inlineStr">
        <is>
          <t>991004978969702656</t>
        </is>
      </c>
      <c r="AY1473" t="inlineStr">
        <is>
          <t>2267181680002656</t>
        </is>
      </c>
      <c r="AZ1473" t="inlineStr">
        <is>
          <t>BOOK</t>
        </is>
      </c>
      <c r="BB1473" t="inlineStr">
        <is>
          <t>9780387100821</t>
        </is>
      </c>
      <c r="BC1473" t="inlineStr">
        <is>
          <t>32285001712214</t>
        </is>
      </c>
      <c r="BD1473" t="inlineStr">
        <is>
          <t>893807686</t>
        </is>
      </c>
    </row>
    <row r="1474">
      <c r="A1474" t="inlineStr">
        <is>
          <t>No</t>
        </is>
      </c>
      <c r="B1474" t="inlineStr">
        <is>
          <t>QH607 .R4 v.11</t>
        </is>
      </c>
      <c r="C1474" t="inlineStr">
        <is>
          <t>0                      QH 0607000R  4                                                       v.11</t>
        </is>
      </c>
      <c r="D1474" t="inlineStr">
        <is>
          <t>Differentiation and neoplasia / edited by R. G. McKinnell ... [et al.].</t>
        </is>
      </c>
      <c r="E1474" t="inlineStr">
        <is>
          <t>V. 11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Berlin ; New York : Springer-Verlag, 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 xml:space="preserve">gw </t>
        </is>
      </c>
      <c r="Q1474" t="inlineStr">
        <is>
          <t>Results and problems in cell differentiation ; v. 11</t>
        </is>
      </c>
      <c r="R1474" t="inlineStr">
        <is>
          <t xml:space="preserve">QH </t>
        </is>
      </c>
      <c r="S1474" t="n">
        <v>7</v>
      </c>
      <c r="T1474" t="n">
        <v>7</v>
      </c>
      <c r="U1474" t="inlineStr">
        <is>
          <t>1999-10-03</t>
        </is>
      </c>
      <c r="V1474" t="inlineStr">
        <is>
          <t>1999-10-03</t>
        </is>
      </c>
      <c r="W1474" t="inlineStr">
        <is>
          <t>1993-05-26</t>
        </is>
      </c>
      <c r="X1474" t="inlineStr">
        <is>
          <t>1993-05-26</t>
        </is>
      </c>
      <c r="Y1474" t="n">
        <v>292</v>
      </c>
      <c r="Z1474" t="n">
        <v>214</v>
      </c>
      <c r="AA1474" t="n">
        <v>219</v>
      </c>
      <c r="AB1474" t="n">
        <v>2</v>
      </c>
      <c r="AC1474" t="n">
        <v>2</v>
      </c>
      <c r="AD1474" t="n">
        <v>10</v>
      </c>
      <c r="AE1474" t="n">
        <v>10</v>
      </c>
      <c r="AF1474" t="n">
        <v>1</v>
      </c>
      <c r="AG1474" t="n">
        <v>1</v>
      </c>
      <c r="AH1474" t="n">
        <v>5</v>
      </c>
      <c r="AI1474" t="n">
        <v>5</v>
      </c>
      <c r="AJ1474" t="n">
        <v>5</v>
      </c>
      <c r="AK1474" t="n">
        <v>5</v>
      </c>
      <c r="AL1474" t="n">
        <v>1</v>
      </c>
      <c r="AM1474" t="n">
        <v>1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No</t>
        </is>
      </c>
      <c r="AS1474">
        <f>HYPERLINK("https://creighton-primo.hosted.exlibrisgroup.com/primo-explore/search?tab=default_tab&amp;search_scope=EVERYTHING&amp;vid=01CRU&amp;lang=en_US&amp;offset=0&amp;query=any,contains,991005012339702656","Catalog Record")</f>
        <v/>
      </c>
      <c r="AT1474">
        <f>HYPERLINK("http://www.worldcat.org/oclc/6603566","WorldCat Record")</f>
        <v/>
      </c>
      <c r="AU1474" t="inlineStr">
        <is>
          <t>22717669:eng</t>
        </is>
      </c>
      <c r="AV1474" t="inlineStr">
        <is>
          <t>6603566</t>
        </is>
      </c>
      <c r="AW1474" t="inlineStr">
        <is>
          <t>991005012339702656</t>
        </is>
      </c>
      <c r="AX1474" t="inlineStr">
        <is>
          <t>991005012339702656</t>
        </is>
      </c>
      <c r="AY1474" t="inlineStr">
        <is>
          <t>2255061340002656</t>
        </is>
      </c>
      <c r="AZ1474" t="inlineStr">
        <is>
          <t>BOOK</t>
        </is>
      </c>
      <c r="BB1474" t="inlineStr">
        <is>
          <t>9780387101774</t>
        </is>
      </c>
      <c r="BC1474" t="inlineStr">
        <is>
          <t>32285001712222</t>
        </is>
      </c>
      <c r="BD1474" t="inlineStr">
        <is>
          <t>893876815</t>
        </is>
      </c>
    </row>
    <row r="1475">
      <c r="A1475" t="inlineStr">
        <is>
          <t>No</t>
        </is>
      </c>
      <c r="B1475" t="inlineStr">
        <is>
          <t>QH607 .R4 v.13</t>
        </is>
      </c>
      <c r="C1475" t="inlineStr">
        <is>
          <t>0                      QH 0607000R  4                                                       v.13</t>
        </is>
      </c>
      <c r="D1475" t="inlineStr">
        <is>
          <t>Germ line--soma differentiation / edited by W. Hennig.</t>
        </is>
      </c>
      <c r="E1475" t="inlineStr">
        <is>
          <t>V. 13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Berlin ; New York : Springer-Verlag, c1986.</t>
        </is>
      </c>
      <c r="M1475" t="inlineStr">
        <is>
          <t>1986</t>
        </is>
      </c>
      <c r="O1475" t="inlineStr">
        <is>
          <t>eng</t>
        </is>
      </c>
      <c r="P1475" t="inlineStr">
        <is>
          <t xml:space="preserve">gw </t>
        </is>
      </c>
      <c r="Q1475" t="inlineStr">
        <is>
          <t>Results and problems in cell differentiation ; v. 13</t>
        </is>
      </c>
      <c r="R1475" t="inlineStr">
        <is>
          <t xml:space="preserve">QH </t>
        </is>
      </c>
      <c r="S1475" t="n">
        <v>7</v>
      </c>
      <c r="T1475" t="n">
        <v>7</v>
      </c>
      <c r="U1475" t="inlineStr">
        <is>
          <t>1997-03-02</t>
        </is>
      </c>
      <c r="V1475" t="inlineStr">
        <is>
          <t>1997-03-02</t>
        </is>
      </c>
      <c r="W1475" t="inlineStr">
        <is>
          <t>1993-05-26</t>
        </is>
      </c>
      <c r="X1475" t="inlineStr">
        <is>
          <t>1993-05-26</t>
        </is>
      </c>
      <c r="Y1475" t="n">
        <v>276</v>
      </c>
      <c r="Z1475" t="n">
        <v>197</v>
      </c>
      <c r="AA1475" t="n">
        <v>213</v>
      </c>
      <c r="AB1475" t="n">
        <v>2</v>
      </c>
      <c r="AC1475" t="n">
        <v>2</v>
      </c>
      <c r="AD1475" t="n">
        <v>6</v>
      </c>
      <c r="AE1475" t="n">
        <v>7</v>
      </c>
      <c r="AF1475" t="n">
        <v>1</v>
      </c>
      <c r="AG1475" t="n">
        <v>2</v>
      </c>
      <c r="AH1475" t="n">
        <v>3</v>
      </c>
      <c r="AI1475" t="n">
        <v>3</v>
      </c>
      <c r="AJ1475" t="n">
        <v>3</v>
      </c>
      <c r="AK1475" t="n">
        <v>4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HYPERLINK("https://creighton-primo.hosted.exlibrisgroup.com/primo-explore/search?tab=default_tab&amp;search_scope=EVERYTHING&amp;vid=01CRU&amp;lang=en_US&amp;offset=0&amp;query=any,contains,991000839779702656","Catalog Record")</f>
        <v/>
      </c>
      <c r="AT1475">
        <f>HYPERLINK("http://www.worldcat.org/oclc/13525132","WorldCat Record")</f>
        <v/>
      </c>
      <c r="AU1475" t="inlineStr">
        <is>
          <t>7338319:eng</t>
        </is>
      </c>
      <c r="AV1475" t="inlineStr">
        <is>
          <t>13525132</t>
        </is>
      </c>
      <c r="AW1475" t="inlineStr">
        <is>
          <t>991000839779702656</t>
        </is>
      </c>
      <c r="AX1475" t="inlineStr">
        <is>
          <t>991000839779702656</t>
        </is>
      </c>
      <c r="AY1475" t="inlineStr">
        <is>
          <t>2262518280002656</t>
        </is>
      </c>
      <c r="AZ1475" t="inlineStr">
        <is>
          <t>BOOK</t>
        </is>
      </c>
      <c r="BB1475" t="inlineStr">
        <is>
          <t>9780387166353</t>
        </is>
      </c>
      <c r="BC1475" t="inlineStr">
        <is>
          <t>32285001712271</t>
        </is>
      </c>
      <c r="BD1475" t="inlineStr">
        <is>
          <t>893327641</t>
        </is>
      </c>
    </row>
    <row r="1476">
      <c r="A1476" t="inlineStr">
        <is>
          <t>No</t>
        </is>
      </c>
      <c r="B1476" t="inlineStr">
        <is>
          <t>QH607 .R4 v.16</t>
        </is>
      </c>
      <c r="C1476" t="inlineStr">
        <is>
          <t>0                      QH 0607000R  4                                                       v.16</t>
        </is>
      </c>
      <c r="D1476" t="inlineStr">
        <is>
          <t>Heat shock and other stress response systems of plants / edited by Lutz Nover, Dieter Neumann, Klaus-Dieter Scharf.</t>
        </is>
      </c>
      <c r="E1476" t="inlineStr">
        <is>
          <t>V. 16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Berlin ; New York : Springer-Verlag, c1989.</t>
        </is>
      </c>
      <c r="M1476" t="inlineStr">
        <is>
          <t>1989</t>
        </is>
      </c>
      <c r="O1476" t="inlineStr">
        <is>
          <t>eng</t>
        </is>
      </c>
      <c r="P1476" t="inlineStr">
        <is>
          <t xml:space="preserve">gw </t>
        </is>
      </c>
      <c r="Q1476" t="inlineStr">
        <is>
          <t>Results and problems in cell differentiation ; v. 16</t>
        </is>
      </c>
      <c r="R1476" t="inlineStr">
        <is>
          <t xml:space="preserve">QH </t>
        </is>
      </c>
      <c r="S1476" t="n">
        <v>3</v>
      </c>
      <c r="T1476" t="n">
        <v>3</v>
      </c>
      <c r="U1476" t="inlineStr">
        <is>
          <t>2002-10-23</t>
        </is>
      </c>
      <c r="V1476" t="inlineStr">
        <is>
          <t>2002-10-23</t>
        </is>
      </c>
      <c r="W1476" t="inlineStr">
        <is>
          <t>1993-05-26</t>
        </is>
      </c>
      <c r="X1476" t="inlineStr">
        <is>
          <t>1993-05-26</t>
        </is>
      </c>
      <c r="Y1476" t="n">
        <v>287</v>
      </c>
      <c r="Z1476" t="n">
        <v>200</v>
      </c>
      <c r="AA1476" t="n">
        <v>203</v>
      </c>
      <c r="AB1476" t="n">
        <v>2</v>
      </c>
      <c r="AC1476" t="n">
        <v>2</v>
      </c>
      <c r="AD1476" t="n">
        <v>8</v>
      </c>
      <c r="AE1476" t="n">
        <v>8</v>
      </c>
      <c r="AF1476" t="n">
        <v>1</v>
      </c>
      <c r="AG1476" t="n">
        <v>1</v>
      </c>
      <c r="AH1476" t="n">
        <v>4</v>
      </c>
      <c r="AI1476" t="n">
        <v>4</v>
      </c>
      <c r="AJ1476" t="n">
        <v>4</v>
      </c>
      <c r="AK1476" t="n">
        <v>4</v>
      </c>
      <c r="AL1476" t="n">
        <v>1</v>
      </c>
      <c r="AM1476" t="n">
        <v>1</v>
      </c>
      <c r="AN1476" t="n">
        <v>0</v>
      </c>
      <c r="AO1476" t="n">
        <v>0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HYPERLINK("http://catalog.hathitrust.org/Record/002064567","HathiTrust Record")</f>
        <v/>
      </c>
      <c r="AS1476">
        <f>HYPERLINK("https://creighton-primo.hosted.exlibrisgroup.com/primo-explore/search?tab=default_tab&amp;search_scope=EVERYTHING&amp;vid=01CRU&amp;lang=en_US&amp;offset=0&amp;query=any,contains,991001624879702656","Catalog Record")</f>
        <v/>
      </c>
      <c r="AT1476">
        <f>HYPERLINK("http://www.worldcat.org/oclc/20827947","WorldCat Record")</f>
        <v/>
      </c>
      <c r="AU1476" t="inlineStr">
        <is>
          <t>365308612:eng</t>
        </is>
      </c>
      <c r="AV1476" t="inlineStr">
        <is>
          <t>20827947</t>
        </is>
      </c>
      <c r="AW1476" t="inlineStr">
        <is>
          <t>991001624879702656</t>
        </is>
      </c>
      <c r="AX1476" t="inlineStr">
        <is>
          <t>991001624879702656</t>
        </is>
      </c>
      <c r="AY1476" t="inlineStr">
        <is>
          <t>2261714930002656</t>
        </is>
      </c>
      <c r="AZ1476" t="inlineStr">
        <is>
          <t>BOOK</t>
        </is>
      </c>
      <c r="BB1476" t="inlineStr">
        <is>
          <t>9780387518374</t>
        </is>
      </c>
      <c r="BC1476" t="inlineStr">
        <is>
          <t>32285001712305</t>
        </is>
      </c>
      <c r="BD1476" t="inlineStr">
        <is>
          <t>893534611</t>
        </is>
      </c>
    </row>
    <row r="1477">
      <c r="A1477" t="inlineStr">
        <is>
          <t>No</t>
        </is>
      </c>
      <c r="B1477" t="inlineStr">
        <is>
          <t>QH607 .R4 v.17</t>
        </is>
      </c>
      <c r="C1477" t="inlineStr">
        <is>
          <t>0                      QH 0607000R  4                                                       v.17</t>
        </is>
      </c>
      <c r="D1477" t="inlineStr">
        <is>
          <t>Heat shock and development / L. Hightower, L. Nover, eds.</t>
        </is>
      </c>
      <c r="E1477" t="inlineStr">
        <is>
          <t>V. 17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Berlin ; New York : Springer-Verlag, c1991.</t>
        </is>
      </c>
      <c r="M1477" t="inlineStr">
        <is>
          <t>1991</t>
        </is>
      </c>
      <c r="O1477" t="inlineStr">
        <is>
          <t>eng</t>
        </is>
      </c>
      <c r="P1477" t="inlineStr">
        <is>
          <t xml:space="preserve">gw </t>
        </is>
      </c>
      <c r="Q1477" t="inlineStr">
        <is>
          <t>Results and problems in cell differentiation ; v. 17</t>
        </is>
      </c>
      <c r="R1477" t="inlineStr">
        <is>
          <t xml:space="preserve">QH </t>
        </is>
      </c>
      <c r="S1477" t="n">
        <v>4</v>
      </c>
      <c r="T1477" t="n">
        <v>4</v>
      </c>
      <c r="U1477" t="inlineStr">
        <is>
          <t>2002-10-23</t>
        </is>
      </c>
      <c r="V1477" t="inlineStr">
        <is>
          <t>2002-10-23</t>
        </is>
      </c>
      <c r="W1477" t="inlineStr">
        <is>
          <t>1992-02-13</t>
        </is>
      </c>
      <c r="X1477" t="inlineStr">
        <is>
          <t>1992-02-13</t>
        </is>
      </c>
      <c r="Y1477" t="n">
        <v>237</v>
      </c>
      <c r="Z1477" t="n">
        <v>175</v>
      </c>
      <c r="AA1477" t="n">
        <v>197</v>
      </c>
      <c r="AB1477" t="n">
        <v>1</v>
      </c>
      <c r="AC1477" t="n">
        <v>1</v>
      </c>
      <c r="AD1477" t="n">
        <v>6</v>
      </c>
      <c r="AE1477" t="n">
        <v>7</v>
      </c>
      <c r="AF1477" t="n">
        <v>1</v>
      </c>
      <c r="AG1477" t="n">
        <v>2</v>
      </c>
      <c r="AH1477" t="n">
        <v>4</v>
      </c>
      <c r="AI1477" t="n">
        <v>4</v>
      </c>
      <c r="AJ1477" t="n">
        <v>3</v>
      </c>
      <c r="AK1477" t="n">
        <v>4</v>
      </c>
      <c r="AL1477" t="n">
        <v>0</v>
      </c>
      <c r="AM1477" t="n">
        <v>0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No</t>
        </is>
      </c>
      <c r="AS1477">
        <f>HYPERLINK("https://creighton-primo.hosted.exlibrisgroup.com/primo-explore/search?tab=default_tab&amp;search_scope=EVERYTHING&amp;vid=01CRU&amp;lang=en_US&amp;offset=0&amp;query=any,contains,991001935989702656","Catalog Record")</f>
        <v/>
      </c>
      <c r="AT1477">
        <f>HYPERLINK("http://www.worldcat.org/oclc/24467199","WorldCat Record")</f>
        <v/>
      </c>
      <c r="AU1477" t="inlineStr">
        <is>
          <t>365392338:eng</t>
        </is>
      </c>
      <c r="AV1477" t="inlineStr">
        <is>
          <t>24467199</t>
        </is>
      </c>
      <c r="AW1477" t="inlineStr">
        <is>
          <t>991001935989702656</t>
        </is>
      </c>
      <c r="AX1477" t="inlineStr">
        <is>
          <t>991001935989702656</t>
        </is>
      </c>
      <c r="AY1477" t="inlineStr">
        <is>
          <t>2267122690002656</t>
        </is>
      </c>
      <c r="AZ1477" t="inlineStr">
        <is>
          <t>BOOK</t>
        </is>
      </c>
      <c r="BB1477" t="inlineStr">
        <is>
          <t>9780387531199</t>
        </is>
      </c>
      <c r="BC1477" t="inlineStr">
        <is>
          <t>32285000935428</t>
        </is>
      </c>
      <c r="BD1477" t="inlineStr">
        <is>
          <t>893334739</t>
        </is>
      </c>
    </row>
    <row r="1478">
      <c r="A1478" t="inlineStr">
        <is>
          <t>No</t>
        </is>
      </c>
      <c r="B1478" t="inlineStr">
        <is>
          <t>QH607 .R4 v.18</t>
        </is>
      </c>
      <c r="C1478" t="inlineStr">
        <is>
          <t>0                      QH 0607000R  4                                                       v.18</t>
        </is>
      </c>
      <c r="D1478" t="inlineStr">
        <is>
          <t>Early embyronic development of animals / W. Hennig, ed.</t>
        </is>
      </c>
      <c r="E1478" t="inlineStr">
        <is>
          <t>V. 18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Berlin ; New York : Springer-Verlag, 1992.</t>
        </is>
      </c>
      <c r="M1478" t="inlineStr">
        <is>
          <t>1992</t>
        </is>
      </c>
      <c r="O1478" t="inlineStr">
        <is>
          <t>eng</t>
        </is>
      </c>
      <c r="P1478" t="inlineStr">
        <is>
          <t xml:space="preserve">gw </t>
        </is>
      </c>
      <c r="Q1478" t="inlineStr">
        <is>
          <t>Results and problems in cell differentiation ; v. 18</t>
        </is>
      </c>
      <c r="R1478" t="inlineStr">
        <is>
          <t xml:space="preserve">QH </t>
        </is>
      </c>
      <c r="S1478" t="n">
        <v>2</v>
      </c>
      <c r="T1478" t="n">
        <v>2</v>
      </c>
      <c r="U1478" t="inlineStr">
        <is>
          <t>1995-10-01</t>
        </is>
      </c>
      <c r="V1478" t="inlineStr">
        <is>
          <t>1995-10-01</t>
        </is>
      </c>
      <c r="W1478" t="inlineStr">
        <is>
          <t>1993-01-27</t>
        </is>
      </c>
      <c r="X1478" t="inlineStr">
        <is>
          <t>1993-01-27</t>
        </is>
      </c>
      <c r="Y1478" t="n">
        <v>228</v>
      </c>
      <c r="Z1478" t="n">
        <v>171</v>
      </c>
      <c r="AA1478" t="n">
        <v>187</v>
      </c>
      <c r="AB1478" t="n">
        <v>1</v>
      </c>
      <c r="AC1478" t="n">
        <v>1</v>
      </c>
      <c r="AD1478" t="n">
        <v>8</v>
      </c>
      <c r="AE1478" t="n">
        <v>8</v>
      </c>
      <c r="AF1478" t="n">
        <v>3</v>
      </c>
      <c r="AG1478" t="n">
        <v>3</v>
      </c>
      <c r="AH1478" t="n">
        <v>3</v>
      </c>
      <c r="AI1478" t="n">
        <v>3</v>
      </c>
      <c r="AJ1478" t="n">
        <v>6</v>
      </c>
      <c r="AK1478" t="n">
        <v>6</v>
      </c>
      <c r="AL1478" t="n">
        <v>0</v>
      </c>
      <c r="AM1478" t="n">
        <v>0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HYPERLINK("https://creighton-primo.hosted.exlibrisgroup.com/primo-explore/search?tab=default_tab&amp;search_scope=EVERYTHING&amp;vid=01CRU&amp;lang=en_US&amp;offset=0&amp;query=any,contains,991002041129702656","Catalog Record")</f>
        <v/>
      </c>
      <c r="AT1478">
        <f>HYPERLINK("http://www.worldcat.org/oclc/26053268","WorldCat Record")</f>
        <v/>
      </c>
      <c r="AU1478" t="inlineStr">
        <is>
          <t>28459238:eng</t>
        </is>
      </c>
      <c r="AV1478" t="inlineStr">
        <is>
          <t>26053268</t>
        </is>
      </c>
      <c r="AW1478" t="inlineStr">
        <is>
          <t>991002041129702656</t>
        </is>
      </c>
      <c r="AX1478" t="inlineStr">
        <is>
          <t>991002041129702656</t>
        </is>
      </c>
      <c r="AY1478" t="inlineStr">
        <is>
          <t>2257979050002656</t>
        </is>
      </c>
      <c r="AZ1478" t="inlineStr">
        <is>
          <t>BOOK</t>
        </is>
      </c>
      <c r="BB1478" t="inlineStr">
        <is>
          <t>9780387555089</t>
        </is>
      </c>
      <c r="BC1478" t="inlineStr">
        <is>
          <t>32285001521854</t>
        </is>
      </c>
      <c r="BD1478" t="inlineStr">
        <is>
          <t>893256806</t>
        </is>
      </c>
    </row>
    <row r="1479">
      <c r="A1479" t="inlineStr">
        <is>
          <t>No</t>
        </is>
      </c>
      <c r="B1479" t="inlineStr">
        <is>
          <t>QH607 .R4 v.21</t>
        </is>
      </c>
      <c r="C1479" t="inlineStr">
        <is>
          <t>0                      QH 0607000R  4                                                       v.21</t>
        </is>
      </c>
      <c r="D1479" t="inlineStr">
        <is>
          <t>Trinucleotide diseases and instability / Ben A. Oostra, ed.</t>
        </is>
      </c>
      <c r="E1479" t="inlineStr">
        <is>
          <t>V. 21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L1479" t="inlineStr">
        <is>
          <t>Berlin ; New York : Springer, c1998.</t>
        </is>
      </c>
      <c r="M1479" t="inlineStr">
        <is>
          <t>1998</t>
        </is>
      </c>
      <c r="O1479" t="inlineStr">
        <is>
          <t>eng</t>
        </is>
      </c>
      <c r="P1479" t="inlineStr">
        <is>
          <t xml:space="preserve">gw </t>
        </is>
      </c>
      <c r="Q1479" t="inlineStr">
        <is>
          <t>Results and problems in cell differentiation, 0080-1844 ; v. 21</t>
        </is>
      </c>
      <c r="R1479" t="inlineStr">
        <is>
          <t xml:space="preserve">QH </t>
        </is>
      </c>
      <c r="S1479" t="n">
        <v>4</v>
      </c>
      <c r="T1479" t="n">
        <v>4</v>
      </c>
      <c r="U1479" t="inlineStr">
        <is>
          <t>2000-02-04</t>
        </is>
      </c>
      <c r="V1479" t="inlineStr">
        <is>
          <t>2000-02-04</t>
        </is>
      </c>
      <c r="W1479" t="inlineStr">
        <is>
          <t>1998-10-08</t>
        </is>
      </c>
      <c r="X1479" t="inlineStr">
        <is>
          <t>1998-10-08</t>
        </is>
      </c>
      <c r="Y1479" t="n">
        <v>184</v>
      </c>
      <c r="Z1479" t="n">
        <v>134</v>
      </c>
      <c r="AA1479" t="n">
        <v>157</v>
      </c>
      <c r="AB1479" t="n">
        <v>1</v>
      </c>
      <c r="AC1479" t="n">
        <v>1</v>
      </c>
      <c r="AD1479" t="n">
        <v>5</v>
      </c>
      <c r="AE1479" t="n">
        <v>7</v>
      </c>
      <c r="AF1479" t="n">
        <v>1</v>
      </c>
      <c r="AG1479" t="n">
        <v>2</v>
      </c>
      <c r="AH1479" t="n">
        <v>3</v>
      </c>
      <c r="AI1479" t="n">
        <v>3</v>
      </c>
      <c r="AJ1479" t="n">
        <v>2</v>
      </c>
      <c r="AK1479" t="n">
        <v>4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HYPERLINK("https://creighton-primo.hosted.exlibrisgroup.com/primo-explore/search?tab=default_tab&amp;search_scope=EVERYTHING&amp;vid=01CRU&amp;lang=en_US&amp;offset=0&amp;query=any,contains,991002891999702656","Catalog Record")</f>
        <v/>
      </c>
      <c r="AT1479">
        <f>HYPERLINK("http://www.worldcat.org/oclc/38106808","WorldCat Record")</f>
        <v/>
      </c>
      <c r="AU1479" t="inlineStr">
        <is>
          <t>629611:eng</t>
        </is>
      </c>
      <c r="AV1479" t="inlineStr">
        <is>
          <t>38106808</t>
        </is>
      </c>
      <c r="AW1479" t="inlineStr">
        <is>
          <t>991002891999702656</t>
        </is>
      </c>
      <c r="AX1479" t="inlineStr">
        <is>
          <t>991002891999702656</t>
        </is>
      </c>
      <c r="AY1479" t="inlineStr">
        <is>
          <t>2258847030002656</t>
        </is>
      </c>
      <c r="AZ1479" t="inlineStr">
        <is>
          <t>BOOK</t>
        </is>
      </c>
      <c r="BB1479" t="inlineStr">
        <is>
          <t>9783540639930</t>
        </is>
      </c>
      <c r="BC1479" t="inlineStr">
        <is>
          <t>32285003474144</t>
        </is>
      </c>
      <c r="BD1479" t="inlineStr">
        <is>
          <t>893627356</t>
        </is>
      </c>
    </row>
    <row r="1480">
      <c r="A1480" t="inlineStr">
        <is>
          <t>No</t>
        </is>
      </c>
      <c r="B1480" t="inlineStr">
        <is>
          <t>QH607 .R4 v.22</t>
        </is>
      </c>
      <c r="C1480" t="inlineStr">
        <is>
          <t>0                      QH 0607000R  4                                                       v.22</t>
        </is>
      </c>
      <c r="D1480" t="inlineStr">
        <is>
          <t>Cell cycle control / Michele Pagano, ed.</t>
        </is>
      </c>
      <c r="E1480" t="inlineStr">
        <is>
          <t>V. 22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L1480" t="inlineStr">
        <is>
          <t>Berlin ; New York : Springer, c1998.</t>
        </is>
      </c>
      <c r="M1480" t="inlineStr">
        <is>
          <t>1998</t>
        </is>
      </c>
      <c r="O1480" t="inlineStr">
        <is>
          <t>eng</t>
        </is>
      </c>
      <c r="P1480" t="inlineStr">
        <is>
          <t xml:space="preserve">gw </t>
        </is>
      </c>
      <c r="Q1480" t="inlineStr">
        <is>
          <t>Results and problems in cell differentiation ; 22</t>
        </is>
      </c>
      <c r="R1480" t="inlineStr">
        <is>
          <t xml:space="preserve">QH </t>
        </is>
      </c>
      <c r="S1480" t="n">
        <v>3</v>
      </c>
      <c r="T1480" t="n">
        <v>3</v>
      </c>
      <c r="U1480" t="inlineStr">
        <is>
          <t>2007-01-30</t>
        </is>
      </c>
      <c r="V1480" t="inlineStr">
        <is>
          <t>2007-01-30</t>
        </is>
      </c>
      <c r="W1480" t="inlineStr">
        <is>
          <t>1998-09-22</t>
        </is>
      </c>
      <c r="X1480" t="inlineStr">
        <is>
          <t>1998-09-22</t>
        </is>
      </c>
      <c r="Y1480" t="n">
        <v>239</v>
      </c>
      <c r="Z1480" t="n">
        <v>164</v>
      </c>
      <c r="AA1480" t="n">
        <v>191</v>
      </c>
      <c r="AB1480" t="n">
        <v>2</v>
      </c>
      <c r="AC1480" t="n">
        <v>2</v>
      </c>
      <c r="AD1480" t="n">
        <v>8</v>
      </c>
      <c r="AE1480" t="n">
        <v>11</v>
      </c>
      <c r="AF1480" t="n">
        <v>1</v>
      </c>
      <c r="AG1480" t="n">
        <v>3</v>
      </c>
      <c r="AH1480" t="n">
        <v>5</v>
      </c>
      <c r="AI1480" t="n">
        <v>6</v>
      </c>
      <c r="AJ1480" t="n">
        <v>3</v>
      </c>
      <c r="AK1480" t="n">
        <v>5</v>
      </c>
      <c r="AL1480" t="n">
        <v>1</v>
      </c>
      <c r="AM1480" t="n">
        <v>1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HYPERLINK("https://creighton-primo.hosted.exlibrisgroup.com/primo-explore/search?tab=default_tab&amp;search_scope=EVERYTHING&amp;vid=01CRU&amp;lang=en_US&amp;offset=0&amp;query=any,contains,991002899279702656","Catalog Record")</f>
        <v/>
      </c>
      <c r="AT1480">
        <f>HYPERLINK("http://www.worldcat.org/oclc/38216200","WorldCat Record")</f>
        <v/>
      </c>
      <c r="AU1480" t="inlineStr">
        <is>
          <t>56245516:eng</t>
        </is>
      </c>
      <c r="AV1480" t="inlineStr">
        <is>
          <t>38216200</t>
        </is>
      </c>
      <c r="AW1480" t="inlineStr">
        <is>
          <t>991002899279702656</t>
        </is>
      </c>
      <c r="AX1480" t="inlineStr">
        <is>
          <t>991002899279702656</t>
        </is>
      </c>
      <c r="AY1480" t="inlineStr">
        <is>
          <t>2255618770002656</t>
        </is>
      </c>
      <c r="AZ1480" t="inlineStr">
        <is>
          <t>BOOK</t>
        </is>
      </c>
      <c r="BB1480" t="inlineStr">
        <is>
          <t>9783540640318</t>
        </is>
      </c>
      <c r="BC1480" t="inlineStr">
        <is>
          <t>32285003469979</t>
        </is>
      </c>
      <c r="BD1480" t="inlineStr">
        <is>
          <t>893335873</t>
        </is>
      </c>
    </row>
    <row r="1481">
      <c r="A1481" t="inlineStr">
        <is>
          <t>No</t>
        </is>
      </c>
      <c r="B1481" t="inlineStr">
        <is>
          <t>QH607 .R4 v.23</t>
        </is>
      </c>
      <c r="C1481" t="inlineStr">
        <is>
          <t>0                      QH 0607000R  4                                                       v.23</t>
        </is>
      </c>
      <c r="D1481" t="inlineStr">
        <is>
          <t>Apoptosis : biology and mechanisms / S. Kumar (ed.).</t>
        </is>
      </c>
      <c r="E1481" t="inlineStr">
        <is>
          <t>V. 23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Berlin ; New York : Springer, c1998.</t>
        </is>
      </c>
      <c r="M1481" t="inlineStr">
        <is>
          <t>1998</t>
        </is>
      </c>
      <c r="O1481" t="inlineStr">
        <is>
          <t>eng</t>
        </is>
      </c>
      <c r="P1481" t="inlineStr">
        <is>
          <t xml:space="preserve">gw </t>
        </is>
      </c>
      <c r="Q1481" t="inlineStr">
        <is>
          <t>Results and problems in cell differentiation, 0080-1844 ; 23</t>
        </is>
      </c>
      <c r="R1481" t="inlineStr">
        <is>
          <t xml:space="preserve">QH </t>
        </is>
      </c>
      <c r="S1481" t="n">
        <v>4</v>
      </c>
      <c r="T1481" t="n">
        <v>4</v>
      </c>
      <c r="U1481" t="inlineStr">
        <is>
          <t>2002-06-04</t>
        </is>
      </c>
      <c r="V1481" t="inlineStr">
        <is>
          <t>2002-06-04</t>
        </is>
      </c>
      <c r="W1481" t="inlineStr">
        <is>
          <t>1999-01-07</t>
        </is>
      </c>
      <c r="X1481" t="inlineStr">
        <is>
          <t>1999-01-07</t>
        </is>
      </c>
      <c r="Y1481" t="n">
        <v>171</v>
      </c>
      <c r="Z1481" t="n">
        <v>151</v>
      </c>
      <c r="AA1481" t="n">
        <v>201</v>
      </c>
      <c r="AB1481" t="n">
        <v>2</v>
      </c>
      <c r="AC1481" t="n">
        <v>2</v>
      </c>
      <c r="AD1481" t="n">
        <v>5</v>
      </c>
      <c r="AE1481" t="n">
        <v>9</v>
      </c>
      <c r="AF1481" t="n">
        <v>0</v>
      </c>
      <c r="AG1481" t="n">
        <v>1</v>
      </c>
      <c r="AH1481" t="n">
        <v>2</v>
      </c>
      <c r="AI1481" t="n">
        <v>4</v>
      </c>
      <c r="AJ1481" t="n">
        <v>3</v>
      </c>
      <c r="AK1481" t="n">
        <v>6</v>
      </c>
      <c r="AL1481" t="n">
        <v>1</v>
      </c>
      <c r="AM1481" t="n">
        <v>1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HYPERLINK("https://creighton-primo.hosted.exlibrisgroup.com/primo-explore/search?tab=default_tab&amp;search_scope=EVERYTHING&amp;vid=01CRU&amp;lang=en_US&amp;offset=0&amp;query=any,contains,991002948779702656","Catalog Record")</f>
        <v/>
      </c>
      <c r="AT1481">
        <f>HYPERLINK("http://www.worldcat.org/oclc/39282405","WorldCat Record")</f>
        <v/>
      </c>
      <c r="AU1481" t="inlineStr">
        <is>
          <t>890004631:eng</t>
        </is>
      </c>
      <c r="AV1481" t="inlineStr">
        <is>
          <t>39282405</t>
        </is>
      </c>
      <c r="AW1481" t="inlineStr">
        <is>
          <t>991002948779702656</t>
        </is>
      </c>
      <c r="AX1481" t="inlineStr">
        <is>
          <t>991002948779702656</t>
        </is>
      </c>
      <c r="AY1481" t="inlineStr">
        <is>
          <t>2264671840002656</t>
        </is>
      </c>
      <c r="AZ1481" t="inlineStr">
        <is>
          <t>BOOK</t>
        </is>
      </c>
      <c r="BB1481" t="inlineStr">
        <is>
          <t>9783540646310</t>
        </is>
      </c>
      <c r="BC1481" t="inlineStr">
        <is>
          <t>32285003510442</t>
        </is>
      </c>
      <c r="BD1481" t="inlineStr">
        <is>
          <t>893592002</t>
        </is>
      </c>
    </row>
    <row r="1482">
      <c r="A1482" t="inlineStr">
        <is>
          <t>No</t>
        </is>
      </c>
      <c r="B1482" t="inlineStr">
        <is>
          <t>QH607 .R4 v.25</t>
        </is>
      </c>
      <c r="C1482" t="inlineStr">
        <is>
          <t>0                      QH 0607000R  4                                                       v.25</t>
        </is>
      </c>
      <c r="D1482" t="inlineStr">
        <is>
          <t>Genomic imprinting : an interdisciplinary approach / Rolf Ohlsson, ed.</t>
        </is>
      </c>
      <c r="E1482" t="inlineStr">
        <is>
          <t>V. 25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L1482" t="inlineStr">
        <is>
          <t>Berlin ; New York : Springer, c1999.</t>
        </is>
      </c>
      <c r="M1482" t="inlineStr">
        <is>
          <t>1999</t>
        </is>
      </c>
      <c r="O1482" t="inlineStr">
        <is>
          <t>eng</t>
        </is>
      </c>
      <c r="P1482" t="inlineStr">
        <is>
          <t xml:space="preserve">gw </t>
        </is>
      </c>
      <c r="Q1482" t="inlineStr">
        <is>
          <t>Results and problems in cell differentiation, 0080-1844 ; 25</t>
        </is>
      </c>
      <c r="R1482" t="inlineStr">
        <is>
          <t xml:space="preserve">QH </t>
        </is>
      </c>
      <c r="S1482" t="n">
        <v>1</v>
      </c>
      <c r="T1482" t="n">
        <v>1</v>
      </c>
      <c r="U1482" t="inlineStr">
        <is>
          <t>2008-09-28</t>
        </is>
      </c>
      <c r="V1482" t="inlineStr">
        <is>
          <t>2008-09-28</t>
        </is>
      </c>
      <c r="W1482" t="inlineStr">
        <is>
          <t>1999-05-17</t>
        </is>
      </c>
      <c r="X1482" t="inlineStr">
        <is>
          <t>1999-05-17</t>
        </is>
      </c>
      <c r="Y1482" t="n">
        <v>214</v>
      </c>
      <c r="Z1482" t="n">
        <v>158</v>
      </c>
      <c r="AA1482" t="n">
        <v>182</v>
      </c>
      <c r="AB1482" t="n">
        <v>2</v>
      </c>
      <c r="AC1482" t="n">
        <v>2</v>
      </c>
      <c r="AD1482" t="n">
        <v>9</v>
      </c>
      <c r="AE1482" t="n">
        <v>11</v>
      </c>
      <c r="AF1482" t="n">
        <v>2</v>
      </c>
      <c r="AG1482" t="n">
        <v>3</v>
      </c>
      <c r="AH1482" t="n">
        <v>5</v>
      </c>
      <c r="AI1482" t="n">
        <v>5</v>
      </c>
      <c r="AJ1482" t="n">
        <v>4</v>
      </c>
      <c r="AK1482" t="n">
        <v>6</v>
      </c>
      <c r="AL1482" t="n">
        <v>1</v>
      </c>
      <c r="AM1482" t="n">
        <v>1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HYPERLINK("http://catalog.hathitrust.org/Record/003335769","HathiTrust Record")</f>
        <v/>
      </c>
      <c r="AS1482">
        <f>HYPERLINK("https://creighton-primo.hosted.exlibrisgroup.com/primo-explore/search?tab=default_tab&amp;search_scope=EVERYTHING&amp;vid=01CRU&amp;lang=en_US&amp;offset=0&amp;query=any,contains,991002966829702656","Catalog Record")</f>
        <v/>
      </c>
      <c r="AT1482">
        <f>HYPERLINK("http://www.worldcat.org/oclc/39699947","WorldCat Record")</f>
        <v/>
      </c>
      <c r="AU1482" t="inlineStr">
        <is>
          <t>1407048193:eng</t>
        </is>
      </c>
      <c r="AV1482" t="inlineStr">
        <is>
          <t>39699947</t>
        </is>
      </c>
      <c r="AW1482" t="inlineStr">
        <is>
          <t>991002966829702656</t>
        </is>
      </c>
      <c r="AX1482" t="inlineStr">
        <is>
          <t>991002966829702656</t>
        </is>
      </c>
      <c r="AY1482" t="inlineStr">
        <is>
          <t>2265471660002656</t>
        </is>
      </c>
      <c r="AZ1482" t="inlineStr">
        <is>
          <t>BOOK</t>
        </is>
      </c>
      <c r="BB1482" t="inlineStr">
        <is>
          <t>9783540646679</t>
        </is>
      </c>
      <c r="BC1482" t="inlineStr">
        <is>
          <t>32285003570974</t>
        </is>
      </c>
      <c r="BD1482" t="inlineStr">
        <is>
          <t>893511419</t>
        </is>
      </c>
    </row>
    <row r="1483">
      <c r="A1483" t="inlineStr">
        <is>
          <t>No</t>
        </is>
      </c>
      <c r="B1483" t="inlineStr">
        <is>
          <t>QH607 .R4 v.29</t>
        </is>
      </c>
      <c r="C1483" t="inlineStr">
        <is>
          <t>0                      QH 0607000R  4                                                       v.29</t>
        </is>
      </c>
      <c r="D1483" t="inlineStr">
        <is>
          <t>The molecular genetics of aging / Siegfried Hekimi, ed.</t>
        </is>
      </c>
      <c r="E1483" t="inlineStr">
        <is>
          <t>V. 29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L1483" t="inlineStr">
        <is>
          <t>Berlin ; New York : Springer, c2000.</t>
        </is>
      </c>
      <c r="M1483" t="inlineStr">
        <is>
          <t>2000</t>
        </is>
      </c>
      <c r="O1483" t="inlineStr">
        <is>
          <t>eng</t>
        </is>
      </c>
      <c r="P1483" t="inlineStr">
        <is>
          <t>nyu</t>
        </is>
      </c>
      <c r="Q1483" t="inlineStr">
        <is>
          <t>Results and problems in cell differentiation, 0080-1844 ; 29</t>
        </is>
      </c>
      <c r="R1483" t="inlineStr">
        <is>
          <t xml:space="preserve">QH </t>
        </is>
      </c>
      <c r="S1483" t="n">
        <v>1</v>
      </c>
      <c r="T1483" t="n">
        <v>1</v>
      </c>
      <c r="U1483" t="inlineStr">
        <is>
          <t>2004-10-27</t>
        </is>
      </c>
      <c r="V1483" t="inlineStr">
        <is>
          <t>2004-10-27</t>
        </is>
      </c>
      <c r="W1483" t="inlineStr">
        <is>
          <t>2000-08-24</t>
        </is>
      </c>
      <c r="X1483" t="inlineStr">
        <is>
          <t>2000-08-24</t>
        </is>
      </c>
      <c r="Y1483" t="n">
        <v>233</v>
      </c>
      <c r="Z1483" t="n">
        <v>181</v>
      </c>
      <c r="AA1483" t="n">
        <v>181</v>
      </c>
      <c r="AB1483" t="n">
        <v>2</v>
      </c>
      <c r="AC1483" t="n">
        <v>2</v>
      </c>
      <c r="AD1483" t="n">
        <v>9</v>
      </c>
      <c r="AE1483" t="n">
        <v>9</v>
      </c>
      <c r="AF1483" t="n">
        <v>1</v>
      </c>
      <c r="AG1483" t="n">
        <v>1</v>
      </c>
      <c r="AH1483" t="n">
        <v>5</v>
      </c>
      <c r="AI1483" t="n">
        <v>5</v>
      </c>
      <c r="AJ1483" t="n">
        <v>4</v>
      </c>
      <c r="AK1483" t="n">
        <v>4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HYPERLINK("https://creighton-primo.hosted.exlibrisgroup.com/primo-explore/search?tab=default_tab&amp;search_scope=EVERYTHING&amp;vid=01CRU&amp;lang=en_US&amp;offset=0&amp;query=any,contains,991003272249702656","Catalog Record")</f>
        <v/>
      </c>
      <c r="AT1483">
        <f>HYPERLINK("http://www.worldcat.org/oclc/42764977","WorldCat Record")</f>
        <v/>
      </c>
      <c r="AU1483" t="inlineStr">
        <is>
          <t>56486050:eng</t>
        </is>
      </c>
      <c r="AV1483" t="inlineStr">
        <is>
          <t>42764977</t>
        </is>
      </c>
      <c r="AW1483" t="inlineStr">
        <is>
          <t>991003272249702656</t>
        </is>
      </c>
      <c r="AX1483" t="inlineStr">
        <is>
          <t>991003272249702656</t>
        </is>
      </c>
      <c r="AY1483" t="inlineStr">
        <is>
          <t>2268356810002656</t>
        </is>
      </c>
      <c r="AZ1483" t="inlineStr">
        <is>
          <t>BOOK</t>
        </is>
      </c>
      <c r="BB1483" t="inlineStr">
        <is>
          <t>9783540666639</t>
        </is>
      </c>
      <c r="BC1483" t="inlineStr">
        <is>
          <t>32285003759296</t>
        </is>
      </c>
      <c r="BD1483" t="inlineStr">
        <is>
          <t>893505421</t>
        </is>
      </c>
    </row>
    <row r="1484">
      <c r="A1484" t="inlineStr">
        <is>
          <t>No</t>
        </is>
      </c>
      <c r="B1484" t="inlineStr">
        <is>
          <t>QH607 .R4 v.30</t>
        </is>
      </c>
      <c r="C1484" t="inlineStr">
        <is>
          <t>0                      QH 0607000R  4                                                       v.30</t>
        </is>
      </c>
      <c r="D1484" t="inlineStr">
        <is>
          <t>Mouse brain development / André M. Goffinet, Pasko Rakic, eds.</t>
        </is>
      </c>
      <c r="E1484" t="inlineStr">
        <is>
          <t>V. 30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Berlin ; New York : Springer, c2000.</t>
        </is>
      </c>
      <c r="M1484" t="inlineStr">
        <is>
          <t>2000</t>
        </is>
      </c>
      <c r="O1484" t="inlineStr">
        <is>
          <t>eng</t>
        </is>
      </c>
      <c r="P1484" t="inlineStr">
        <is>
          <t xml:space="preserve">gw </t>
        </is>
      </c>
      <c r="Q1484" t="inlineStr">
        <is>
          <t>Results and problems in cell differentiation, 0080-1844 ; 30</t>
        </is>
      </c>
      <c r="R1484" t="inlineStr">
        <is>
          <t xml:space="preserve">QH </t>
        </is>
      </c>
      <c r="S1484" t="n">
        <v>1</v>
      </c>
      <c r="T1484" t="n">
        <v>1</v>
      </c>
      <c r="U1484" t="inlineStr">
        <is>
          <t>2001-08-30</t>
        </is>
      </c>
      <c r="V1484" t="inlineStr">
        <is>
          <t>2001-08-30</t>
        </is>
      </c>
      <c r="W1484" t="inlineStr">
        <is>
          <t>2001-08-30</t>
        </is>
      </c>
      <c r="X1484" t="inlineStr">
        <is>
          <t>2001-08-30</t>
        </is>
      </c>
      <c r="Y1484" t="n">
        <v>201</v>
      </c>
      <c r="Z1484" t="n">
        <v>146</v>
      </c>
      <c r="AA1484" t="n">
        <v>147</v>
      </c>
      <c r="AB1484" t="n">
        <v>2</v>
      </c>
      <c r="AC1484" t="n">
        <v>2</v>
      </c>
      <c r="AD1484" t="n">
        <v>8</v>
      </c>
      <c r="AE1484" t="n">
        <v>8</v>
      </c>
      <c r="AF1484" t="n">
        <v>1</v>
      </c>
      <c r="AG1484" t="n">
        <v>1</v>
      </c>
      <c r="AH1484" t="n">
        <v>4</v>
      </c>
      <c r="AI1484" t="n">
        <v>4</v>
      </c>
      <c r="AJ1484" t="n">
        <v>3</v>
      </c>
      <c r="AK1484" t="n">
        <v>3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No</t>
        </is>
      </c>
      <c r="AS1484">
        <f>HYPERLINK("https://creighton-primo.hosted.exlibrisgroup.com/primo-explore/search?tab=default_tab&amp;search_scope=EVERYTHING&amp;vid=01CRU&amp;lang=en_US&amp;offset=0&amp;query=any,contains,991003600439702656","Catalog Record")</f>
        <v/>
      </c>
      <c r="AT1484">
        <f>HYPERLINK("http://www.worldcat.org/oclc/42812951","WorldCat Record")</f>
        <v/>
      </c>
      <c r="AU1484" t="inlineStr">
        <is>
          <t>350537321:eng</t>
        </is>
      </c>
      <c r="AV1484" t="inlineStr">
        <is>
          <t>42812951</t>
        </is>
      </c>
      <c r="AW1484" t="inlineStr">
        <is>
          <t>991003600439702656</t>
        </is>
      </c>
      <c r="AX1484" t="inlineStr">
        <is>
          <t>991003600439702656</t>
        </is>
      </c>
      <c r="AY1484" t="inlineStr">
        <is>
          <t>2259916170002656</t>
        </is>
      </c>
      <c r="AZ1484" t="inlineStr">
        <is>
          <t>BOOK</t>
        </is>
      </c>
      <c r="BB1484" t="inlineStr">
        <is>
          <t>9783540666646</t>
        </is>
      </c>
      <c r="BC1484" t="inlineStr">
        <is>
          <t>32285004383377</t>
        </is>
      </c>
      <c r="BD1484" t="inlineStr">
        <is>
          <t>893781167</t>
        </is>
      </c>
    </row>
    <row r="1485">
      <c r="A1485" t="inlineStr">
        <is>
          <t>No</t>
        </is>
      </c>
      <c r="B1485" t="inlineStr">
        <is>
          <t>QH607 .R4 v.31</t>
        </is>
      </c>
      <c r="C1485" t="inlineStr">
        <is>
          <t>0                      QH 0607000R  4                                                       v.31</t>
        </is>
      </c>
      <c r="D1485" t="inlineStr">
        <is>
          <t>Vertebrate eye development / M. Elizabeth Fini (ed).</t>
        </is>
      </c>
      <c r="E1485" t="inlineStr">
        <is>
          <t>V. 31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L1485" t="inlineStr">
        <is>
          <t>Berlin ; New York : Springer-Verlag, c2000.</t>
        </is>
      </c>
      <c r="M1485" t="inlineStr">
        <is>
          <t>2000</t>
        </is>
      </c>
      <c r="O1485" t="inlineStr">
        <is>
          <t>eng</t>
        </is>
      </c>
      <c r="P1485" t="inlineStr">
        <is>
          <t xml:space="preserve">gw </t>
        </is>
      </c>
      <c r="Q1485" t="inlineStr">
        <is>
          <t>Results and problems in cell differentiation, 0080-1844 ; 31</t>
        </is>
      </c>
      <c r="R1485" t="inlineStr">
        <is>
          <t xml:space="preserve">QH </t>
        </is>
      </c>
      <c r="S1485" t="n">
        <v>5</v>
      </c>
      <c r="T1485" t="n">
        <v>5</v>
      </c>
      <c r="U1485" t="inlineStr">
        <is>
          <t>2002-08-30</t>
        </is>
      </c>
      <c r="V1485" t="inlineStr">
        <is>
          <t>2002-08-30</t>
        </is>
      </c>
      <c r="W1485" t="inlineStr">
        <is>
          <t>2000-08-23</t>
        </is>
      </c>
      <c r="X1485" t="inlineStr">
        <is>
          <t>2000-08-23</t>
        </is>
      </c>
      <c r="Y1485" t="n">
        <v>207</v>
      </c>
      <c r="Z1485" t="n">
        <v>152</v>
      </c>
      <c r="AA1485" t="n">
        <v>152</v>
      </c>
      <c r="AB1485" t="n">
        <v>2</v>
      </c>
      <c r="AC1485" t="n">
        <v>2</v>
      </c>
      <c r="AD1485" t="n">
        <v>9</v>
      </c>
      <c r="AE1485" t="n">
        <v>9</v>
      </c>
      <c r="AF1485" t="n">
        <v>1</v>
      </c>
      <c r="AG1485" t="n">
        <v>1</v>
      </c>
      <c r="AH1485" t="n">
        <v>6</v>
      </c>
      <c r="AI1485" t="n">
        <v>6</v>
      </c>
      <c r="AJ1485" t="n">
        <v>3</v>
      </c>
      <c r="AK1485" t="n">
        <v>3</v>
      </c>
      <c r="AL1485" t="n">
        <v>1</v>
      </c>
      <c r="AM1485" t="n">
        <v>1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HYPERLINK("https://creighton-primo.hosted.exlibrisgroup.com/primo-explore/search?tab=default_tab&amp;search_scope=EVERYTHING&amp;vid=01CRU&amp;lang=en_US&amp;offset=0&amp;query=any,contains,991003266099702656","Catalog Record")</f>
        <v/>
      </c>
      <c r="AT1485">
        <f>HYPERLINK("http://www.worldcat.org/oclc/43287624","WorldCat Record")</f>
        <v/>
      </c>
      <c r="AU1485" t="inlineStr">
        <is>
          <t>14559374:eng</t>
        </is>
      </c>
      <c r="AV1485" t="inlineStr">
        <is>
          <t>43287624</t>
        </is>
      </c>
      <c r="AW1485" t="inlineStr">
        <is>
          <t>991003266099702656</t>
        </is>
      </c>
      <c r="AX1485" t="inlineStr">
        <is>
          <t>991003266099702656</t>
        </is>
      </c>
      <c r="AY1485" t="inlineStr">
        <is>
          <t>2268712340002656</t>
        </is>
      </c>
      <c r="AZ1485" t="inlineStr">
        <is>
          <t>BOOK</t>
        </is>
      </c>
      <c r="BB1485" t="inlineStr">
        <is>
          <t>9783540667193</t>
        </is>
      </c>
      <c r="BC1485" t="inlineStr">
        <is>
          <t>32285003758983</t>
        </is>
      </c>
      <c r="BD1485" t="inlineStr">
        <is>
          <t>893505410</t>
        </is>
      </c>
    </row>
    <row r="1486">
      <c r="A1486" t="inlineStr">
        <is>
          <t>No</t>
        </is>
      </c>
      <c r="B1486" t="inlineStr">
        <is>
          <t>QH607 .R4 v.33</t>
        </is>
      </c>
      <c r="C1486" t="inlineStr">
        <is>
          <t>0                      QH 0607000R  4                                                       v.33</t>
        </is>
      </c>
      <c r="D1486" t="inlineStr">
        <is>
          <t>Mammalian carbohydrate recognition systems / Paul R. Crocker (ed.).</t>
        </is>
      </c>
      <c r="E1486" t="inlineStr">
        <is>
          <t>V. 33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Berlin ; New York : Springer, c2001.</t>
        </is>
      </c>
      <c r="M1486" t="inlineStr">
        <is>
          <t>2001</t>
        </is>
      </c>
      <c r="O1486" t="inlineStr">
        <is>
          <t>eng</t>
        </is>
      </c>
      <c r="P1486" t="inlineStr">
        <is>
          <t xml:space="preserve">gw </t>
        </is>
      </c>
      <c r="Q1486" t="inlineStr">
        <is>
          <t>Results and problems in cell differentiation ; 33</t>
        </is>
      </c>
      <c r="R1486" t="inlineStr">
        <is>
          <t xml:space="preserve">QH </t>
        </is>
      </c>
      <c r="S1486" t="n">
        <v>1</v>
      </c>
      <c r="T1486" t="n">
        <v>1</v>
      </c>
      <c r="U1486" t="inlineStr">
        <is>
          <t>2001-05-15</t>
        </is>
      </c>
      <c r="V1486" t="inlineStr">
        <is>
          <t>2001-05-15</t>
        </is>
      </c>
      <c r="W1486" t="inlineStr">
        <is>
          <t>2001-05-15</t>
        </is>
      </c>
      <c r="X1486" t="inlineStr">
        <is>
          <t>2001-05-15</t>
        </is>
      </c>
      <c r="Y1486" t="n">
        <v>183</v>
      </c>
      <c r="Z1486" t="n">
        <v>142</v>
      </c>
      <c r="AA1486" t="n">
        <v>148</v>
      </c>
      <c r="AB1486" t="n">
        <v>2</v>
      </c>
      <c r="AC1486" t="n">
        <v>2</v>
      </c>
      <c r="AD1486" t="n">
        <v>7</v>
      </c>
      <c r="AE1486" t="n">
        <v>7</v>
      </c>
      <c r="AF1486" t="n">
        <v>1</v>
      </c>
      <c r="AG1486" t="n">
        <v>1</v>
      </c>
      <c r="AH1486" t="n">
        <v>4</v>
      </c>
      <c r="AI1486" t="n">
        <v>4</v>
      </c>
      <c r="AJ1486" t="n">
        <v>3</v>
      </c>
      <c r="AK1486" t="n">
        <v>3</v>
      </c>
      <c r="AL1486" t="n">
        <v>1</v>
      </c>
      <c r="AM1486" t="n">
        <v>1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HYPERLINK("https://creighton-primo.hosted.exlibrisgroup.com/primo-explore/search?tab=default_tab&amp;search_scope=EVERYTHING&amp;vid=01CRU&amp;lang=en_US&amp;offset=0&amp;query=any,contains,991003531649702656","Catalog Record")</f>
        <v/>
      </c>
      <c r="AT1486">
        <f>HYPERLINK("http://www.worldcat.org/oclc/44573368","WorldCat Record")</f>
        <v/>
      </c>
      <c r="AU1486" t="inlineStr">
        <is>
          <t>34227263:eng</t>
        </is>
      </c>
      <c r="AV1486" t="inlineStr">
        <is>
          <t>44573368</t>
        </is>
      </c>
      <c r="AW1486" t="inlineStr">
        <is>
          <t>991003531649702656</t>
        </is>
      </c>
      <c r="AX1486" t="inlineStr">
        <is>
          <t>991003531649702656</t>
        </is>
      </c>
      <c r="AY1486" t="inlineStr">
        <is>
          <t>2269523630002656</t>
        </is>
      </c>
      <c r="AZ1486" t="inlineStr">
        <is>
          <t>BOOK</t>
        </is>
      </c>
      <c r="BB1486" t="inlineStr">
        <is>
          <t>9783540673354</t>
        </is>
      </c>
      <c r="BC1486" t="inlineStr">
        <is>
          <t>32285004317748</t>
        </is>
      </c>
      <c r="BD1486" t="inlineStr">
        <is>
          <t>893623587</t>
        </is>
      </c>
    </row>
    <row r="1487">
      <c r="A1487" t="inlineStr">
        <is>
          <t>No</t>
        </is>
      </c>
      <c r="B1487" t="inlineStr">
        <is>
          <t>QH607 .R4 v.34</t>
        </is>
      </c>
      <c r="C1487" t="inlineStr">
        <is>
          <t>0                      QH 0607000R  4                                                       v.34</t>
        </is>
      </c>
      <c r="D1487" t="inlineStr">
        <is>
          <t>Cell polarity and subcellular RNA localization / Dietmar Richter (ed.).</t>
        </is>
      </c>
      <c r="E1487" t="inlineStr">
        <is>
          <t>V. 34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Berlin ; New York : Springer, 2001.</t>
        </is>
      </c>
      <c r="M1487" t="inlineStr">
        <is>
          <t>2001</t>
        </is>
      </c>
      <c r="O1487" t="inlineStr">
        <is>
          <t>eng</t>
        </is>
      </c>
      <c r="P1487" t="inlineStr">
        <is>
          <t xml:space="preserve">gw </t>
        </is>
      </c>
      <c r="Q1487" t="inlineStr">
        <is>
          <t>Results and problems in cell differentiation ; 34</t>
        </is>
      </c>
      <c r="R1487" t="inlineStr">
        <is>
          <t xml:space="preserve">QH </t>
        </is>
      </c>
      <c r="S1487" t="n">
        <v>3</v>
      </c>
      <c r="T1487" t="n">
        <v>3</v>
      </c>
      <c r="U1487" t="inlineStr">
        <is>
          <t>2006-10-04</t>
        </is>
      </c>
      <c r="V1487" t="inlineStr">
        <is>
          <t>2006-10-04</t>
        </is>
      </c>
      <c r="W1487" t="inlineStr">
        <is>
          <t>2001-06-21</t>
        </is>
      </c>
      <c r="X1487" t="inlineStr">
        <is>
          <t>2001-06-21</t>
        </is>
      </c>
      <c r="Y1487" t="n">
        <v>209</v>
      </c>
      <c r="Z1487" t="n">
        <v>160</v>
      </c>
      <c r="AA1487" t="n">
        <v>160</v>
      </c>
      <c r="AB1487" t="n">
        <v>2</v>
      </c>
      <c r="AC1487" t="n">
        <v>2</v>
      </c>
      <c r="AD1487" t="n">
        <v>8</v>
      </c>
      <c r="AE1487" t="n">
        <v>8</v>
      </c>
      <c r="AF1487" t="n">
        <v>1</v>
      </c>
      <c r="AG1487" t="n">
        <v>1</v>
      </c>
      <c r="AH1487" t="n">
        <v>5</v>
      </c>
      <c r="AI1487" t="n">
        <v>5</v>
      </c>
      <c r="AJ1487" t="n">
        <v>3</v>
      </c>
      <c r="AK1487" t="n">
        <v>3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HYPERLINK("https://creighton-primo.hosted.exlibrisgroup.com/primo-explore/search?tab=default_tab&amp;search_scope=EVERYTHING&amp;vid=01CRU&amp;lang=en_US&amp;offset=0&amp;query=any,contains,991003561029702656","Catalog Record")</f>
        <v/>
      </c>
      <c r="AT1487">
        <f>HYPERLINK("http://www.worldcat.org/oclc/45008572","WorldCat Record")</f>
        <v/>
      </c>
      <c r="AU1487" t="inlineStr">
        <is>
          <t>34590551:eng</t>
        </is>
      </c>
      <c r="AV1487" t="inlineStr">
        <is>
          <t>45008572</t>
        </is>
      </c>
      <c r="AW1487" t="inlineStr">
        <is>
          <t>991003561029702656</t>
        </is>
      </c>
      <c r="AX1487" t="inlineStr">
        <is>
          <t>991003561029702656</t>
        </is>
      </c>
      <c r="AY1487" t="inlineStr">
        <is>
          <t>2267187320002656</t>
        </is>
      </c>
      <c r="AZ1487" t="inlineStr">
        <is>
          <t>BOOK</t>
        </is>
      </c>
      <c r="BB1487" t="inlineStr">
        <is>
          <t>9783540411420</t>
        </is>
      </c>
      <c r="BC1487" t="inlineStr">
        <is>
          <t>32285004328828</t>
        </is>
      </c>
      <c r="BD1487" t="inlineStr">
        <is>
          <t>893512093</t>
        </is>
      </c>
    </row>
    <row r="1488">
      <c r="A1488" t="inlineStr">
        <is>
          <t>No</t>
        </is>
      </c>
      <c r="B1488" t="inlineStr">
        <is>
          <t>QH608 .A36 1984</t>
        </is>
      </c>
      <c r="C1488" t="inlineStr">
        <is>
          <t>0                      QH 0608000A  36          1984</t>
        </is>
      </c>
      <c r="D1488" t="inlineStr">
        <is>
          <t>Aging and cell function / edited by John E. Johnson, Jr.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New York : Plenum Press, c1984.</t>
        </is>
      </c>
      <c r="M1488" t="inlineStr">
        <is>
          <t>1984</t>
        </is>
      </c>
      <c r="O1488" t="inlineStr">
        <is>
          <t>eng</t>
        </is>
      </c>
      <c r="P1488" t="inlineStr">
        <is>
          <t>nyu</t>
        </is>
      </c>
      <c r="R1488" t="inlineStr">
        <is>
          <t xml:space="preserve">QH </t>
        </is>
      </c>
      <c r="S1488" t="n">
        <v>5</v>
      </c>
      <c r="T1488" t="n">
        <v>5</v>
      </c>
      <c r="U1488" t="inlineStr">
        <is>
          <t>2005-08-29</t>
        </is>
      </c>
      <c r="V1488" t="inlineStr">
        <is>
          <t>2005-08-29</t>
        </is>
      </c>
      <c r="W1488" t="inlineStr">
        <is>
          <t>1992-04-08</t>
        </is>
      </c>
      <c r="X1488" t="inlineStr">
        <is>
          <t>1992-04-08</t>
        </is>
      </c>
      <c r="Y1488" t="n">
        <v>338</v>
      </c>
      <c r="Z1488" t="n">
        <v>285</v>
      </c>
      <c r="AA1488" t="n">
        <v>296</v>
      </c>
      <c r="AB1488" t="n">
        <v>1</v>
      </c>
      <c r="AC1488" t="n">
        <v>1</v>
      </c>
      <c r="AD1488" t="n">
        <v>7</v>
      </c>
      <c r="AE1488" t="n">
        <v>7</v>
      </c>
      <c r="AF1488" t="n">
        <v>2</v>
      </c>
      <c r="AG1488" t="n">
        <v>2</v>
      </c>
      <c r="AH1488" t="n">
        <v>5</v>
      </c>
      <c r="AI1488" t="n">
        <v>5</v>
      </c>
      <c r="AJ1488" t="n">
        <v>4</v>
      </c>
      <c r="AK1488" t="n">
        <v>4</v>
      </c>
      <c r="AL1488" t="n">
        <v>0</v>
      </c>
      <c r="AM1488" t="n">
        <v>0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HYPERLINK("http://catalog.hathitrust.org/Record/000322868","HathiTrust Record")</f>
        <v/>
      </c>
      <c r="AS1488">
        <f>HYPERLINK("https://creighton-primo.hosted.exlibrisgroup.com/primo-explore/search?tab=default_tab&amp;search_scope=EVERYTHING&amp;vid=01CRU&amp;lang=en_US&amp;offset=0&amp;query=any,contains,991000349729702656","Catalog Record")</f>
        <v/>
      </c>
      <c r="AT1488">
        <f>HYPERLINK("http://www.worldcat.org/oclc/10300701","WorldCat Record")</f>
        <v/>
      </c>
      <c r="AU1488" t="inlineStr">
        <is>
          <t>2829423:eng</t>
        </is>
      </c>
      <c r="AV1488" t="inlineStr">
        <is>
          <t>10300701</t>
        </is>
      </c>
      <c r="AW1488" t="inlineStr">
        <is>
          <t>991000349729702656</t>
        </is>
      </c>
      <c r="AX1488" t="inlineStr">
        <is>
          <t>991000349729702656</t>
        </is>
      </c>
      <c r="AY1488" t="inlineStr">
        <is>
          <t>2269800390002656</t>
        </is>
      </c>
      <c r="AZ1488" t="inlineStr">
        <is>
          <t>BOOK</t>
        </is>
      </c>
      <c r="BB1488" t="inlineStr">
        <is>
          <t>9780306414206</t>
        </is>
      </c>
      <c r="BC1488" t="inlineStr">
        <is>
          <t>32285001056174</t>
        </is>
      </c>
      <c r="BD1488" t="inlineStr">
        <is>
          <t>893515195</t>
        </is>
      </c>
    </row>
    <row r="1489">
      <c r="A1489" t="inlineStr">
        <is>
          <t>No</t>
        </is>
      </c>
      <c r="B1489" t="inlineStr">
        <is>
          <t>QH608 .A37 v...</t>
        </is>
      </c>
      <c r="C1489" t="inlineStr">
        <is>
          <t>0                      QH 0608000A  37                                                      v...</t>
        </is>
      </c>
      <c r="D1489" t="inlineStr">
        <is>
          <t>Aging and cell structure / edited by John E. Johnson, Jr.</t>
        </is>
      </c>
      <c r="E1489" t="inlineStr">
        <is>
          <t>V. 1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L1489" t="inlineStr">
        <is>
          <t>New York : Plenum Press, c1981-</t>
        </is>
      </c>
      <c r="M1489" t="inlineStr">
        <is>
          <t>1981</t>
        </is>
      </c>
      <c r="O1489" t="inlineStr">
        <is>
          <t>eng</t>
        </is>
      </c>
      <c r="P1489" t="inlineStr">
        <is>
          <t>nyu</t>
        </is>
      </c>
      <c r="R1489" t="inlineStr">
        <is>
          <t xml:space="preserve">QH </t>
        </is>
      </c>
      <c r="S1489" t="n">
        <v>6</v>
      </c>
      <c r="T1489" t="n">
        <v>6</v>
      </c>
      <c r="U1489" t="inlineStr">
        <is>
          <t>2005-09-26</t>
        </is>
      </c>
      <c r="V1489" t="inlineStr">
        <is>
          <t>2005-09-26</t>
        </is>
      </c>
      <c r="W1489" t="inlineStr">
        <is>
          <t>1993-05-12</t>
        </is>
      </c>
      <c r="X1489" t="inlineStr">
        <is>
          <t>1993-05-12</t>
        </is>
      </c>
      <c r="Y1489" t="n">
        <v>289</v>
      </c>
      <c r="Z1489" t="n">
        <v>240</v>
      </c>
      <c r="AA1489" t="n">
        <v>257</v>
      </c>
      <c r="AB1489" t="n">
        <v>4</v>
      </c>
      <c r="AC1489" t="n">
        <v>4</v>
      </c>
      <c r="AD1489" t="n">
        <v>8</v>
      </c>
      <c r="AE1489" t="n">
        <v>10</v>
      </c>
      <c r="AF1489" t="n">
        <v>1</v>
      </c>
      <c r="AG1489" t="n">
        <v>3</v>
      </c>
      <c r="AH1489" t="n">
        <v>1</v>
      </c>
      <c r="AI1489" t="n">
        <v>1</v>
      </c>
      <c r="AJ1489" t="n">
        <v>4</v>
      </c>
      <c r="AK1489" t="n">
        <v>5</v>
      </c>
      <c r="AL1489" t="n">
        <v>3</v>
      </c>
      <c r="AM1489" t="n">
        <v>3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HYPERLINK("http://catalog.hathitrust.org/Record/000765406","HathiTrust Record")</f>
        <v/>
      </c>
      <c r="AS1489">
        <f>HYPERLINK("https://creighton-primo.hosted.exlibrisgroup.com/primo-explore/search?tab=default_tab&amp;search_scope=EVERYTHING&amp;vid=01CRU&amp;lang=en_US&amp;offset=0&amp;query=any,contains,991005175919702656","Catalog Record")</f>
        <v/>
      </c>
      <c r="AT1489">
        <f>HYPERLINK("http://www.worldcat.org/oclc/7923060","WorldCat Record")</f>
        <v/>
      </c>
      <c r="AU1489" t="inlineStr">
        <is>
          <t>3376355938:eng</t>
        </is>
      </c>
      <c r="AV1489" t="inlineStr">
        <is>
          <t>7923060</t>
        </is>
      </c>
      <c r="AW1489" t="inlineStr">
        <is>
          <t>991005175919702656</t>
        </is>
      </c>
      <c r="AX1489" t="inlineStr">
        <is>
          <t>991005175919702656</t>
        </is>
      </c>
      <c r="AY1489" t="inlineStr">
        <is>
          <t>2269293190002656</t>
        </is>
      </c>
      <c r="AZ1489" t="inlineStr">
        <is>
          <t>BOOK</t>
        </is>
      </c>
      <c r="BB1489" t="inlineStr">
        <is>
          <t>9780306406959</t>
        </is>
      </c>
      <c r="BC1489" t="inlineStr">
        <is>
          <t>32285001643609</t>
        </is>
      </c>
      <c r="BD1489" t="inlineStr">
        <is>
          <t>893260673</t>
        </is>
      </c>
    </row>
    <row r="1490">
      <c r="A1490" t="inlineStr">
        <is>
          <t>No</t>
        </is>
      </c>
      <c r="B1490" t="inlineStr">
        <is>
          <t>QH608 .C73 1985</t>
        </is>
      </c>
      <c r="C1490" t="inlineStr">
        <is>
          <t>0                      QH 0608000C  73          1985</t>
        </is>
      </c>
      <c r="D1490" t="inlineStr">
        <is>
          <t>CRC handbook of cell biology of aging / editor, Vincent J. Cristofalo.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L1490" t="inlineStr">
        <is>
          <t>Boca Raton, Fla. : CRC Press, c1985.</t>
        </is>
      </c>
      <c r="M1490" t="inlineStr">
        <is>
          <t>1985</t>
        </is>
      </c>
      <c r="O1490" t="inlineStr">
        <is>
          <t>eng</t>
        </is>
      </c>
      <c r="P1490" t="inlineStr">
        <is>
          <t>flu</t>
        </is>
      </c>
      <c r="Q1490" t="inlineStr">
        <is>
          <t>CRC series in aging</t>
        </is>
      </c>
      <c r="R1490" t="inlineStr">
        <is>
          <t xml:space="preserve">QH </t>
        </is>
      </c>
      <c r="S1490" t="n">
        <v>5</v>
      </c>
      <c r="T1490" t="n">
        <v>5</v>
      </c>
      <c r="U1490" t="inlineStr">
        <is>
          <t>2005-09-26</t>
        </is>
      </c>
      <c r="V1490" t="inlineStr">
        <is>
          <t>2005-09-26</t>
        </is>
      </c>
      <c r="W1490" t="inlineStr">
        <is>
          <t>1993-05-12</t>
        </is>
      </c>
      <c r="X1490" t="inlineStr">
        <is>
          <t>1993-05-12</t>
        </is>
      </c>
      <c r="Y1490" t="n">
        <v>243</v>
      </c>
      <c r="Z1490" t="n">
        <v>187</v>
      </c>
      <c r="AA1490" t="n">
        <v>194</v>
      </c>
      <c r="AB1490" t="n">
        <v>2</v>
      </c>
      <c r="AC1490" t="n">
        <v>2</v>
      </c>
      <c r="AD1490" t="n">
        <v>6</v>
      </c>
      <c r="AE1490" t="n">
        <v>6</v>
      </c>
      <c r="AF1490" t="n">
        <v>1</v>
      </c>
      <c r="AG1490" t="n">
        <v>1</v>
      </c>
      <c r="AH1490" t="n">
        <v>1</v>
      </c>
      <c r="AI1490" t="n">
        <v>1</v>
      </c>
      <c r="AJ1490" t="n">
        <v>3</v>
      </c>
      <c r="AK1490" t="n">
        <v>3</v>
      </c>
      <c r="AL1490" t="n">
        <v>1</v>
      </c>
      <c r="AM1490" t="n">
        <v>1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Yes</t>
        </is>
      </c>
      <c r="AR1490">
        <f>HYPERLINK("http://catalog.hathitrust.org/Record/000621100","HathiTrust Record")</f>
        <v/>
      </c>
      <c r="AS1490">
        <f>HYPERLINK("https://creighton-primo.hosted.exlibrisgroup.com/primo-explore/search?tab=default_tab&amp;search_scope=EVERYTHING&amp;vid=01CRU&amp;lang=en_US&amp;offset=0&amp;query=any,contains,991000468649702656","Catalog Record")</f>
        <v/>
      </c>
      <c r="AT1490">
        <f>HYPERLINK("http://www.worldcat.org/oclc/10996053","WorldCat Record")</f>
        <v/>
      </c>
      <c r="AU1490" t="inlineStr">
        <is>
          <t>54653647:eng</t>
        </is>
      </c>
      <c r="AV1490" t="inlineStr">
        <is>
          <t>10996053</t>
        </is>
      </c>
      <c r="AW1490" t="inlineStr">
        <is>
          <t>991000468649702656</t>
        </is>
      </c>
      <c r="AX1490" t="inlineStr">
        <is>
          <t>991000468649702656</t>
        </is>
      </c>
      <c r="AY1490" t="inlineStr">
        <is>
          <t>2262168490002656</t>
        </is>
      </c>
      <c r="AZ1490" t="inlineStr">
        <is>
          <t>BOOK</t>
        </is>
      </c>
      <c r="BB1490" t="inlineStr">
        <is>
          <t>9780849331428</t>
        </is>
      </c>
      <c r="BC1490" t="inlineStr">
        <is>
          <t>32285001643617</t>
        </is>
      </c>
      <c r="BD1490" t="inlineStr">
        <is>
          <t>893431971</t>
        </is>
      </c>
    </row>
    <row r="1491">
      <c r="A1491" t="inlineStr">
        <is>
          <t>No</t>
        </is>
      </c>
      <c r="B1491" t="inlineStr">
        <is>
          <t>QH608 .C85</t>
        </is>
      </c>
      <c r="C1491" t="inlineStr">
        <is>
          <t>0                      QH 0608000C  85</t>
        </is>
      </c>
      <c r="D1491" t="inlineStr">
        <is>
          <t>Biological mechanisms of aging, by Howard J. Curtis.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Curtis, Howard J. (Howard James), 1906-</t>
        </is>
      </c>
      <c r="L1491" t="inlineStr">
        <is>
          <t>Springfield, Ill., C.C. Thomas [1966]</t>
        </is>
      </c>
      <c r="M1491" t="inlineStr">
        <is>
          <t>1966</t>
        </is>
      </c>
      <c r="O1491" t="inlineStr">
        <is>
          <t>eng</t>
        </is>
      </c>
      <c r="P1491" t="inlineStr">
        <is>
          <t>ilu</t>
        </is>
      </c>
      <c r="Q1491" t="inlineStr">
        <is>
          <t>American lecture series ; publication no. 639</t>
        </is>
      </c>
      <c r="R1491" t="inlineStr">
        <is>
          <t xml:space="preserve">QH </t>
        </is>
      </c>
      <c r="S1491" t="n">
        <v>6</v>
      </c>
      <c r="T1491" t="n">
        <v>6</v>
      </c>
      <c r="U1491" t="inlineStr">
        <is>
          <t>2007-10-02</t>
        </is>
      </c>
      <c r="V1491" t="inlineStr">
        <is>
          <t>2007-10-02</t>
        </is>
      </c>
      <c r="W1491" t="inlineStr">
        <is>
          <t>1992-08-27</t>
        </is>
      </c>
      <c r="X1491" t="inlineStr">
        <is>
          <t>1992-08-27</t>
        </is>
      </c>
      <c r="Y1491" t="n">
        <v>330</v>
      </c>
      <c r="Z1491" t="n">
        <v>272</v>
      </c>
      <c r="AA1491" t="n">
        <v>274</v>
      </c>
      <c r="AB1491" t="n">
        <v>3</v>
      </c>
      <c r="AC1491" t="n">
        <v>3</v>
      </c>
      <c r="AD1491" t="n">
        <v>9</v>
      </c>
      <c r="AE1491" t="n">
        <v>9</v>
      </c>
      <c r="AF1491" t="n">
        <v>0</v>
      </c>
      <c r="AG1491" t="n">
        <v>0</v>
      </c>
      <c r="AH1491" t="n">
        <v>3</v>
      </c>
      <c r="AI1491" t="n">
        <v>3</v>
      </c>
      <c r="AJ1491" t="n">
        <v>6</v>
      </c>
      <c r="AK1491" t="n">
        <v>6</v>
      </c>
      <c r="AL1491" t="n">
        <v>2</v>
      </c>
      <c r="AM1491" t="n">
        <v>2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Yes</t>
        </is>
      </c>
      <c r="AR1491">
        <f>HYPERLINK("http://catalog.hathitrust.org/Record/000859366","HathiTrust Record")</f>
        <v/>
      </c>
      <c r="AS1491">
        <f>HYPERLINK("https://creighton-primo.hosted.exlibrisgroup.com/primo-explore/search?tab=default_tab&amp;search_scope=EVERYTHING&amp;vid=01CRU&amp;lang=en_US&amp;offset=0&amp;query=any,contains,991002911159702656","Catalog Record")</f>
        <v/>
      </c>
      <c r="AT1491">
        <f>HYPERLINK("http://www.worldcat.org/oclc/522106","WorldCat Record")</f>
        <v/>
      </c>
      <c r="AU1491" t="inlineStr">
        <is>
          <t>2829694086:eng</t>
        </is>
      </c>
      <c r="AV1491" t="inlineStr">
        <is>
          <t>522106</t>
        </is>
      </c>
      <c r="AW1491" t="inlineStr">
        <is>
          <t>991002911159702656</t>
        </is>
      </c>
      <c r="AX1491" t="inlineStr">
        <is>
          <t>991002911159702656</t>
        </is>
      </c>
      <c r="AY1491" t="inlineStr">
        <is>
          <t>2260010810002656</t>
        </is>
      </c>
      <c r="AZ1491" t="inlineStr">
        <is>
          <t>BOOK</t>
        </is>
      </c>
      <c r="BC1491" t="inlineStr">
        <is>
          <t>32285001282606</t>
        </is>
      </c>
      <c r="BD1491" t="inlineStr">
        <is>
          <t>893867863</t>
        </is>
      </c>
    </row>
    <row r="1492">
      <c r="A1492" t="inlineStr">
        <is>
          <t>No</t>
        </is>
      </c>
      <c r="B1492" t="inlineStr">
        <is>
          <t>QH608 .G46 1986</t>
        </is>
      </c>
      <c r="C1492" t="inlineStr">
        <is>
          <t>0                      QH 0608000G  46          1986</t>
        </is>
      </c>
      <c r="D1492" t="inlineStr">
        <is>
          <t>Genes, proteins, and cellular aging / edited by Robin Holliday.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L1492" t="inlineStr">
        <is>
          <t>New York : Van Nostrand Reinhold, c1986.</t>
        </is>
      </c>
      <c r="M1492" t="inlineStr">
        <is>
          <t>1986</t>
        </is>
      </c>
      <c r="O1492" t="inlineStr">
        <is>
          <t>eng</t>
        </is>
      </c>
      <c r="P1492" t="inlineStr">
        <is>
          <t>nyu</t>
        </is>
      </c>
      <c r="Q1492" t="inlineStr">
        <is>
          <t>Benchmark papers in genetics ; v. 17</t>
        </is>
      </c>
      <c r="R1492" t="inlineStr">
        <is>
          <t xml:space="preserve">QH </t>
        </is>
      </c>
      <c r="S1492" t="n">
        <v>4</v>
      </c>
      <c r="T1492" t="n">
        <v>4</v>
      </c>
      <c r="U1492" t="inlineStr">
        <is>
          <t>2007-09-28</t>
        </is>
      </c>
      <c r="V1492" t="inlineStr">
        <is>
          <t>2007-09-28</t>
        </is>
      </c>
      <c r="W1492" t="inlineStr">
        <is>
          <t>1992-04-06</t>
        </is>
      </c>
      <c r="X1492" t="inlineStr">
        <is>
          <t>1992-04-06</t>
        </is>
      </c>
      <c r="Y1492" t="n">
        <v>197</v>
      </c>
      <c r="Z1492" t="n">
        <v>173</v>
      </c>
      <c r="AA1492" t="n">
        <v>174</v>
      </c>
      <c r="AB1492" t="n">
        <v>2</v>
      </c>
      <c r="AC1492" t="n">
        <v>2</v>
      </c>
      <c r="AD1492" t="n">
        <v>8</v>
      </c>
      <c r="AE1492" t="n">
        <v>8</v>
      </c>
      <c r="AF1492" t="n">
        <v>1</v>
      </c>
      <c r="AG1492" t="n">
        <v>1</v>
      </c>
      <c r="AH1492" t="n">
        <v>2</v>
      </c>
      <c r="AI1492" t="n">
        <v>2</v>
      </c>
      <c r="AJ1492" t="n">
        <v>5</v>
      </c>
      <c r="AK1492" t="n">
        <v>5</v>
      </c>
      <c r="AL1492" t="n">
        <v>1</v>
      </c>
      <c r="AM1492" t="n">
        <v>1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Yes</t>
        </is>
      </c>
      <c r="AR1492">
        <f>HYPERLINK("http://catalog.hathitrust.org/Record/000821952","HathiTrust Record")</f>
        <v/>
      </c>
      <c r="AS1492">
        <f>HYPERLINK("https://creighton-primo.hosted.exlibrisgroup.com/primo-explore/search?tab=default_tab&amp;search_scope=EVERYTHING&amp;vid=01CRU&amp;lang=en_US&amp;offset=0&amp;query=any,contains,991000676929702656","Catalog Record")</f>
        <v/>
      </c>
      <c r="AT1492">
        <f>HYPERLINK("http://www.worldcat.org/oclc/12369817","WorldCat Record")</f>
        <v/>
      </c>
      <c r="AU1492" t="inlineStr">
        <is>
          <t>5015167:eng</t>
        </is>
      </c>
      <c r="AV1492" t="inlineStr">
        <is>
          <t>12369817</t>
        </is>
      </c>
      <c r="AW1492" t="inlineStr">
        <is>
          <t>991000676929702656</t>
        </is>
      </c>
      <c r="AX1492" t="inlineStr">
        <is>
          <t>991000676929702656</t>
        </is>
      </c>
      <c r="AY1492" t="inlineStr">
        <is>
          <t>2269086230002656</t>
        </is>
      </c>
      <c r="AZ1492" t="inlineStr">
        <is>
          <t>BOOK</t>
        </is>
      </c>
      <c r="BB1492" t="inlineStr">
        <is>
          <t>9780442232467</t>
        </is>
      </c>
      <c r="BC1492" t="inlineStr">
        <is>
          <t>32285001051076</t>
        </is>
      </c>
      <c r="BD1492" t="inlineStr">
        <is>
          <t>893413583</t>
        </is>
      </c>
    </row>
    <row r="1493">
      <c r="A1493" t="inlineStr">
        <is>
          <t>No</t>
        </is>
      </c>
      <c r="B1493" t="inlineStr">
        <is>
          <t>QH608 .P9</t>
        </is>
      </c>
      <c r="C1493" t="inlineStr">
        <is>
          <t>0                      QH 0608000P  9</t>
        </is>
      </c>
      <c r="D1493" t="inlineStr">
        <is>
          <t>Physiology and cell biology of aging / editors, Arthur Cherkin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 York : Raven, c1979.</t>
        </is>
      </c>
      <c r="M1493" t="inlineStr">
        <is>
          <t>1979</t>
        </is>
      </c>
      <c r="O1493" t="inlineStr">
        <is>
          <t>eng</t>
        </is>
      </c>
      <c r="P1493" t="inlineStr">
        <is>
          <t>nyu</t>
        </is>
      </c>
      <c r="Q1493" t="inlineStr">
        <is>
          <t>Aging ; v. 8</t>
        </is>
      </c>
      <c r="R1493" t="inlineStr">
        <is>
          <t xml:space="preserve">QH </t>
        </is>
      </c>
      <c r="S1493" t="n">
        <v>3</v>
      </c>
      <c r="T1493" t="n">
        <v>3</v>
      </c>
      <c r="U1493" t="inlineStr">
        <is>
          <t>2007-09-28</t>
        </is>
      </c>
      <c r="V1493" t="inlineStr">
        <is>
          <t>2007-09-28</t>
        </is>
      </c>
      <c r="W1493" t="inlineStr">
        <is>
          <t>1993-05-12</t>
        </is>
      </c>
      <c r="X1493" t="inlineStr">
        <is>
          <t>1993-05-12</t>
        </is>
      </c>
      <c r="Y1493" t="n">
        <v>304</v>
      </c>
      <c r="Z1493" t="n">
        <v>235</v>
      </c>
      <c r="AA1493" t="n">
        <v>237</v>
      </c>
      <c r="AB1493" t="n">
        <v>3</v>
      </c>
      <c r="AC1493" t="n">
        <v>3</v>
      </c>
      <c r="AD1493" t="n">
        <v>13</v>
      </c>
      <c r="AE1493" t="n">
        <v>13</v>
      </c>
      <c r="AF1493" t="n">
        <v>4</v>
      </c>
      <c r="AG1493" t="n">
        <v>4</v>
      </c>
      <c r="AH1493" t="n">
        <v>3</v>
      </c>
      <c r="AI1493" t="n">
        <v>3</v>
      </c>
      <c r="AJ1493" t="n">
        <v>6</v>
      </c>
      <c r="AK1493" t="n">
        <v>6</v>
      </c>
      <c r="AL1493" t="n">
        <v>2</v>
      </c>
      <c r="AM1493" t="n">
        <v>2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Yes</t>
        </is>
      </c>
      <c r="AR1493">
        <f>HYPERLINK("http://catalog.hathitrust.org/Record/000041550","HathiTrust Record")</f>
        <v/>
      </c>
      <c r="AS1493">
        <f>HYPERLINK("https://creighton-primo.hosted.exlibrisgroup.com/primo-explore/search?tab=default_tab&amp;search_scope=EVERYTHING&amp;vid=01CRU&amp;lang=en_US&amp;offset=0&amp;query=any,contains,991004739149702656","Catalog Record")</f>
        <v/>
      </c>
      <c r="AT1493">
        <f>HYPERLINK("http://www.worldcat.org/oclc/4873572","WorldCat Record")</f>
        <v/>
      </c>
      <c r="AU1493" t="inlineStr">
        <is>
          <t>546266:eng</t>
        </is>
      </c>
      <c r="AV1493" t="inlineStr">
        <is>
          <t>4873572</t>
        </is>
      </c>
      <c r="AW1493" t="inlineStr">
        <is>
          <t>991004739149702656</t>
        </is>
      </c>
      <c r="AX1493" t="inlineStr">
        <is>
          <t>991004739149702656</t>
        </is>
      </c>
      <c r="AY1493" t="inlineStr">
        <is>
          <t>2263314780002656</t>
        </is>
      </c>
      <c r="AZ1493" t="inlineStr">
        <is>
          <t>BOOK</t>
        </is>
      </c>
      <c r="BB1493" t="inlineStr">
        <is>
          <t>9780890042830</t>
        </is>
      </c>
      <c r="BC1493" t="inlineStr">
        <is>
          <t>32285001643625</t>
        </is>
      </c>
      <c r="BD1493" t="inlineStr">
        <is>
          <t>893350338</t>
        </is>
      </c>
    </row>
    <row r="1494">
      <c r="A1494" t="inlineStr">
        <is>
          <t>No</t>
        </is>
      </c>
      <c r="B1494" t="inlineStr">
        <is>
          <t>QH608 .S8 1977</t>
        </is>
      </c>
      <c r="C1494" t="inlineStr">
        <is>
          <t>0                      QH 0608000S  8           1977</t>
        </is>
      </c>
      <c r="D1494" t="inlineStr">
        <is>
          <t>Time, cells, and aging / Bernard L. Strehler.</t>
        </is>
      </c>
      <c r="F1494" t="inlineStr">
        <is>
          <t>No</t>
        </is>
      </c>
      <c r="G1494" t="inlineStr">
        <is>
          <t>1</t>
        </is>
      </c>
      <c r="H1494" t="inlineStr">
        <is>
          <t>Yes</t>
        </is>
      </c>
      <c r="I1494" t="inlineStr">
        <is>
          <t>No</t>
        </is>
      </c>
      <c r="J1494" t="inlineStr">
        <is>
          <t>0</t>
        </is>
      </c>
      <c r="K1494" t="inlineStr">
        <is>
          <t>Strehler, Bernard L. (Bernard Louis), 1925-</t>
        </is>
      </c>
      <c r="L1494" t="inlineStr">
        <is>
          <t>New York : Academic Press, 1977.</t>
        </is>
      </c>
      <c r="M1494" t="inlineStr">
        <is>
          <t>1977</t>
        </is>
      </c>
      <c r="N1494" t="inlineStr">
        <is>
          <t>2d ed.</t>
        </is>
      </c>
      <c r="O1494" t="inlineStr">
        <is>
          <t>eng</t>
        </is>
      </c>
      <c r="P1494" t="inlineStr">
        <is>
          <t>nyu</t>
        </is>
      </c>
      <c r="R1494" t="inlineStr">
        <is>
          <t xml:space="preserve">QH </t>
        </is>
      </c>
      <c r="S1494" t="n">
        <v>3</v>
      </c>
      <c r="T1494" t="n">
        <v>5</v>
      </c>
      <c r="U1494" t="inlineStr">
        <is>
          <t>2007-09-28</t>
        </is>
      </c>
      <c r="V1494" t="inlineStr">
        <is>
          <t>2007-09-28</t>
        </is>
      </c>
      <c r="W1494" t="inlineStr">
        <is>
          <t>1997-07-14</t>
        </is>
      </c>
      <c r="X1494" t="inlineStr">
        <is>
          <t>1997-07-14</t>
        </is>
      </c>
      <c r="Y1494" t="n">
        <v>428</v>
      </c>
      <c r="Z1494" t="n">
        <v>335</v>
      </c>
      <c r="AA1494" t="n">
        <v>673</v>
      </c>
      <c r="AB1494" t="n">
        <v>5</v>
      </c>
      <c r="AC1494" t="n">
        <v>6</v>
      </c>
      <c r="AD1494" t="n">
        <v>15</v>
      </c>
      <c r="AE1494" t="n">
        <v>28</v>
      </c>
      <c r="AF1494" t="n">
        <v>2</v>
      </c>
      <c r="AG1494" t="n">
        <v>9</v>
      </c>
      <c r="AH1494" t="n">
        <v>4</v>
      </c>
      <c r="AI1494" t="n">
        <v>5</v>
      </c>
      <c r="AJ1494" t="n">
        <v>9</v>
      </c>
      <c r="AK1494" t="n">
        <v>16</v>
      </c>
      <c r="AL1494" t="n">
        <v>3</v>
      </c>
      <c r="AM1494" t="n">
        <v>4</v>
      </c>
      <c r="AN1494" t="n">
        <v>1</v>
      </c>
      <c r="AO1494" t="n">
        <v>1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HYPERLINK("http://catalog.hathitrust.org/Record/000295600","HathiTrust Record")</f>
        <v/>
      </c>
      <c r="AS1494">
        <f>HYPERLINK("https://creighton-primo.hosted.exlibrisgroup.com/primo-explore/search?tab=default_tab&amp;search_scope=EVERYTHING&amp;vid=01CRU&amp;lang=en_US&amp;offset=0&amp;query=any,contains,991001782089702656","Catalog Record")</f>
        <v/>
      </c>
      <c r="AT1494">
        <f>HYPERLINK("http://www.worldcat.org/oclc/3223882","WorldCat Record")</f>
        <v/>
      </c>
      <c r="AU1494" t="inlineStr">
        <is>
          <t>1364009:eng</t>
        </is>
      </c>
      <c r="AV1494" t="inlineStr">
        <is>
          <t>3223882</t>
        </is>
      </c>
      <c r="AW1494" t="inlineStr">
        <is>
          <t>991001782089702656</t>
        </is>
      </c>
      <c r="AX1494" t="inlineStr">
        <is>
          <t>991001782089702656</t>
        </is>
      </c>
      <c r="AY1494" t="inlineStr">
        <is>
          <t>2259010100002656</t>
        </is>
      </c>
      <c r="AZ1494" t="inlineStr">
        <is>
          <t>BOOK</t>
        </is>
      </c>
      <c r="BB1494" t="inlineStr">
        <is>
          <t>9780126732603</t>
        </is>
      </c>
      <c r="BC1494" t="inlineStr">
        <is>
          <t>32285002935509</t>
        </is>
      </c>
      <c r="BD1494" t="inlineStr">
        <is>
          <t>893590635</t>
        </is>
      </c>
    </row>
    <row r="1495">
      <c r="A1495" t="inlineStr">
        <is>
          <t>No</t>
        </is>
      </c>
      <c r="B1495" t="inlineStr">
        <is>
          <t>QH623 .C45 1985</t>
        </is>
      </c>
      <c r="C1495" t="inlineStr">
        <is>
          <t>0                      QH 0623000C  45          1985</t>
        </is>
      </c>
      <c r="D1495" t="inlineStr">
        <is>
          <t>The Cell in contact : adhesions and junctions as morphogenetic determinants / edited by Gerald M. Edelman, Jean-Paul Thiery.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L1495" t="inlineStr">
        <is>
          <t>New York : J. Wiley, c1985.</t>
        </is>
      </c>
      <c r="M1495" t="inlineStr">
        <is>
          <t>1985</t>
        </is>
      </c>
      <c r="O1495" t="inlineStr">
        <is>
          <t>eng</t>
        </is>
      </c>
      <c r="P1495" t="inlineStr">
        <is>
          <t>nyu</t>
        </is>
      </c>
      <c r="Q1495" t="inlineStr">
        <is>
          <t>The Neurosciences Institute publications series</t>
        </is>
      </c>
      <c r="R1495" t="inlineStr">
        <is>
          <t xml:space="preserve">QH </t>
        </is>
      </c>
      <c r="S1495" t="n">
        <v>1</v>
      </c>
      <c r="T1495" t="n">
        <v>1</v>
      </c>
      <c r="U1495" t="inlineStr">
        <is>
          <t>2005-04-19</t>
        </is>
      </c>
      <c r="V1495" t="inlineStr">
        <is>
          <t>2005-04-19</t>
        </is>
      </c>
      <c r="W1495" t="inlineStr">
        <is>
          <t>1993-05-12</t>
        </is>
      </c>
      <c r="X1495" t="inlineStr">
        <is>
          <t>1993-05-12</t>
        </is>
      </c>
      <c r="Y1495" t="n">
        <v>294</v>
      </c>
      <c r="Z1495" t="n">
        <v>244</v>
      </c>
      <c r="AA1495" t="n">
        <v>247</v>
      </c>
      <c r="AB1495" t="n">
        <v>4</v>
      </c>
      <c r="AC1495" t="n">
        <v>4</v>
      </c>
      <c r="AD1495" t="n">
        <v>14</v>
      </c>
      <c r="AE1495" t="n">
        <v>14</v>
      </c>
      <c r="AF1495" t="n">
        <v>4</v>
      </c>
      <c r="AG1495" t="n">
        <v>4</v>
      </c>
      <c r="AH1495" t="n">
        <v>6</v>
      </c>
      <c r="AI1495" t="n">
        <v>6</v>
      </c>
      <c r="AJ1495" t="n">
        <v>6</v>
      </c>
      <c r="AK1495" t="n">
        <v>6</v>
      </c>
      <c r="AL1495" t="n">
        <v>3</v>
      </c>
      <c r="AM1495" t="n">
        <v>3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Yes</t>
        </is>
      </c>
      <c r="AR1495">
        <f>HYPERLINK("http://catalog.hathitrust.org/Record/000426942","HathiTrust Record")</f>
        <v/>
      </c>
      <c r="AS1495">
        <f>HYPERLINK("https://creighton-primo.hosted.exlibrisgroup.com/primo-explore/search?tab=default_tab&amp;search_scope=EVERYTHING&amp;vid=01CRU&amp;lang=en_US&amp;offset=0&amp;query=any,contains,991005257309702656","Catalog Record")</f>
        <v/>
      </c>
      <c r="AT1495">
        <f>HYPERLINK("http://www.worldcat.org/oclc/12551088","WorldCat Record")</f>
        <v/>
      </c>
      <c r="AU1495" t="inlineStr">
        <is>
          <t>836667333:eng</t>
        </is>
      </c>
      <c r="AV1495" t="inlineStr">
        <is>
          <t>12551088</t>
        </is>
      </c>
      <c r="AW1495" t="inlineStr">
        <is>
          <t>991005257309702656</t>
        </is>
      </c>
      <c r="AX1495" t="inlineStr">
        <is>
          <t>991005257309702656</t>
        </is>
      </c>
      <c r="AY1495" t="inlineStr">
        <is>
          <t>2258602740002656</t>
        </is>
      </c>
      <c r="AZ1495" t="inlineStr">
        <is>
          <t>BOOK</t>
        </is>
      </c>
      <c r="BB1495" t="inlineStr">
        <is>
          <t>9780471838722</t>
        </is>
      </c>
      <c r="BC1495" t="inlineStr">
        <is>
          <t>32285001643666</t>
        </is>
      </c>
      <c r="BD1495" t="inlineStr">
        <is>
          <t>893594734</t>
        </is>
      </c>
    </row>
    <row r="1496">
      <c r="A1496" t="inlineStr">
        <is>
          <t>No</t>
        </is>
      </c>
      <c r="B1496" t="inlineStr">
        <is>
          <t>QH631 .C458 1998</t>
        </is>
      </c>
      <c r="C1496" t="inlineStr">
        <is>
          <t>0                      QH 0631000C  458         1998</t>
        </is>
      </c>
      <c r="D1496" t="inlineStr">
        <is>
          <t>Cell physiology source book / edited by Nicholas Sperelakis.</t>
        </is>
      </c>
      <c r="F1496" t="inlineStr">
        <is>
          <t>No</t>
        </is>
      </c>
      <c r="G1496" t="inlineStr">
        <is>
          <t>1</t>
        </is>
      </c>
      <c r="H1496" t="inlineStr">
        <is>
          <t>Yes</t>
        </is>
      </c>
      <c r="I1496" t="inlineStr">
        <is>
          <t>No</t>
        </is>
      </c>
      <c r="J1496" t="inlineStr">
        <is>
          <t>0</t>
        </is>
      </c>
      <c r="L1496" t="inlineStr">
        <is>
          <t>San Diego ; London : Academic Press, c1998.</t>
        </is>
      </c>
      <c r="M1496" t="inlineStr">
        <is>
          <t>1998</t>
        </is>
      </c>
      <c r="N1496" t="inlineStr">
        <is>
          <t>2nd ed.</t>
        </is>
      </c>
      <c r="O1496" t="inlineStr">
        <is>
          <t>eng</t>
        </is>
      </c>
      <c r="P1496" t="inlineStr">
        <is>
          <t>cau</t>
        </is>
      </c>
      <c r="R1496" t="inlineStr">
        <is>
          <t xml:space="preserve">QH </t>
        </is>
      </c>
      <c r="S1496" t="n">
        <v>8</v>
      </c>
      <c r="T1496" t="n">
        <v>17</v>
      </c>
      <c r="U1496" t="inlineStr">
        <is>
          <t>2006-10-09</t>
        </is>
      </c>
      <c r="V1496" t="inlineStr">
        <is>
          <t>2007-12-04</t>
        </is>
      </c>
      <c r="W1496" t="inlineStr">
        <is>
          <t>1999-03-01</t>
        </is>
      </c>
      <c r="X1496" t="inlineStr">
        <is>
          <t>1999-03-25</t>
        </is>
      </c>
      <c r="Y1496" t="n">
        <v>514</v>
      </c>
      <c r="Z1496" t="n">
        <v>464</v>
      </c>
      <c r="AA1496" t="n">
        <v>892</v>
      </c>
      <c r="AB1496" t="n">
        <v>5</v>
      </c>
      <c r="AC1496" t="n">
        <v>7</v>
      </c>
      <c r="AD1496" t="n">
        <v>23</v>
      </c>
      <c r="AE1496" t="n">
        <v>45</v>
      </c>
      <c r="AF1496" t="n">
        <v>8</v>
      </c>
      <c r="AG1496" t="n">
        <v>19</v>
      </c>
      <c r="AH1496" t="n">
        <v>4</v>
      </c>
      <c r="AI1496" t="n">
        <v>11</v>
      </c>
      <c r="AJ1496" t="n">
        <v>13</v>
      </c>
      <c r="AK1496" t="n">
        <v>20</v>
      </c>
      <c r="AL1496" t="n">
        <v>3</v>
      </c>
      <c r="AM1496" t="n">
        <v>5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HYPERLINK("https://creighton-primo.hosted.exlibrisgroup.com/primo-explore/search?tab=default_tab&amp;search_scope=EVERYTHING&amp;vid=01CRU&amp;lang=en_US&amp;offset=0&amp;query=any,contains,991001809409702656","Catalog Record")</f>
        <v/>
      </c>
      <c r="AT1496">
        <f>HYPERLINK("http://www.worldcat.org/oclc/39658729","WorldCat Record")</f>
        <v/>
      </c>
      <c r="AU1496" t="inlineStr">
        <is>
          <t>55845076:eng</t>
        </is>
      </c>
      <c r="AV1496" t="inlineStr">
        <is>
          <t>39658729</t>
        </is>
      </c>
      <c r="AW1496" t="inlineStr">
        <is>
          <t>991001809409702656</t>
        </is>
      </c>
      <c r="AX1496" t="inlineStr">
        <is>
          <t>991001809409702656</t>
        </is>
      </c>
      <c r="AY1496" t="inlineStr">
        <is>
          <t>2265767530002656</t>
        </is>
      </c>
      <c r="AZ1496" t="inlineStr">
        <is>
          <t>BOOK</t>
        </is>
      </c>
      <c r="BB1496" t="inlineStr">
        <is>
          <t>9780126569728</t>
        </is>
      </c>
      <c r="BC1496" t="inlineStr">
        <is>
          <t>32285003527784</t>
        </is>
      </c>
      <c r="BD1496" t="inlineStr">
        <is>
          <t>893903586</t>
        </is>
      </c>
    </row>
    <row r="1497">
      <c r="A1497" t="inlineStr">
        <is>
          <t>No</t>
        </is>
      </c>
      <c r="B1497" t="inlineStr">
        <is>
          <t>QH631 .W44 1996</t>
        </is>
      </c>
      <c r="C1497" t="inlineStr">
        <is>
          <t>0                      QH 0631000W  44          1996</t>
        </is>
      </c>
      <c r="D1497" t="inlineStr">
        <is>
          <t>Cellular biophysics / Thomas Fischer Weiss.</t>
        </is>
      </c>
      <c r="E1497" t="inlineStr">
        <is>
          <t>V. 1</t>
        </is>
      </c>
      <c r="F1497" t="inlineStr">
        <is>
          <t>Yes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Weiss, Thomas Fischer.</t>
        </is>
      </c>
      <c r="L1497" t="inlineStr">
        <is>
          <t>Cambridge, Mass. : MIT Press,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mau</t>
        </is>
      </c>
      <c r="R1497" t="inlineStr">
        <is>
          <t xml:space="preserve">QH </t>
        </is>
      </c>
      <c r="S1497" t="n">
        <v>5</v>
      </c>
      <c r="T1497" t="n">
        <v>8</v>
      </c>
      <c r="U1497" t="inlineStr">
        <is>
          <t>2008-12-08</t>
        </is>
      </c>
      <c r="V1497" t="inlineStr">
        <is>
          <t>2008-12-08</t>
        </is>
      </c>
      <c r="W1497" t="inlineStr">
        <is>
          <t>1997-01-28</t>
        </is>
      </c>
      <c r="X1497" t="inlineStr">
        <is>
          <t>1997-01-28</t>
        </is>
      </c>
      <c r="Y1497" t="n">
        <v>382</v>
      </c>
      <c r="Z1497" t="n">
        <v>297</v>
      </c>
      <c r="AA1497" t="n">
        <v>304</v>
      </c>
      <c r="AB1497" t="n">
        <v>2</v>
      </c>
      <c r="AC1497" t="n">
        <v>2</v>
      </c>
      <c r="AD1497" t="n">
        <v>16</v>
      </c>
      <c r="AE1497" t="n">
        <v>16</v>
      </c>
      <c r="AF1497" t="n">
        <v>7</v>
      </c>
      <c r="AG1497" t="n">
        <v>7</v>
      </c>
      <c r="AH1497" t="n">
        <v>4</v>
      </c>
      <c r="AI1497" t="n">
        <v>4</v>
      </c>
      <c r="AJ1497" t="n">
        <v>11</v>
      </c>
      <c r="AK1497" t="n">
        <v>11</v>
      </c>
      <c r="AL1497" t="n">
        <v>1</v>
      </c>
      <c r="AM1497" t="n">
        <v>1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HYPERLINK("http://catalog.hathitrust.org/Record/003052132","HathiTrust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7">
        <f>HYPERLINK("http://www.worldcat.org/oclc/32131788","WorldCat Record")</f>
        <v/>
      </c>
      <c r="AU1497" t="inlineStr">
        <is>
          <t>1911369999:eng</t>
        </is>
      </c>
      <c r="AV1497" t="inlineStr">
        <is>
          <t>32131788</t>
        </is>
      </c>
      <c r="AW1497" t="inlineStr">
        <is>
          <t>991002465919702656</t>
        </is>
      </c>
      <c r="AX1497" t="inlineStr">
        <is>
          <t>991002465919702656</t>
        </is>
      </c>
      <c r="AY1497" t="inlineStr">
        <is>
          <t>2260689950002656</t>
        </is>
      </c>
      <c r="AZ1497" t="inlineStr">
        <is>
          <t>BOOK</t>
        </is>
      </c>
      <c r="BB1497" t="inlineStr">
        <is>
          <t>9780262231831</t>
        </is>
      </c>
      <c r="BC1497" t="inlineStr">
        <is>
          <t>32285002412467</t>
        </is>
      </c>
      <c r="BD1497" t="inlineStr">
        <is>
          <t>893251269</t>
        </is>
      </c>
    </row>
    <row r="1498">
      <c r="A1498" t="inlineStr">
        <is>
          <t>No</t>
        </is>
      </c>
      <c r="B1498" t="inlineStr">
        <is>
          <t>QH631 .W44 1996</t>
        </is>
      </c>
      <c r="C1498" t="inlineStr">
        <is>
          <t>0                      QH 0631000W  44          1996</t>
        </is>
      </c>
      <c r="D1498" t="inlineStr">
        <is>
          <t>Cellular biophysics / Thomas Fischer Weiss.</t>
        </is>
      </c>
      <c r="E1498" t="inlineStr">
        <is>
          <t>V. 2</t>
        </is>
      </c>
      <c r="F1498" t="inlineStr">
        <is>
          <t>Yes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Weiss, Thomas Fischer.</t>
        </is>
      </c>
      <c r="L1498" t="inlineStr">
        <is>
          <t>Cambridge, Mass. : MIT Press, c1996.</t>
        </is>
      </c>
      <c r="M1498" t="inlineStr">
        <is>
          <t>1996</t>
        </is>
      </c>
      <c r="O1498" t="inlineStr">
        <is>
          <t>eng</t>
        </is>
      </c>
      <c r="P1498" t="inlineStr">
        <is>
          <t>mau</t>
        </is>
      </c>
      <c r="R1498" t="inlineStr">
        <is>
          <t xml:space="preserve">QH </t>
        </is>
      </c>
      <c r="S1498" t="n">
        <v>3</v>
      </c>
      <c r="T1498" t="n">
        <v>8</v>
      </c>
      <c r="U1498" t="inlineStr">
        <is>
          <t>2007-11-27</t>
        </is>
      </c>
      <c r="V1498" t="inlineStr">
        <is>
          <t>2008-12-08</t>
        </is>
      </c>
      <c r="W1498" t="inlineStr">
        <is>
          <t>1997-01-28</t>
        </is>
      </c>
      <c r="X1498" t="inlineStr">
        <is>
          <t>1997-01-28</t>
        </is>
      </c>
      <c r="Y1498" t="n">
        <v>382</v>
      </c>
      <c r="Z1498" t="n">
        <v>297</v>
      </c>
      <c r="AA1498" t="n">
        <v>304</v>
      </c>
      <c r="AB1498" t="n">
        <v>2</v>
      </c>
      <c r="AC1498" t="n">
        <v>2</v>
      </c>
      <c r="AD1498" t="n">
        <v>16</v>
      </c>
      <c r="AE1498" t="n">
        <v>16</v>
      </c>
      <c r="AF1498" t="n">
        <v>7</v>
      </c>
      <c r="AG1498" t="n">
        <v>7</v>
      </c>
      <c r="AH1498" t="n">
        <v>4</v>
      </c>
      <c r="AI1498" t="n">
        <v>4</v>
      </c>
      <c r="AJ1498" t="n">
        <v>11</v>
      </c>
      <c r="AK1498" t="n">
        <v>11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HYPERLINK("http://catalog.hathitrust.org/Record/003052132","HathiTrust Record")</f>
        <v/>
      </c>
      <c r="AS1498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8">
        <f>HYPERLINK("http://www.worldcat.org/oclc/32131788","WorldCat Record")</f>
        <v/>
      </c>
      <c r="AU1498" t="inlineStr">
        <is>
          <t>1911369999:eng</t>
        </is>
      </c>
      <c r="AV1498" t="inlineStr">
        <is>
          <t>32131788</t>
        </is>
      </c>
      <c r="AW1498" t="inlineStr">
        <is>
          <t>991002465919702656</t>
        </is>
      </c>
      <c r="AX1498" t="inlineStr">
        <is>
          <t>991002465919702656</t>
        </is>
      </c>
      <c r="AY1498" t="inlineStr">
        <is>
          <t>2260689950002656</t>
        </is>
      </c>
      <c r="AZ1498" t="inlineStr">
        <is>
          <t>BOOK</t>
        </is>
      </c>
      <c r="BB1498" t="inlineStr">
        <is>
          <t>9780262231831</t>
        </is>
      </c>
      <c r="BC1498" t="inlineStr">
        <is>
          <t>32285002412475</t>
        </is>
      </c>
      <c r="BD1498" t="inlineStr">
        <is>
          <t>893232996</t>
        </is>
      </c>
    </row>
    <row r="1499">
      <c r="A1499" t="inlineStr">
        <is>
          <t>No</t>
        </is>
      </c>
      <c r="B1499" t="inlineStr">
        <is>
          <t>QH641 .B3713</t>
        </is>
      </c>
      <c r="C1499" t="inlineStr">
        <is>
          <t>0                      QH 0641000B  3713</t>
        </is>
      </c>
      <c r="D1499" t="inlineStr">
        <is>
          <t>Luminescence of biopolymers and cells [by] Grigorii M. Barenboim, Aleksandr N. Domanskii and Konstantin K. Turoverov. Translated from Russian, translation editor Raymond F. Chen.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Barenboĭm, G. M. (Grigoriĭ Matveevich)</t>
        </is>
      </c>
      <c r="L1499" t="inlineStr">
        <is>
          <t>New York, Plenum Press [1969]</t>
        </is>
      </c>
      <c r="M1499" t="inlineStr">
        <is>
          <t>1969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QH </t>
        </is>
      </c>
      <c r="S1499" t="n">
        <v>1</v>
      </c>
      <c r="T1499" t="n">
        <v>1</v>
      </c>
      <c r="U1499" t="inlineStr">
        <is>
          <t>2007-01-27</t>
        </is>
      </c>
      <c r="V1499" t="inlineStr">
        <is>
          <t>2007-01-27</t>
        </is>
      </c>
      <c r="W1499" t="inlineStr">
        <is>
          <t>1997-07-14</t>
        </is>
      </c>
      <c r="X1499" t="inlineStr">
        <is>
          <t>1997-07-14</t>
        </is>
      </c>
      <c r="Y1499" t="n">
        <v>286</v>
      </c>
      <c r="Z1499" t="n">
        <v>224</v>
      </c>
      <c r="AA1499" t="n">
        <v>242</v>
      </c>
      <c r="AB1499" t="n">
        <v>3</v>
      </c>
      <c r="AC1499" t="n">
        <v>3</v>
      </c>
      <c r="AD1499" t="n">
        <v>5</v>
      </c>
      <c r="AE1499" t="n">
        <v>6</v>
      </c>
      <c r="AF1499" t="n">
        <v>0</v>
      </c>
      <c r="AG1499" t="n">
        <v>1</v>
      </c>
      <c r="AH1499" t="n">
        <v>2</v>
      </c>
      <c r="AI1499" t="n">
        <v>2</v>
      </c>
      <c r="AJ1499" t="n">
        <v>2</v>
      </c>
      <c r="AK1499" t="n">
        <v>3</v>
      </c>
      <c r="AL1499" t="n">
        <v>2</v>
      </c>
      <c r="AM1499" t="n">
        <v>2</v>
      </c>
      <c r="AN1499" t="n">
        <v>0</v>
      </c>
      <c r="AO1499" t="n">
        <v>0</v>
      </c>
      <c r="AP1499" t="inlineStr">
        <is>
          <t>No</t>
        </is>
      </c>
      <c r="AQ1499" t="inlineStr">
        <is>
          <t>Yes</t>
        </is>
      </c>
      <c r="AR1499">
        <f>HYPERLINK("http://catalog.hathitrust.org/Record/001493254","HathiTrust Record")</f>
        <v/>
      </c>
      <c r="AS1499">
        <f>HYPERLINK("https://creighton-primo.hosted.exlibrisgroup.com/primo-explore/search?tab=default_tab&amp;search_scope=EVERYTHING&amp;vid=01CRU&amp;lang=en_US&amp;offset=0&amp;query=any,contains,991000039869702656","Catalog Record")</f>
        <v/>
      </c>
      <c r="AT1499">
        <f>HYPERLINK("http://www.worldcat.org/oclc/21587","WorldCat Record")</f>
        <v/>
      </c>
      <c r="AU1499" t="inlineStr">
        <is>
          <t>422289191:eng</t>
        </is>
      </c>
      <c r="AV1499" t="inlineStr">
        <is>
          <t>21587</t>
        </is>
      </c>
      <c r="AW1499" t="inlineStr">
        <is>
          <t>991000039869702656</t>
        </is>
      </c>
      <c r="AX1499" t="inlineStr">
        <is>
          <t>991000039869702656</t>
        </is>
      </c>
      <c r="AY1499" t="inlineStr">
        <is>
          <t>2261464470002656</t>
        </is>
      </c>
      <c r="AZ1499" t="inlineStr">
        <is>
          <t>BOOK</t>
        </is>
      </c>
      <c r="BC1499" t="inlineStr">
        <is>
          <t>32285002935848</t>
        </is>
      </c>
      <c r="BD1499" t="inlineStr">
        <is>
          <t>893419140</t>
        </is>
      </c>
    </row>
    <row r="1500">
      <c r="A1500" t="inlineStr">
        <is>
          <t>No</t>
        </is>
      </c>
      <c r="B1500" t="inlineStr">
        <is>
          <t>QH641 .P54 2005</t>
        </is>
      </c>
      <c r="C1500" t="inlineStr">
        <is>
          <t>0                      QH 0641000P  54          2005</t>
        </is>
      </c>
      <c r="D1500" t="inlineStr">
        <is>
          <t>Aglow in the dark : the revolutionary science of biofluorescence / Vincent Pieribone and David F. Gruber.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Pieribone, Vincent.</t>
        </is>
      </c>
      <c r="L1500" t="inlineStr">
        <is>
          <t>Cambridge, Mass. : Belknap Press of Harvard University Press, c2005.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mau</t>
        </is>
      </c>
      <c r="R1500" t="inlineStr">
        <is>
          <t xml:space="preserve">QH </t>
        </is>
      </c>
      <c r="S1500" t="n">
        <v>1</v>
      </c>
      <c r="T1500" t="n">
        <v>1</v>
      </c>
      <c r="U1500" t="inlineStr">
        <is>
          <t>2007-06-25</t>
        </is>
      </c>
      <c r="V1500" t="inlineStr">
        <is>
          <t>2007-06-25</t>
        </is>
      </c>
      <c r="W1500" t="inlineStr">
        <is>
          <t>2007-06-25</t>
        </is>
      </c>
      <c r="X1500" t="inlineStr">
        <is>
          <t>2007-06-25</t>
        </is>
      </c>
      <c r="Y1500" t="n">
        <v>811</v>
      </c>
      <c r="Z1500" t="n">
        <v>700</v>
      </c>
      <c r="AA1500" t="n">
        <v>716</v>
      </c>
      <c r="AB1500" t="n">
        <v>3</v>
      </c>
      <c r="AC1500" t="n">
        <v>3</v>
      </c>
      <c r="AD1500" t="n">
        <v>24</v>
      </c>
      <c r="AE1500" t="n">
        <v>24</v>
      </c>
      <c r="AF1500" t="n">
        <v>9</v>
      </c>
      <c r="AG1500" t="n">
        <v>9</v>
      </c>
      <c r="AH1500" t="n">
        <v>6</v>
      </c>
      <c r="AI1500" t="n">
        <v>6</v>
      </c>
      <c r="AJ1500" t="n">
        <v>12</v>
      </c>
      <c r="AK1500" t="n">
        <v>12</v>
      </c>
      <c r="AL1500" t="n">
        <v>2</v>
      </c>
      <c r="AM1500" t="n">
        <v>2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HYPERLINK("https://creighton-primo.hosted.exlibrisgroup.com/primo-explore/search?tab=default_tab&amp;search_scope=EVERYTHING&amp;vid=01CRU&amp;lang=en_US&amp;offset=0&amp;query=any,contains,991005003769702656","Catalog Record")</f>
        <v/>
      </c>
      <c r="AT1500">
        <f>HYPERLINK("http://www.worldcat.org/oclc/60321612","WorldCat Record")</f>
        <v/>
      </c>
      <c r="AU1500" t="inlineStr">
        <is>
          <t>864204513:eng</t>
        </is>
      </c>
      <c r="AV1500" t="inlineStr">
        <is>
          <t>60321612</t>
        </is>
      </c>
      <c r="AW1500" t="inlineStr">
        <is>
          <t>991005003769702656</t>
        </is>
      </c>
      <c r="AX1500" t="inlineStr">
        <is>
          <t>991005003769702656</t>
        </is>
      </c>
      <c r="AY1500" t="inlineStr">
        <is>
          <t>2257169860002656</t>
        </is>
      </c>
      <c r="AZ1500" t="inlineStr">
        <is>
          <t>BOOK</t>
        </is>
      </c>
      <c r="BB1500" t="inlineStr">
        <is>
          <t>9780674019218</t>
        </is>
      </c>
      <c r="BC1500" t="inlineStr">
        <is>
          <t>32285005318497</t>
        </is>
      </c>
      <c r="BD1500" t="inlineStr">
        <is>
          <t>893707106</t>
        </is>
      </c>
    </row>
    <row r="1501">
      <c r="A1501" t="inlineStr">
        <is>
          <t>No</t>
        </is>
      </c>
      <c r="B1501" t="inlineStr">
        <is>
          <t>QH647 .C44</t>
        </is>
      </c>
      <c r="C1501" t="inlineStr">
        <is>
          <t>0                      QH 0647000C  44</t>
        </is>
      </c>
      <c r="D1501" t="inlineStr">
        <is>
          <t>Cell motility / edited by R. Goldman, T. Pollard, J. Rosenbaum.</t>
        </is>
      </c>
      <c r="F1501" t="inlineStr">
        <is>
          <t>Yes</t>
        </is>
      </c>
      <c r="G1501" t="inlineStr">
        <is>
          <t>1</t>
        </is>
      </c>
      <c r="H1501" t="inlineStr">
        <is>
          <t>Yes</t>
        </is>
      </c>
      <c r="I1501" t="inlineStr">
        <is>
          <t>No</t>
        </is>
      </c>
      <c r="J1501" t="inlineStr">
        <is>
          <t>0</t>
        </is>
      </c>
      <c r="L1501" t="inlineStr">
        <is>
          <t>[Cold Spring Harbor, N.Y.] : Cold Spring Harbor Laboratory, 1976.</t>
        </is>
      </c>
      <c r="M1501" t="inlineStr">
        <is>
          <t>1976</t>
        </is>
      </c>
      <c r="O1501" t="inlineStr">
        <is>
          <t>eng</t>
        </is>
      </c>
      <c r="P1501" t="inlineStr">
        <is>
          <t>nyu</t>
        </is>
      </c>
      <c r="Q1501" t="inlineStr">
        <is>
          <t>Cold Spring Harbor conferences on cell proliferation ; v. 3</t>
        </is>
      </c>
      <c r="R1501" t="inlineStr">
        <is>
          <t xml:space="preserve">QH </t>
        </is>
      </c>
      <c r="S1501" t="n">
        <v>2</v>
      </c>
      <c r="T1501" t="n">
        <v>6</v>
      </c>
      <c r="U1501" t="inlineStr">
        <is>
          <t>2008-04-03</t>
        </is>
      </c>
      <c r="V1501" t="inlineStr">
        <is>
          <t>2008-04-03</t>
        </is>
      </c>
      <c r="W1501" t="inlineStr">
        <is>
          <t>1997-07-14</t>
        </is>
      </c>
      <c r="X1501" t="inlineStr">
        <is>
          <t>1997-07-14</t>
        </is>
      </c>
      <c r="Y1501" t="n">
        <v>399</v>
      </c>
      <c r="Z1501" t="n">
        <v>304</v>
      </c>
      <c r="AA1501" t="n">
        <v>306</v>
      </c>
      <c r="AB1501" t="n">
        <v>3</v>
      </c>
      <c r="AC1501" t="n">
        <v>3</v>
      </c>
      <c r="AD1501" t="n">
        <v>10</v>
      </c>
      <c r="AE1501" t="n">
        <v>10</v>
      </c>
      <c r="AF1501" t="n">
        <v>1</v>
      </c>
      <c r="AG1501" t="n">
        <v>1</v>
      </c>
      <c r="AH1501" t="n">
        <v>2</v>
      </c>
      <c r="AI1501" t="n">
        <v>2</v>
      </c>
      <c r="AJ1501" t="n">
        <v>7</v>
      </c>
      <c r="AK1501" t="n">
        <v>7</v>
      </c>
      <c r="AL1501" t="n">
        <v>2</v>
      </c>
      <c r="AM1501" t="n">
        <v>2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HYPERLINK("http://catalog.hathitrust.org/Record/000731412","HathiTrust Record")</f>
        <v/>
      </c>
      <c r="AS1501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1">
        <f>HYPERLINK("http://www.worldcat.org/oclc/2584645","WorldCat Record")</f>
        <v/>
      </c>
      <c r="AU1501" t="inlineStr">
        <is>
          <t>756111686:eng</t>
        </is>
      </c>
      <c r="AV1501" t="inlineStr">
        <is>
          <t>2584645</t>
        </is>
      </c>
      <c r="AW1501" t="inlineStr">
        <is>
          <t>991004172119702656</t>
        </is>
      </c>
      <c r="AX1501" t="inlineStr">
        <is>
          <t>991004172119702656</t>
        </is>
      </c>
      <c r="AY1501" t="inlineStr">
        <is>
          <t>2263721070002656</t>
        </is>
      </c>
      <c r="AZ1501" t="inlineStr">
        <is>
          <t>BOOK</t>
        </is>
      </c>
      <c r="BB1501" t="inlineStr">
        <is>
          <t>9780879691172</t>
        </is>
      </c>
      <c r="BC1501" t="inlineStr">
        <is>
          <t>32285002935863</t>
        </is>
      </c>
      <c r="BD1501" t="inlineStr">
        <is>
          <t>893506498</t>
        </is>
      </c>
    </row>
    <row r="1502">
      <c r="A1502" t="inlineStr">
        <is>
          <t>No</t>
        </is>
      </c>
      <c r="B1502" t="inlineStr">
        <is>
          <t>QH647 .C44 BK. B</t>
        </is>
      </c>
      <c r="C1502" t="inlineStr">
        <is>
          <t>0                      QH 0647000C  44                                                      BK. B</t>
        </is>
      </c>
      <c r="D1502" t="inlineStr">
        <is>
          <t>Cell motility / edited by R. Goldman, T. Pollard, J. Rosenbaum.</t>
        </is>
      </c>
      <c r="F1502" t="inlineStr">
        <is>
          <t>Yes</t>
        </is>
      </c>
      <c r="G1502" t="inlineStr">
        <is>
          <t>1</t>
        </is>
      </c>
      <c r="H1502" t="inlineStr">
        <is>
          <t>Yes</t>
        </is>
      </c>
      <c r="I1502" t="inlineStr">
        <is>
          <t>No</t>
        </is>
      </c>
      <c r="J1502" t="inlineStr">
        <is>
          <t>0</t>
        </is>
      </c>
      <c r="L1502" t="inlineStr">
        <is>
          <t>[Cold Spring Harbor, N.Y.] : Cold Spring Harbor Laboratory, 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nyu</t>
        </is>
      </c>
      <c r="Q1502" t="inlineStr">
        <is>
          <t>Cold Spring Harbor conferences on cell proliferation ; v. 3</t>
        </is>
      </c>
      <c r="R1502" t="inlineStr">
        <is>
          <t xml:space="preserve">QH </t>
        </is>
      </c>
      <c r="S1502" t="n">
        <v>2</v>
      </c>
      <c r="T1502" t="n">
        <v>6</v>
      </c>
      <c r="U1502" t="inlineStr">
        <is>
          <t>2008-04-03</t>
        </is>
      </c>
      <c r="V1502" t="inlineStr">
        <is>
          <t>2008-04-03</t>
        </is>
      </c>
      <c r="W1502" t="inlineStr">
        <is>
          <t>1997-07-14</t>
        </is>
      </c>
      <c r="X1502" t="inlineStr">
        <is>
          <t>1997-07-14</t>
        </is>
      </c>
      <c r="Y1502" t="n">
        <v>399</v>
      </c>
      <c r="Z1502" t="n">
        <v>304</v>
      </c>
      <c r="AA1502" t="n">
        <v>306</v>
      </c>
      <c r="AB1502" t="n">
        <v>3</v>
      </c>
      <c r="AC1502" t="n">
        <v>3</v>
      </c>
      <c r="AD1502" t="n">
        <v>10</v>
      </c>
      <c r="AE1502" t="n">
        <v>10</v>
      </c>
      <c r="AF1502" t="n">
        <v>1</v>
      </c>
      <c r="AG1502" t="n">
        <v>1</v>
      </c>
      <c r="AH1502" t="n">
        <v>2</v>
      </c>
      <c r="AI1502" t="n">
        <v>2</v>
      </c>
      <c r="AJ1502" t="n">
        <v>7</v>
      </c>
      <c r="AK1502" t="n">
        <v>7</v>
      </c>
      <c r="AL1502" t="n">
        <v>2</v>
      </c>
      <c r="AM1502" t="n">
        <v>2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Yes</t>
        </is>
      </c>
      <c r="AR1502">
        <f>HYPERLINK("http://catalog.hathitrust.org/Record/000731412","HathiTrust Record")</f>
        <v/>
      </c>
      <c r="AS1502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2">
        <f>HYPERLINK("http://www.worldcat.org/oclc/2584645","WorldCat Record")</f>
        <v/>
      </c>
      <c r="AU1502" t="inlineStr">
        <is>
          <t>756111686:eng</t>
        </is>
      </c>
      <c r="AV1502" t="inlineStr">
        <is>
          <t>2584645</t>
        </is>
      </c>
      <c r="AW1502" t="inlineStr">
        <is>
          <t>991004172119702656</t>
        </is>
      </c>
      <c r="AX1502" t="inlineStr">
        <is>
          <t>991004172119702656</t>
        </is>
      </c>
      <c r="AY1502" t="inlineStr">
        <is>
          <t>2263721070002656</t>
        </is>
      </c>
      <c r="AZ1502" t="inlineStr">
        <is>
          <t>BOOK</t>
        </is>
      </c>
      <c r="BB1502" t="inlineStr">
        <is>
          <t>9780879691172</t>
        </is>
      </c>
      <c r="BC1502" t="inlineStr">
        <is>
          <t>32285002935889</t>
        </is>
      </c>
      <c r="BD1502" t="inlineStr">
        <is>
          <t>893506497</t>
        </is>
      </c>
    </row>
    <row r="1503">
      <c r="A1503" t="inlineStr">
        <is>
          <t>No</t>
        </is>
      </c>
      <c r="B1503" t="inlineStr">
        <is>
          <t>QH647 .C44 BK. C</t>
        </is>
      </c>
      <c r="C1503" t="inlineStr">
        <is>
          <t>0                      QH 0647000C  44                                                      BK. C</t>
        </is>
      </c>
      <c r="D1503" t="inlineStr">
        <is>
          <t>Cell motility / edited by R. Goldman, T. Pollard, J. Rosenbaum.</t>
        </is>
      </c>
      <c r="F1503" t="inlineStr">
        <is>
          <t>Yes</t>
        </is>
      </c>
      <c r="G1503" t="inlineStr">
        <is>
          <t>1</t>
        </is>
      </c>
      <c r="H1503" t="inlineStr">
        <is>
          <t>Yes</t>
        </is>
      </c>
      <c r="I1503" t="inlineStr">
        <is>
          <t>No</t>
        </is>
      </c>
      <c r="J1503" t="inlineStr">
        <is>
          <t>0</t>
        </is>
      </c>
      <c r="L1503" t="inlineStr">
        <is>
          <t>[Cold Spring Harbor, N.Y.] : Cold Spring Harbor Laboratory, 1976.</t>
        </is>
      </c>
      <c r="M1503" t="inlineStr">
        <is>
          <t>1976</t>
        </is>
      </c>
      <c r="O1503" t="inlineStr">
        <is>
          <t>eng</t>
        </is>
      </c>
      <c r="P1503" t="inlineStr">
        <is>
          <t>nyu</t>
        </is>
      </c>
      <c r="Q1503" t="inlineStr">
        <is>
          <t>Cold Spring Harbor conferences on cell proliferation ; v. 3</t>
        </is>
      </c>
      <c r="R1503" t="inlineStr">
        <is>
          <t xml:space="preserve">QH </t>
        </is>
      </c>
      <c r="S1503" t="n">
        <v>2</v>
      </c>
      <c r="T1503" t="n">
        <v>6</v>
      </c>
      <c r="U1503" t="inlineStr">
        <is>
          <t>2008-04-03</t>
        </is>
      </c>
      <c r="V1503" t="inlineStr">
        <is>
          <t>2008-04-03</t>
        </is>
      </c>
      <c r="W1503" t="inlineStr">
        <is>
          <t>1997-07-14</t>
        </is>
      </c>
      <c r="X1503" t="inlineStr">
        <is>
          <t>1997-07-14</t>
        </is>
      </c>
      <c r="Y1503" t="n">
        <v>399</v>
      </c>
      <c r="Z1503" t="n">
        <v>304</v>
      </c>
      <c r="AA1503" t="n">
        <v>306</v>
      </c>
      <c r="AB1503" t="n">
        <v>3</v>
      </c>
      <c r="AC1503" t="n">
        <v>3</v>
      </c>
      <c r="AD1503" t="n">
        <v>10</v>
      </c>
      <c r="AE1503" t="n">
        <v>10</v>
      </c>
      <c r="AF1503" t="n">
        <v>1</v>
      </c>
      <c r="AG1503" t="n">
        <v>1</v>
      </c>
      <c r="AH1503" t="n">
        <v>2</v>
      </c>
      <c r="AI1503" t="n">
        <v>2</v>
      </c>
      <c r="AJ1503" t="n">
        <v>7</v>
      </c>
      <c r="AK1503" t="n">
        <v>7</v>
      </c>
      <c r="AL1503" t="n">
        <v>2</v>
      </c>
      <c r="AM1503" t="n">
        <v>2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HYPERLINK("http://catalog.hathitrust.org/Record/000731412","HathiTrust Record")</f>
        <v/>
      </c>
      <c r="AS1503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3">
        <f>HYPERLINK("http://www.worldcat.org/oclc/2584645","WorldCat Record")</f>
        <v/>
      </c>
      <c r="AU1503" t="inlineStr">
        <is>
          <t>756111686:eng</t>
        </is>
      </c>
      <c r="AV1503" t="inlineStr">
        <is>
          <t>2584645</t>
        </is>
      </c>
      <c r="AW1503" t="inlineStr">
        <is>
          <t>991004172119702656</t>
        </is>
      </c>
      <c r="AX1503" t="inlineStr">
        <is>
          <t>991004172119702656</t>
        </is>
      </c>
      <c r="AY1503" t="inlineStr">
        <is>
          <t>2263721070002656</t>
        </is>
      </c>
      <c r="AZ1503" t="inlineStr">
        <is>
          <t>BOOK</t>
        </is>
      </c>
      <c r="BB1503" t="inlineStr">
        <is>
          <t>9780879691172</t>
        </is>
      </c>
      <c r="BC1503" t="inlineStr">
        <is>
          <t>32285002935871</t>
        </is>
      </c>
      <c r="BD1503" t="inlineStr">
        <is>
          <t>893506496</t>
        </is>
      </c>
    </row>
    <row r="1504">
      <c r="A1504" t="inlineStr">
        <is>
          <t>No</t>
        </is>
      </c>
      <c r="B1504" t="inlineStr">
        <is>
          <t>QH647 .C45 1986</t>
        </is>
      </c>
      <c r="C1504" t="inlineStr">
        <is>
          <t>0                      QH 0647000C  45          1986</t>
        </is>
      </c>
      <c r="D1504" t="inlineStr">
        <is>
          <t>Cell motility : mechanism and regulation / editors, Harunori Ishikawa, Sadashi Hatano, Hidemi Sato.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New York : A.R. Liss, c1986.</t>
        </is>
      </c>
      <c r="M1504" t="inlineStr">
        <is>
          <t>1986</t>
        </is>
      </c>
      <c r="O1504" t="inlineStr">
        <is>
          <t>eng</t>
        </is>
      </c>
      <c r="P1504" t="inlineStr">
        <is>
          <t>nyu</t>
        </is>
      </c>
      <c r="R1504" t="inlineStr">
        <is>
          <t xml:space="preserve">QH </t>
        </is>
      </c>
      <c r="S1504" t="n">
        <v>1</v>
      </c>
      <c r="T1504" t="n">
        <v>1</v>
      </c>
      <c r="U1504" t="inlineStr">
        <is>
          <t>2008-02-25</t>
        </is>
      </c>
      <c r="V1504" t="inlineStr">
        <is>
          <t>2008-02-25</t>
        </is>
      </c>
      <c r="W1504" t="inlineStr">
        <is>
          <t>1993-05-12</t>
        </is>
      </c>
      <c r="X1504" t="inlineStr">
        <is>
          <t>1993-05-12</t>
        </is>
      </c>
      <c r="Y1504" t="n">
        <v>165</v>
      </c>
      <c r="Z1504" t="n">
        <v>142</v>
      </c>
      <c r="AA1504" t="n">
        <v>145</v>
      </c>
      <c r="AB1504" t="n">
        <v>1</v>
      </c>
      <c r="AC1504" t="n">
        <v>1</v>
      </c>
      <c r="AD1504" t="n">
        <v>2</v>
      </c>
      <c r="AE1504" t="n">
        <v>2</v>
      </c>
      <c r="AF1504" t="n">
        <v>0</v>
      </c>
      <c r="AG1504" t="n">
        <v>0</v>
      </c>
      <c r="AH1504" t="n">
        <v>1</v>
      </c>
      <c r="AI1504" t="n">
        <v>1</v>
      </c>
      <c r="AJ1504" t="n">
        <v>1</v>
      </c>
      <c r="AK1504" t="n">
        <v>1</v>
      </c>
      <c r="AL1504" t="n">
        <v>0</v>
      </c>
      <c r="AM1504" t="n">
        <v>0</v>
      </c>
      <c r="AN1504" t="n">
        <v>0</v>
      </c>
      <c r="AO1504" t="n">
        <v>0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HYPERLINK("http://catalog.hathitrust.org/Record/000590052","HathiTrust Record")</f>
        <v/>
      </c>
      <c r="AS1504">
        <f>HYPERLINK("https://creighton-primo.hosted.exlibrisgroup.com/primo-explore/search?tab=default_tab&amp;search_scope=EVERYTHING&amp;vid=01CRU&amp;lang=en_US&amp;offset=0&amp;query=any,contains,991000779199702656","Catalog Record")</f>
        <v/>
      </c>
      <c r="AT1504">
        <f>HYPERLINK("http://www.worldcat.org/oclc/13093872","WorldCat Record")</f>
        <v/>
      </c>
      <c r="AU1504" t="inlineStr">
        <is>
          <t>3855311103:eng</t>
        </is>
      </c>
      <c r="AV1504" t="inlineStr">
        <is>
          <t>13093872</t>
        </is>
      </c>
      <c r="AW1504" t="inlineStr">
        <is>
          <t>991000779199702656</t>
        </is>
      </c>
      <c r="AX1504" t="inlineStr">
        <is>
          <t>991000779199702656</t>
        </is>
      </c>
      <c r="AY1504" t="inlineStr">
        <is>
          <t>2269787880002656</t>
        </is>
      </c>
      <c r="AZ1504" t="inlineStr">
        <is>
          <t>BOOK</t>
        </is>
      </c>
      <c r="BB1504" t="inlineStr">
        <is>
          <t>9780845130148</t>
        </is>
      </c>
      <c r="BC1504" t="inlineStr">
        <is>
          <t>32285001643708</t>
        </is>
      </c>
      <c r="BD1504" t="inlineStr">
        <is>
          <t>893690026</t>
        </is>
      </c>
    </row>
    <row r="1505">
      <c r="A1505" t="inlineStr">
        <is>
          <t>No</t>
        </is>
      </c>
      <c r="B1505" t="inlineStr">
        <is>
          <t>QH647 .S95 1972</t>
        </is>
      </c>
      <c r="C1505" t="inlineStr">
        <is>
          <t>0                      QH 0647000S  95          1972</t>
        </is>
      </c>
      <c r="D1505" t="inlineStr">
        <is>
          <t>Locomotion of tissue cells.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Symposium on Locomotion of Tissue Cells (1972 : London, England)</t>
        </is>
      </c>
      <c r="L1505" t="inlineStr">
        <is>
          <t>Amsterdam, New York, Elsevier, 1973.</t>
        </is>
      </c>
      <c r="M1505" t="inlineStr">
        <is>
          <t>1973</t>
        </is>
      </c>
      <c r="O1505" t="inlineStr">
        <is>
          <t>eng</t>
        </is>
      </c>
      <c r="P1505" t="inlineStr">
        <is>
          <t xml:space="preserve">ne </t>
        </is>
      </c>
      <c r="Q1505" t="inlineStr">
        <is>
          <t>Ciba Foundation symposium ; 14</t>
        </is>
      </c>
      <c r="R1505" t="inlineStr">
        <is>
          <t xml:space="preserve">QH </t>
        </is>
      </c>
      <c r="S1505" t="n">
        <v>1</v>
      </c>
      <c r="T1505" t="n">
        <v>1</v>
      </c>
      <c r="U1505" t="inlineStr">
        <is>
          <t>2008-02-25</t>
        </is>
      </c>
      <c r="V1505" t="inlineStr">
        <is>
          <t>2008-02-25</t>
        </is>
      </c>
      <c r="W1505" t="inlineStr">
        <is>
          <t>1997-07-14</t>
        </is>
      </c>
      <c r="X1505" t="inlineStr">
        <is>
          <t>1997-07-14</t>
        </is>
      </c>
      <c r="Y1505" t="n">
        <v>350</v>
      </c>
      <c r="Z1505" t="n">
        <v>264</v>
      </c>
      <c r="AA1505" t="n">
        <v>656</v>
      </c>
      <c r="AB1505" t="n">
        <v>2</v>
      </c>
      <c r="AC1505" t="n">
        <v>6</v>
      </c>
      <c r="AD1505" t="n">
        <v>14</v>
      </c>
      <c r="AE1505" t="n">
        <v>31</v>
      </c>
      <c r="AF1505" t="n">
        <v>5</v>
      </c>
      <c r="AG1505" t="n">
        <v>11</v>
      </c>
      <c r="AH1505" t="n">
        <v>2</v>
      </c>
      <c r="AI1505" t="n">
        <v>6</v>
      </c>
      <c r="AJ1505" t="n">
        <v>10</v>
      </c>
      <c r="AK1505" t="n">
        <v>14</v>
      </c>
      <c r="AL1505" t="n">
        <v>1</v>
      </c>
      <c r="AM1505" t="n">
        <v>5</v>
      </c>
      <c r="AN1505" t="n">
        <v>0</v>
      </c>
      <c r="AO1505" t="n">
        <v>1</v>
      </c>
      <c r="AP1505" t="inlineStr">
        <is>
          <t>No</t>
        </is>
      </c>
      <c r="AQ1505" t="inlineStr">
        <is>
          <t>Yes</t>
        </is>
      </c>
      <c r="AR1505">
        <f>HYPERLINK("http://catalog.hathitrust.org/Record/001496096","HathiTrust Record")</f>
        <v/>
      </c>
      <c r="AS1505">
        <f>HYPERLINK("https://creighton-primo.hosted.exlibrisgroup.com/primo-explore/search?tab=default_tab&amp;search_scope=EVERYTHING&amp;vid=01CRU&amp;lang=en_US&amp;offset=0&amp;query=any,contains,991003227729702656","Catalog Record")</f>
        <v/>
      </c>
      <c r="AT1505">
        <f>HYPERLINK("http://www.worldcat.org/oclc/752590","WorldCat Record")</f>
        <v/>
      </c>
      <c r="AU1505" t="inlineStr">
        <is>
          <t>119876617:eng</t>
        </is>
      </c>
      <c r="AV1505" t="inlineStr">
        <is>
          <t>752590</t>
        </is>
      </c>
      <c r="AW1505" t="inlineStr">
        <is>
          <t>991003227729702656</t>
        </is>
      </c>
      <c r="AX1505" t="inlineStr">
        <is>
          <t>991003227729702656</t>
        </is>
      </c>
      <c r="AY1505" t="inlineStr">
        <is>
          <t>2269007960002656</t>
        </is>
      </c>
      <c r="AZ1505" t="inlineStr">
        <is>
          <t>BOOK</t>
        </is>
      </c>
      <c r="BB1505" t="inlineStr">
        <is>
          <t>9780444150103</t>
        </is>
      </c>
      <c r="BC1505" t="inlineStr">
        <is>
          <t>32285002935897</t>
        </is>
      </c>
      <c r="BD1505" t="inlineStr">
        <is>
          <t>893330091</t>
        </is>
      </c>
    </row>
    <row r="1506">
      <c r="A1506" t="inlineStr">
        <is>
          <t>No</t>
        </is>
      </c>
      <c r="B1506" t="inlineStr">
        <is>
          <t>QH647 .Y35 1978</t>
        </is>
      </c>
      <c r="C1506" t="inlineStr">
        <is>
          <t>0                      QH 0647000Y  35          1978</t>
        </is>
      </c>
      <c r="D1506" t="inlineStr">
        <is>
          <t>Cell motility : molecules and organization / edited by Sadashi Hatano, Harunori Ishikawa, Hidemi Sato.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Yamada Conference on Cell Motility Controlled by Actin, Myosin, and Related Proteins (1st : 1978 : Nagoya-shi, Japan)</t>
        </is>
      </c>
      <c r="L1506" t="inlineStr">
        <is>
          <t>Baltimore : University Park Press, c1979.</t>
        </is>
      </c>
      <c r="M1506" t="inlineStr">
        <is>
          <t>1979</t>
        </is>
      </c>
      <c r="O1506" t="inlineStr">
        <is>
          <t>eng</t>
        </is>
      </c>
      <c r="P1506" t="inlineStr">
        <is>
          <t>mdu</t>
        </is>
      </c>
      <c r="R1506" t="inlineStr">
        <is>
          <t xml:space="preserve">QH </t>
        </is>
      </c>
      <c r="S1506" t="n">
        <v>1</v>
      </c>
      <c r="T1506" t="n">
        <v>1</v>
      </c>
      <c r="U1506" t="inlineStr">
        <is>
          <t>2008-02-13</t>
        </is>
      </c>
      <c r="V1506" t="inlineStr">
        <is>
          <t>2008-02-13</t>
        </is>
      </c>
      <c r="W1506" t="inlineStr">
        <is>
          <t>1993-05-12</t>
        </is>
      </c>
      <c r="X1506" t="inlineStr">
        <is>
          <t>1993-05-12</t>
        </is>
      </c>
      <c r="Y1506" t="n">
        <v>171</v>
      </c>
      <c r="Z1506" t="n">
        <v>140</v>
      </c>
      <c r="AA1506" t="n">
        <v>142</v>
      </c>
      <c r="AB1506" t="n">
        <v>3</v>
      </c>
      <c r="AC1506" t="n">
        <v>3</v>
      </c>
      <c r="AD1506" t="n">
        <v>5</v>
      </c>
      <c r="AE1506" t="n">
        <v>5</v>
      </c>
      <c r="AF1506" t="n">
        <v>1</v>
      </c>
      <c r="AG1506" t="n">
        <v>1</v>
      </c>
      <c r="AH1506" t="n">
        <v>1</v>
      </c>
      <c r="AI1506" t="n">
        <v>1</v>
      </c>
      <c r="AJ1506" t="n">
        <v>2</v>
      </c>
      <c r="AK1506" t="n">
        <v>2</v>
      </c>
      <c r="AL1506" t="n">
        <v>2</v>
      </c>
      <c r="AM1506" t="n">
        <v>2</v>
      </c>
      <c r="AN1506" t="n">
        <v>0</v>
      </c>
      <c r="AO1506" t="n">
        <v>0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HYPERLINK("http://catalog.hathitrust.org/Record/000033658","HathiTrust Record")</f>
        <v/>
      </c>
      <c r="AS1506">
        <f>HYPERLINK("https://creighton-primo.hosted.exlibrisgroup.com/primo-explore/search?tab=default_tab&amp;search_scope=EVERYTHING&amp;vid=01CRU&amp;lang=en_US&amp;offset=0&amp;query=any,contains,991004912969702656","Catalog Record")</f>
        <v/>
      </c>
      <c r="AT1506">
        <f>HYPERLINK("http://www.worldcat.org/oclc/6000693","WorldCat Record")</f>
        <v/>
      </c>
      <c r="AU1506" t="inlineStr">
        <is>
          <t>33021054:eng</t>
        </is>
      </c>
      <c r="AV1506" t="inlineStr">
        <is>
          <t>6000693</t>
        </is>
      </c>
      <c r="AW1506" t="inlineStr">
        <is>
          <t>991004912969702656</t>
        </is>
      </c>
      <c r="AX1506" t="inlineStr">
        <is>
          <t>991004912969702656</t>
        </is>
      </c>
      <c r="AY1506" t="inlineStr">
        <is>
          <t>2272808200002656</t>
        </is>
      </c>
      <c r="AZ1506" t="inlineStr">
        <is>
          <t>BOOK</t>
        </is>
      </c>
      <c r="BB1506" t="inlineStr">
        <is>
          <t>9780839114741</t>
        </is>
      </c>
      <c r="BC1506" t="inlineStr">
        <is>
          <t>32285001643724</t>
        </is>
      </c>
      <c r="BD1506" t="inlineStr">
        <is>
          <t>893325928</t>
        </is>
      </c>
    </row>
    <row r="1507">
      <c r="A1507" t="inlineStr">
        <is>
          <t>No</t>
        </is>
      </c>
      <c r="B1507" t="inlineStr">
        <is>
          <t>QH651 .S6</t>
        </is>
      </c>
      <c r="C1507" t="inlineStr">
        <is>
          <t>0                      QH 0651000S  6</t>
        </is>
      </c>
      <c r="D1507" t="inlineStr">
        <is>
          <t>Molecular photobiology; inactivation and recovery [by] Kendric C. Smith [and] Philip C. Hanawalt.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Smith, Kendric C., 1926-</t>
        </is>
      </c>
      <c r="L1507" t="inlineStr">
        <is>
          <t>New York, Academic Press, 1969.</t>
        </is>
      </c>
      <c r="M1507" t="inlineStr">
        <is>
          <t>1969</t>
        </is>
      </c>
      <c r="O1507" t="inlineStr">
        <is>
          <t>eng</t>
        </is>
      </c>
      <c r="P1507" t="inlineStr">
        <is>
          <t>nyu</t>
        </is>
      </c>
      <c r="Q1507" t="inlineStr">
        <is>
          <t>Molecular biology</t>
        </is>
      </c>
      <c r="R1507" t="inlineStr">
        <is>
          <t xml:space="preserve">QH </t>
        </is>
      </c>
      <c r="S1507" t="n">
        <v>1</v>
      </c>
      <c r="T1507" t="n">
        <v>1</v>
      </c>
      <c r="U1507" t="inlineStr">
        <is>
          <t>2004-03-22</t>
        </is>
      </c>
      <c r="V1507" t="inlineStr">
        <is>
          <t>2004-03-22</t>
        </is>
      </c>
      <c r="W1507" t="inlineStr">
        <is>
          <t>1997-07-14</t>
        </is>
      </c>
      <c r="X1507" t="inlineStr">
        <is>
          <t>1997-07-14</t>
        </is>
      </c>
      <c r="Y1507" t="n">
        <v>476</v>
      </c>
      <c r="Z1507" t="n">
        <v>332</v>
      </c>
      <c r="AA1507" t="n">
        <v>376</v>
      </c>
      <c r="AB1507" t="n">
        <v>2</v>
      </c>
      <c r="AC1507" t="n">
        <v>3</v>
      </c>
      <c r="AD1507" t="n">
        <v>11</v>
      </c>
      <c r="AE1507" t="n">
        <v>14</v>
      </c>
      <c r="AF1507" t="n">
        <v>5</v>
      </c>
      <c r="AG1507" t="n">
        <v>6</v>
      </c>
      <c r="AH1507" t="n">
        <v>3</v>
      </c>
      <c r="AI1507" t="n">
        <v>4</v>
      </c>
      <c r="AJ1507" t="n">
        <v>7</v>
      </c>
      <c r="AK1507" t="n">
        <v>7</v>
      </c>
      <c r="AL1507" t="n">
        <v>1</v>
      </c>
      <c r="AM1507" t="n">
        <v>2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HYPERLINK("http://catalog.hathitrust.org/Record/001493265","HathiTrust Record")</f>
        <v/>
      </c>
      <c r="AS1507">
        <f>HYPERLINK("https://creighton-primo.hosted.exlibrisgroup.com/primo-explore/search?tab=default_tab&amp;search_scope=EVERYTHING&amp;vid=01CRU&amp;lang=en_US&amp;offset=0&amp;query=any,contains,991000005089702656","Catalog Record")</f>
        <v/>
      </c>
      <c r="AT1507">
        <f>HYPERLINK("http://www.worldcat.org/oclc/12956","WorldCat Record")</f>
        <v/>
      </c>
      <c r="AU1507" t="inlineStr">
        <is>
          <t>376508818:eng</t>
        </is>
      </c>
      <c r="AV1507" t="inlineStr">
        <is>
          <t>12956</t>
        </is>
      </c>
      <c r="AW1507" t="inlineStr">
        <is>
          <t>991000005089702656</t>
        </is>
      </c>
      <c r="AX1507" t="inlineStr">
        <is>
          <t>991000005089702656</t>
        </is>
      </c>
      <c r="AY1507" t="inlineStr">
        <is>
          <t>2264896710002656</t>
        </is>
      </c>
      <c r="AZ1507" t="inlineStr">
        <is>
          <t>BOOK</t>
        </is>
      </c>
      <c r="BB1507" t="inlineStr">
        <is>
          <t>9780126514506</t>
        </is>
      </c>
      <c r="BC1507" t="inlineStr">
        <is>
          <t>32285002935996</t>
        </is>
      </c>
      <c r="BD1507" t="inlineStr">
        <is>
          <t>893521289</t>
        </is>
      </c>
    </row>
    <row r="1508">
      <c r="A1508" t="inlineStr">
        <is>
          <t>No</t>
        </is>
      </c>
      <c r="B1508" t="inlineStr">
        <is>
          <t>QH652 .B58</t>
        </is>
      </c>
      <c r="C1508" t="inlineStr">
        <is>
          <t>0                      QH 0652000B  58</t>
        </is>
      </c>
      <c r="D1508" t="inlineStr">
        <is>
          <t>Mammalian radiation lethality; a disturbance in cellular kinetics [by] Victor P. Bond, Theodor M. Fliedner [and] John O. Archambeau.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Bond, Victor P.</t>
        </is>
      </c>
      <c r="L1508" t="inlineStr">
        <is>
          <t>New York, Academic Press, 1965.</t>
        </is>
      </c>
      <c r="M1508" t="inlineStr">
        <is>
          <t>1965</t>
        </is>
      </c>
      <c r="O1508" t="inlineStr">
        <is>
          <t>eng</t>
        </is>
      </c>
      <c r="P1508" t="inlineStr">
        <is>
          <t>nyu</t>
        </is>
      </c>
      <c r="Q1508" t="inlineStr">
        <is>
          <t>American Institute of Biological Sciences. Monograph series on radiation biology</t>
        </is>
      </c>
      <c r="R1508" t="inlineStr">
        <is>
          <t xml:space="preserve">QH </t>
        </is>
      </c>
      <c r="S1508" t="n">
        <v>2</v>
      </c>
      <c r="T1508" t="n">
        <v>2</v>
      </c>
      <c r="U1508" t="inlineStr">
        <is>
          <t>2000-04-04</t>
        </is>
      </c>
      <c r="V1508" t="inlineStr">
        <is>
          <t>2000-04-04</t>
        </is>
      </c>
      <c r="W1508" t="inlineStr">
        <is>
          <t>1997-07-14</t>
        </is>
      </c>
      <c r="X1508" t="inlineStr">
        <is>
          <t>1997-07-14</t>
        </is>
      </c>
      <c r="Y1508" t="n">
        <v>302</v>
      </c>
      <c r="Z1508" t="n">
        <v>248</v>
      </c>
      <c r="AA1508" t="n">
        <v>250</v>
      </c>
      <c r="AB1508" t="n">
        <v>2</v>
      </c>
      <c r="AC1508" t="n">
        <v>2</v>
      </c>
      <c r="AD1508" t="n">
        <v>10</v>
      </c>
      <c r="AE1508" t="n">
        <v>10</v>
      </c>
      <c r="AF1508" t="n">
        <v>3</v>
      </c>
      <c r="AG1508" t="n">
        <v>3</v>
      </c>
      <c r="AH1508" t="n">
        <v>2</v>
      </c>
      <c r="AI1508" t="n">
        <v>2</v>
      </c>
      <c r="AJ1508" t="n">
        <v>6</v>
      </c>
      <c r="AK1508" t="n">
        <v>6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HYPERLINK("http://catalog.hathitrust.org/Record/001493281","HathiTrust Record")</f>
        <v/>
      </c>
      <c r="AS1508">
        <f>HYPERLINK("https://creighton-primo.hosted.exlibrisgroup.com/primo-explore/search?tab=default_tab&amp;search_scope=EVERYTHING&amp;vid=01CRU&amp;lang=en_US&amp;offset=0&amp;query=any,contains,991003146209702656","Catalog Record")</f>
        <v/>
      </c>
      <c r="AT1508">
        <f>HYPERLINK("http://www.worldcat.org/oclc/14494531","WorldCat Record")</f>
        <v/>
      </c>
      <c r="AU1508" t="inlineStr">
        <is>
          <t>4020060794:eng</t>
        </is>
      </c>
      <c r="AV1508" t="inlineStr">
        <is>
          <t>14494531</t>
        </is>
      </c>
      <c r="AW1508" t="inlineStr">
        <is>
          <t>991003146209702656</t>
        </is>
      </c>
      <c r="AX1508" t="inlineStr">
        <is>
          <t>991003146209702656</t>
        </is>
      </c>
      <c r="AY1508" t="inlineStr">
        <is>
          <t>2264931820002656</t>
        </is>
      </c>
      <c r="AZ1508" t="inlineStr">
        <is>
          <t>BOOK</t>
        </is>
      </c>
      <c r="BC1508" t="inlineStr">
        <is>
          <t>32285002936143</t>
        </is>
      </c>
      <c r="BD1508" t="inlineStr">
        <is>
          <t>893409963</t>
        </is>
      </c>
    </row>
    <row r="1509">
      <c r="A1509" t="inlineStr">
        <is>
          <t>No</t>
        </is>
      </c>
      <c r="B1509" t="inlineStr">
        <is>
          <t>QH652 .E74</t>
        </is>
      </c>
      <c r="C1509" t="inlineStr">
        <is>
          <t>0                      QH 0652000E  74</t>
        </is>
      </c>
      <c r="D1509" t="inlineStr">
        <is>
          <t>Mechanisms in radiobiology, edited by Maurice Errera [and] Arne Forssberg.</t>
        </is>
      </c>
      <c r="E1509" t="inlineStr">
        <is>
          <t>V.2</t>
        </is>
      </c>
      <c r="F1509" t="inlineStr">
        <is>
          <t>Yes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Errera, Maurice, editor.</t>
        </is>
      </c>
      <c r="L1509" t="inlineStr">
        <is>
          <t>New York, Academic Press, 1960-61 [v. 1, 1961]</t>
        </is>
      </c>
      <c r="M1509" t="inlineStr">
        <is>
          <t>1960</t>
        </is>
      </c>
      <c r="O1509" t="inlineStr">
        <is>
          <t>eng</t>
        </is>
      </c>
      <c r="P1509" t="inlineStr">
        <is>
          <t>nyu</t>
        </is>
      </c>
      <c r="R1509" t="inlineStr">
        <is>
          <t xml:space="preserve">QH </t>
        </is>
      </c>
      <c r="S1509" t="n">
        <v>1</v>
      </c>
      <c r="T1509" t="n">
        <v>2</v>
      </c>
      <c r="U1509" t="inlineStr">
        <is>
          <t>2003-11-24</t>
        </is>
      </c>
      <c r="V1509" t="inlineStr">
        <is>
          <t>2003-11-24</t>
        </is>
      </c>
      <c r="W1509" t="inlineStr">
        <is>
          <t>1997-07-14</t>
        </is>
      </c>
      <c r="X1509" t="inlineStr">
        <is>
          <t>1997-07-14</t>
        </is>
      </c>
      <c r="Y1509" t="n">
        <v>435</v>
      </c>
      <c r="Z1509" t="n">
        <v>346</v>
      </c>
      <c r="AA1509" t="n">
        <v>369</v>
      </c>
      <c r="AB1509" t="n">
        <v>3</v>
      </c>
      <c r="AC1509" t="n">
        <v>3</v>
      </c>
      <c r="AD1509" t="n">
        <v>16</v>
      </c>
      <c r="AE1509" t="n">
        <v>18</v>
      </c>
      <c r="AF1509" t="n">
        <v>5</v>
      </c>
      <c r="AG1509" t="n">
        <v>6</v>
      </c>
      <c r="AH1509" t="n">
        <v>3</v>
      </c>
      <c r="AI1509" t="n">
        <v>4</v>
      </c>
      <c r="AJ1509" t="n">
        <v>11</v>
      </c>
      <c r="AK1509" t="n">
        <v>11</v>
      </c>
      <c r="AL1509" t="n">
        <v>2</v>
      </c>
      <c r="AM1509" t="n">
        <v>2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HYPERLINK("http://catalog.hathitrust.org/Record/000278909","HathiTrust Record")</f>
        <v/>
      </c>
      <c r="AS1509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09">
        <f>HYPERLINK("http://www.worldcat.org/oclc/552888","WorldCat Record")</f>
        <v/>
      </c>
      <c r="AU1509" t="inlineStr">
        <is>
          <t>114990946:eng</t>
        </is>
      </c>
      <c r="AV1509" t="inlineStr">
        <is>
          <t>552888</t>
        </is>
      </c>
      <c r="AW1509" t="inlineStr">
        <is>
          <t>991002977519702656</t>
        </is>
      </c>
      <c r="AX1509" t="inlineStr">
        <is>
          <t>991002977519702656</t>
        </is>
      </c>
      <c r="AY1509" t="inlineStr">
        <is>
          <t>2259730350002656</t>
        </is>
      </c>
      <c r="AZ1509" t="inlineStr">
        <is>
          <t>BOOK</t>
        </is>
      </c>
      <c r="BC1509" t="inlineStr">
        <is>
          <t>32285002936242</t>
        </is>
      </c>
      <c r="BD1509" t="inlineStr">
        <is>
          <t>893698533</t>
        </is>
      </c>
    </row>
    <row r="1510">
      <c r="A1510" t="inlineStr">
        <is>
          <t>No</t>
        </is>
      </c>
      <c r="B1510" t="inlineStr">
        <is>
          <t>QH652 .E74</t>
        </is>
      </c>
      <c r="C1510" t="inlineStr">
        <is>
          <t>0                      QH 0652000E  74</t>
        </is>
      </c>
      <c r="D1510" t="inlineStr">
        <is>
          <t>Mechanisms in radiobiology, edited by Maurice Errera [and] Arne Forssberg.</t>
        </is>
      </c>
      <c r="E1510" t="inlineStr">
        <is>
          <t>V.1</t>
        </is>
      </c>
      <c r="F1510" t="inlineStr">
        <is>
          <t>Yes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Errera, Maurice, editor.</t>
        </is>
      </c>
      <c r="L1510" t="inlineStr">
        <is>
          <t>New York, Academic Press, 1960-61 [v. 1, 1961]</t>
        </is>
      </c>
      <c r="M1510" t="inlineStr">
        <is>
          <t>1960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QH </t>
        </is>
      </c>
      <c r="S1510" t="n">
        <v>1</v>
      </c>
      <c r="T1510" t="n">
        <v>2</v>
      </c>
      <c r="U1510" t="inlineStr">
        <is>
          <t>2003-11-24</t>
        </is>
      </c>
      <c r="V1510" t="inlineStr">
        <is>
          <t>2003-11-24</t>
        </is>
      </c>
      <c r="W1510" t="inlineStr">
        <is>
          <t>1997-07-14</t>
        </is>
      </c>
      <c r="X1510" t="inlineStr">
        <is>
          <t>1997-07-14</t>
        </is>
      </c>
      <c r="Y1510" t="n">
        <v>435</v>
      </c>
      <c r="Z1510" t="n">
        <v>346</v>
      </c>
      <c r="AA1510" t="n">
        <v>369</v>
      </c>
      <c r="AB1510" t="n">
        <v>3</v>
      </c>
      <c r="AC1510" t="n">
        <v>3</v>
      </c>
      <c r="AD1510" t="n">
        <v>16</v>
      </c>
      <c r="AE1510" t="n">
        <v>18</v>
      </c>
      <c r="AF1510" t="n">
        <v>5</v>
      </c>
      <c r="AG1510" t="n">
        <v>6</v>
      </c>
      <c r="AH1510" t="n">
        <v>3</v>
      </c>
      <c r="AI1510" t="n">
        <v>4</v>
      </c>
      <c r="AJ1510" t="n">
        <v>11</v>
      </c>
      <c r="AK1510" t="n">
        <v>11</v>
      </c>
      <c r="AL1510" t="n">
        <v>2</v>
      </c>
      <c r="AM1510" t="n">
        <v>2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HYPERLINK("http://catalog.hathitrust.org/Record/000278909","HathiTrust Record")</f>
        <v/>
      </c>
      <c r="AS1510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10">
        <f>HYPERLINK("http://www.worldcat.org/oclc/552888","WorldCat Record")</f>
        <v/>
      </c>
      <c r="AU1510" t="inlineStr">
        <is>
          <t>114990946:eng</t>
        </is>
      </c>
      <c r="AV1510" t="inlineStr">
        <is>
          <t>552888</t>
        </is>
      </c>
      <c r="AW1510" t="inlineStr">
        <is>
          <t>991002977519702656</t>
        </is>
      </c>
      <c r="AX1510" t="inlineStr">
        <is>
          <t>991002977519702656</t>
        </is>
      </c>
      <c r="AY1510" t="inlineStr">
        <is>
          <t>2259730350002656</t>
        </is>
      </c>
      <c r="AZ1510" t="inlineStr">
        <is>
          <t>BOOK</t>
        </is>
      </c>
      <c r="BC1510" t="inlineStr">
        <is>
          <t>32285002936234</t>
        </is>
      </c>
      <c r="BD1510" t="inlineStr">
        <is>
          <t>893717171</t>
        </is>
      </c>
    </row>
    <row r="1511">
      <c r="A1511" t="inlineStr">
        <is>
          <t>No</t>
        </is>
      </c>
      <c r="B1511" t="inlineStr">
        <is>
          <t>QH652 .S63 1987</t>
        </is>
      </c>
      <c r="C1511" t="inlineStr">
        <is>
          <t>0                      QH 0652000S  63          1987</t>
        </is>
      </c>
      <c r="D1511" t="inlineStr">
        <is>
          <t>The chemical basis of radiation biology / C. von Sonntag.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Sonntag, C. von (Clemens)</t>
        </is>
      </c>
      <c r="L1511" t="inlineStr">
        <is>
          <t>London ; Philadelphia, PA : Taylor &amp; Francis, 1987.</t>
        </is>
      </c>
      <c r="M1511" t="inlineStr">
        <is>
          <t>1987</t>
        </is>
      </c>
      <c r="O1511" t="inlineStr">
        <is>
          <t>eng</t>
        </is>
      </c>
      <c r="P1511" t="inlineStr">
        <is>
          <t>enk</t>
        </is>
      </c>
      <c r="R1511" t="inlineStr">
        <is>
          <t xml:space="preserve">QH </t>
        </is>
      </c>
      <c r="S1511" t="n">
        <v>6</v>
      </c>
      <c r="T1511" t="n">
        <v>6</v>
      </c>
      <c r="U1511" t="inlineStr">
        <is>
          <t>2003-11-24</t>
        </is>
      </c>
      <c r="V1511" t="inlineStr">
        <is>
          <t>2003-11-24</t>
        </is>
      </c>
      <c r="W1511" t="inlineStr">
        <is>
          <t>1993-05-12</t>
        </is>
      </c>
      <c r="X1511" t="inlineStr">
        <is>
          <t>1993-05-12</t>
        </is>
      </c>
      <c r="Y1511" t="n">
        <v>110</v>
      </c>
      <c r="Z1511" t="n">
        <v>107</v>
      </c>
      <c r="AA1511" t="n">
        <v>153</v>
      </c>
      <c r="AB1511" t="n">
        <v>2</v>
      </c>
      <c r="AC1511" t="n">
        <v>2</v>
      </c>
      <c r="AD1511" t="n">
        <v>5</v>
      </c>
      <c r="AE1511" t="n">
        <v>5</v>
      </c>
      <c r="AF1511" t="n">
        <v>0</v>
      </c>
      <c r="AG1511" t="n">
        <v>0</v>
      </c>
      <c r="AH1511" t="n">
        <v>2</v>
      </c>
      <c r="AI1511" t="n">
        <v>2</v>
      </c>
      <c r="AJ1511" t="n">
        <v>3</v>
      </c>
      <c r="AK1511" t="n">
        <v>3</v>
      </c>
      <c r="AL1511" t="n">
        <v>1</v>
      </c>
      <c r="AM1511" t="n">
        <v>1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HYPERLINK("https://creighton-primo.hosted.exlibrisgroup.com/primo-explore/search?tab=default_tab&amp;search_scope=EVERYTHING&amp;vid=01CRU&amp;lang=en_US&amp;offset=0&amp;query=any,contains,991001045849702656","Catalog Record")</f>
        <v/>
      </c>
      <c r="AT1511">
        <f>HYPERLINK("http://www.worldcat.org/oclc/15628423","WorldCat Record")</f>
        <v/>
      </c>
      <c r="AU1511" t="inlineStr">
        <is>
          <t>927902:eng</t>
        </is>
      </c>
      <c r="AV1511" t="inlineStr">
        <is>
          <t>15628423</t>
        </is>
      </c>
      <c r="AW1511" t="inlineStr">
        <is>
          <t>991001045849702656</t>
        </is>
      </c>
      <c r="AX1511" t="inlineStr">
        <is>
          <t>991001045849702656</t>
        </is>
      </c>
      <c r="AY1511" t="inlineStr">
        <is>
          <t>2270410030002656</t>
        </is>
      </c>
      <c r="AZ1511" t="inlineStr">
        <is>
          <t>BOOK</t>
        </is>
      </c>
      <c r="BB1511" t="inlineStr">
        <is>
          <t>9780850663754</t>
        </is>
      </c>
      <c r="BC1511" t="inlineStr">
        <is>
          <t>32285001643773</t>
        </is>
      </c>
      <c r="BD1511" t="inlineStr">
        <is>
          <t>893249925</t>
        </is>
      </c>
    </row>
    <row r="1512">
      <c r="A1512" t="inlineStr">
        <is>
          <t>No</t>
        </is>
      </c>
      <c r="B1512" t="inlineStr">
        <is>
          <t>QH652 .T83 1990</t>
        </is>
      </c>
      <c r="C1512" t="inlineStr">
        <is>
          <t>0                      QH 0652000T  83          1990</t>
        </is>
      </c>
      <c r="D1512" t="inlineStr">
        <is>
          <t>Introduction to radiobiology / M. Tubiana, J. Dutreix and A. Wambersie ; translated by D. K. Bewley.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K1512" t="inlineStr">
        <is>
          <t>Tubiana, Maurice, 1920-</t>
        </is>
      </c>
      <c r="L1512" t="inlineStr">
        <is>
          <t>London ; New York : Taylor &amp; Francis, 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enk</t>
        </is>
      </c>
      <c r="R1512" t="inlineStr">
        <is>
          <t xml:space="preserve">QH </t>
        </is>
      </c>
      <c r="S1512" t="n">
        <v>2</v>
      </c>
      <c r="T1512" t="n">
        <v>2</v>
      </c>
      <c r="U1512" t="inlineStr">
        <is>
          <t>2007-12-17</t>
        </is>
      </c>
      <c r="V1512" t="inlineStr">
        <is>
          <t>2007-12-17</t>
        </is>
      </c>
      <c r="W1512" t="inlineStr">
        <is>
          <t>1991-04-16</t>
        </is>
      </c>
      <c r="X1512" t="inlineStr">
        <is>
          <t>1991-04-16</t>
        </is>
      </c>
      <c r="Y1512" t="n">
        <v>147</v>
      </c>
      <c r="Z1512" t="n">
        <v>72</v>
      </c>
      <c r="AA1512" t="n">
        <v>107</v>
      </c>
      <c r="AB1512" t="n">
        <v>1</v>
      </c>
      <c r="AC1512" t="n">
        <v>1</v>
      </c>
      <c r="AD1512" t="n">
        <v>4</v>
      </c>
      <c r="AE1512" t="n">
        <v>4</v>
      </c>
      <c r="AF1512" t="n">
        <v>1</v>
      </c>
      <c r="AG1512" t="n">
        <v>1</v>
      </c>
      <c r="AH1512" t="n">
        <v>2</v>
      </c>
      <c r="AI1512" t="n">
        <v>2</v>
      </c>
      <c r="AJ1512" t="n">
        <v>2</v>
      </c>
      <c r="AK1512" t="n">
        <v>2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No</t>
        </is>
      </c>
      <c r="AS1512">
        <f>HYPERLINK("https://creighton-primo.hosted.exlibrisgroup.com/primo-explore/search?tab=default_tab&amp;search_scope=EVERYTHING&amp;vid=01CRU&amp;lang=en_US&amp;offset=0&amp;query=any,contains,991001643439702656","Catalog Record")</f>
        <v/>
      </c>
      <c r="AT1512">
        <f>HYPERLINK("http://www.worldcat.org/oclc/21038643","WorldCat Record")</f>
        <v/>
      </c>
      <c r="AU1512" t="inlineStr">
        <is>
          <t>927944:eng</t>
        </is>
      </c>
      <c r="AV1512" t="inlineStr">
        <is>
          <t>21038643</t>
        </is>
      </c>
      <c r="AW1512" t="inlineStr">
        <is>
          <t>991001643439702656</t>
        </is>
      </c>
      <c r="AX1512" t="inlineStr">
        <is>
          <t>991001643439702656</t>
        </is>
      </c>
      <c r="AY1512" t="inlineStr">
        <is>
          <t>2256516770002656</t>
        </is>
      </c>
      <c r="AZ1512" t="inlineStr">
        <is>
          <t>BOOK</t>
        </is>
      </c>
      <c r="BB1512" t="inlineStr">
        <is>
          <t>9780850667639</t>
        </is>
      </c>
      <c r="BC1512" t="inlineStr">
        <is>
          <t>32285000567601</t>
        </is>
      </c>
      <c r="BD1512" t="inlineStr">
        <is>
          <t>893250352</t>
        </is>
      </c>
    </row>
    <row r="1513">
      <c r="A1513" t="inlineStr">
        <is>
          <t>No</t>
        </is>
      </c>
      <c r="B1513" t="inlineStr">
        <is>
          <t>QH652.5 .S6</t>
        </is>
      </c>
      <c r="C1513" t="inlineStr">
        <is>
          <t>0                      QH 0652500S  6</t>
        </is>
      </c>
      <c r="D1513" t="inlineStr">
        <is>
          <t>Repair from genetic radiation damage and differential radiosensitivity in germ cells; proceedings of an international symposium held at the University of Leiden, the Netherlands, August 15-19, 1962. With an introd. by Alexander Hollaender.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K1513" t="inlineStr">
        <is>
          <t>Sobels, F. H., editor.</t>
        </is>
      </c>
      <c r="L1513" t="inlineStr">
        <is>
          <t>New York, Macmillan, 1963.</t>
        </is>
      </c>
      <c r="M1513" t="inlineStr">
        <is>
          <t>1963</t>
        </is>
      </c>
      <c r="O1513" t="inlineStr">
        <is>
          <t>eng</t>
        </is>
      </c>
      <c r="P1513" t="inlineStr">
        <is>
          <t xml:space="preserve">xx </t>
        </is>
      </c>
      <c r="R1513" t="inlineStr">
        <is>
          <t xml:space="preserve">QH </t>
        </is>
      </c>
      <c r="S1513" t="n">
        <v>2</v>
      </c>
      <c r="T1513" t="n">
        <v>2</v>
      </c>
      <c r="U1513" t="inlineStr">
        <is>
          <t>2000-04-04</t>
        </is>
      </c>
      <c r="V1513" t="inlineStr">
        <is>
          <t>2000-04-04</t>
        </is>
      </c>
      <c r="W1513" t="inlineStr">
        <is>
          <t>1997-07-15</t>
        </is>
      </c>
      <c r="X1513" t="inlineStr">
        <is>
          <t>1997-07-15</t>
        </is>
      </c>
      <c r="Y1513" t="n">
        <v>188</v>
      </c>
      <c r="Z1513" t="n">
        <v>153</v>
      </c>
      <c r="AA1513" t="n">
        <v>165</v>
      </c>
      <c r="AB1513" t="n">
        <v>2</v>
      </c>
      <c r="AC1513" t="n">
        <v>2</v>
      </c>
      <c r="AD1513" t="n">
        <v>8</v>
      </c>
      <c r="AE1513" t="n">
        <v>8</v>
      </c>
      <c r="AF1513" t="n">
        <v>2</v>
      </c>
      <c r="AG1513" t="n">
        <v>2</v>
      </c>
      <c r="AH1513" t="n">
        <v>2</v>
      </c>
      <c r="AI1513" t="n">
        <v>2</v>
      </c>
      <c r="AJ1513" t="n">
        <v>5</v>
      </c>
      <c r="AK1513" t="n">
        <v>5</v>
      </c>
      <c r="AL1513" t="n">
        <v>1</v>
      </c>
      <c r="AM1513" t="n">
        <v>1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R1513">
        <f>HYPERLINK("http://catalog.hathitrust.org/Record/001493345","HathiTrust Record")</f>
        <v/>
      </c>
      <c r="AS1513">
        <f>HYPERLINK("https://creighton-primo.hosted.exlibrisgroup.com/primo-explore/search?tab=default_tab&amp;search_scope=EVERYTHING&amp;vid=01CRU&amp;lang=en_US&amp;offset=0&amp;query=any,contains,991004147859702656","Catalog Record")</f>
        <v/>
      </c>
      <c r="AT1513">
        <f>HYPERLINK("http://www.worldcat.org/oclc/2516777","WorldCat Record")</f>
        <v/>
      </c>
      <c r="AU1513" t="inlineStr">
        <is>
          <t>3816083:eng</t>
        </is>
      </c>
      <c r="AV1513" t="inlineStr">
        <is>
          <t>2516777</t>
        </is>
      </c>
      <c r="AW1513" t="inlineStr">
        <is>
          <t>991004147859702656</t>
        </is>
      </c>
      <c r="AX1513" t="inlineStr">
        <is>
          <t>991004147859702656</t>
        </is>
      </c>
      <c r="AY1513" t="inlineStr">
        <is>
          <t>2258726780002656</t>
        </is>
      </c>
      <c r="AZ1513" t="inlineStr">
        <is>
          <t>BOOK</t>
        </is>
      </c>
      <c r="BC1513" t="inlineStr">
        <is>
          <t>32285002936424</t>
        </is>
      </c>
      <c r="BD1513" t="inlineStr">
        <is>
          <t>893869344</t>
        </is>
      </c>
    </row>
    <row r="1514">
      <c r="A1514" t="inlineStr">
        <is>
          <t>No</t>
        </is>
      </c>
      <c r="B1514" t="inlineStr">
        <is>
          <t>QH653 .D38 1992</t>
        </is>
      </c>
      <c r="C1514" t="inlineStr">
        <is>
          <t>0                      QH 0653000D  38          1992</t>
        </is>
      </c>
      <c r="D1514" t="inlineStr">
        <is>
          <t>Animal life at low temperature / John Davenport.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Davenport, J. (John), 1946-</t>
        </is>
      </c>
      <c r="L1514" t="inlineStr">
        <is>
          <t>London ; New York : Chapman &amp; Hall, 1992.</t>
        </is>
      </c>
      <c r="M1514" t="inlineStr">
        <is>
          <t>1992</t>
        </is>
      </c>
      <c r="N1514" t="inlineStr">
        <is>
          <t>1st ed.</t>
        </is>
      </c>
      <c r="O1514" t="inlineStr">
        <is>
          <t>eng</t>
        </is>
      </c>
      <c r="P1514" t="inlineStr">
        <is>
          <t>enk</t>
        </is>
      </c>
      <c r="R1514" t="inlineStr">
        <is>
          <t xml:space="preserve">QH </t>
        </is>
      </c>
      <c r="S1514" t="n">
        <v>8</v>
      </c>
      <c r="T1514" t="n">
        <v>8</v>
      </c>
      <c r="U1514" t="inlineStr">
        <is>
          <t>2010-04-12</t>
        </is>
      </c>
      <c r="V1514" t="inlineStr">
        <is>
          <t>2010-04-12</t>
        </is>
      </c>
      <c r="W1514" t="inlineStr">
        <is>
          <t>1992-03-06</t>
        </is>
      </c>
      <c r="X1514" t="inlineStr">
        <is>
          <t>1992-03-06</t>
        </is>
      </c>
      <c r="Y1514" t="n">
        <v>472</v>
      </c>
      <c r="Z1514" t="n">
        <v>348</v>
      </c>
      <c r="AA1514" t="n">
        <v>371</v>
      </c>
      <c r="AB1514" t="n">
        <v>2</v>
      </c>
      <c r="AC1514" t="n">
        <v>2</v>
      </c>
      <c r="AD1514" t="n">
        <v>18</v>
      </c>
      <c r="AE1514" t="n">
        <v>18</v>
      </c>
      <c r="AF1514" t="n">
        <v>9</v>
      </c>
      <c r="AG1514" t="n">
        <v>9</v>
      </c>
      <c r="AH1514" t="n">
        <v>4</v>
      </c>
      <c r="AI1514" t="n">
        <v>4</v>
      </c>
      <c r="AJ1514" t="n">
        <v>10</v>
      </c>
      <c r="AK1514" t="n">
        <v>10</v>
      </c>
      <c r="AL1514" t="n">
        <v>1</v>
      </c>
      <c r="AM1514" t="n">
        <v>1</v>
      </c>
      <c r="AN1514" t="n">
        <v>0</v>
      </c>
      <c r="AO1514" t="n">
        <v>0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HYPERLINK("https://creighton-primo.hosted.exlibrisgroup.com/primo-explore/search?tab=default_tab&amp;search_scope=EVERYTHING&amp;vid=01CRU&amp;lang=en_US&amp;offset=0&amp;query=any,contains,991001910859702656","Catalog Record")</f>
        <v/>
      </c>
      <c r="AT1514">
        <f>HYPERLINK("http://www.worldcat.org/oclc/24142240","WorldCat Record")</f>
        <v/>
      </c>
      <c r="AU1514" t="inlineStr">
        <is>
          <t>27344991:eng</t>
        </is>
      </c>
      <c r="AV1514" t="inlineStr">
        <is>
          <t>24142240</t>
        </is>
      </c>
      <c r="AW1514" t="inlineStr">
        <is>
          <t>991001910859702656</t>
        </is>
      </c>
      <c r="AX1514" t="inlineStr">
        <is>
          <t>991001910859702656</t>
        </is>
      </c>
      <c r="AY1514" t="inlineStr">
        <is>
          <t>2265804820002656</t>
        </is>
      </c>
      <c r="AZ1514" t="inlineStr">
        <is>
          <t>BOOK</t>
        </is>
      </c>
      <c r="BB1514" t="inlineStr">
        <is>
          <t>9780412403507</t>
        </is>
      </c>
      <c r="BC1514" t="inlineStr">
        <is>
          <t>32285000938935</t>
        </is>
      </c>
      <c r="BD1514" t="inlineStr">
        <is>
          <t>893534751</t>
        </is>
      </c>
    </row>
    <row r="1515">
      <c r="A1515" t="inlineStr">
        <is>
          <t>No</t>
        </is>
      </c>
      <c r="B1515" t="inlineStr">
        <is>
          <t>QH653 .I573 1963</t>
        </is>
      </c>
      <c r="C1515" t="inlineStr">
        <is>
          <t>0                      QH 0653000I  573         1963</t>
        </is>
      </c>
      <c r="D1515" t="inlineStr">
        <is>
          <t>The cell and environmental temperature; the role of cellular reactions in adaptation of multicellular organisms to environmental temperature; proceedings. Editor-in-chief, A.S. Troshin. English ed. edited by C.L. Prosser in collaboration with J. Levitt, H.T. Meryman, and K.M. Sukhanova.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International Symposium on Cytoecology (1963 : Saint Petersburg, Russia)</t>
        </is>
      </c>
      <c r="L1515" t="inlineStr">
        <is>
          <t>Oxford, New York, Pergamon Press [1967]</t>
        </is>
      </c>
      <c r="M1515" t="inlineStr">
        <is>
          <t>1967</t>
        </is>
      </c>
      <c r="N1515" t="inlineStr">
        <is>
          <t>[1st Eng. ed.].</t>
        </is>
      </c>
      <c r="O1515" t="inlineStr">
        <is>
          <t>eng</t>
        </is>
      </c>
      <c r="P1515" t="inlineStr">
        <is>
          <t>enk</t>
        </is>
      </c>
      <c r="Q1515" t="inlineStr">
        <is>
          <t>International series of monographs in pure and applied biology. Division: zoology, v. 34</t>
        </is>
      </c>
      <c r="R1515" t="inlineStr">
        <is>
          <t xml:space="preserve">QH </t>
        </is>
      </c>
      <c r="S1515" t="n">
        <v>1</v>
      </c>
      <c r="T1515" t="n">
        <v>1</v>
      </c>
      <c r="U1515" t="inlineStr">
        <is>
          <t>2010-02-27</t>
        </is>
      </c>
      <c r="V1515" t="inlineStr">
        <is>
          <t>2010-02-27</t>
        </is>
      </c>
      <c r="W1515" t="inlineStr">
        <is>
          <t>1997-07-15</t>
        </is>
      </c>
      <c r="X1515" t="inlineStr">
        <is>
          <t>1997-07-15</t>
        </is>
      </c>
      <c r="Y1515" t="n">
        <v>252</v>
      </c>
      <c r="Z1515" t="n">
        <v>212</v>
      </c>
      <c r="AA1515" t="n">
        <v>274</v>
      </c>
      <c r="AB1515" t="n">
        <v>3</v>
      </c>
      <c r="AC1515" t="n">
        <v>3</v>
      </c>
      <c r="AD1515" t="n">
        <v>8</v>
      </c>
      <c r="AE1515" t="n">
        <v>12</v>
      </c>
      <c r="AF1515" t="n">
        <v>0</v>
      </c>
      <c r="AG1515" t="n">
        <v>2</v>
      </c>
      <c r="AH1515" t="n">
        <v>2</v>
      </c>
      <c r="AI1515" t="n">
        <v>4</v>
      </c>
      <c r="AJ1515" t="n">
        <v>5</v>
      </c>
      <c r="AK1515" t="n">
        <v>6</v>
      </c>
      <c r="AL1515" t="n">
        <v>2</v>
      </c>
      <c r="AM1515" t="n">
        <v>2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HYPERLINK("http://catalog.hathitrust.org/Record/007156754","HathiTrust Record")</f>
        <v/>
      </c>
      <c r="AS1515">
        <f>HYPERLINK("https://creighton-primo.hosted.exlibrisgroup.com/primo-explore/search?tab=default_tab&amp;search_scope=EVERYTHING&amp;vid=01CRU&amp;lang=en_US&amp;offset=0&amp;query=any,contains,991002882169702656","Catalog Record")</f>
        <v/>
      </c>
      <c r="AT1515">
        <f>HYPERLINK("http://www.worldcat.org/oclc/506194","WorldCat Record")</f>
        <v/>
      </c>
      <c r="AU1515" t="inlineStr">
        <is>
          <t>1451290:eng</t>
        </is>
      </c>
      <c r="AV1515" t="inlineStr">
        <is>
          <t>506194</t>
        </is>
      </c>
      <c r="AW1515" t="inlineStr">
        <is>
          <t>991002882169702656</t>
        </is>
      </c>
      <c r="AX1515" t="inlineStr">
        <is>
          <t>991002882169702656</t>
        </is>
      </c>
      <c r="AY1515" t="inlineStr">
        <is>
          <t>2260082090002656</t>
        </is>
      </c>
      <c r="AZ1515" t="inlineStr">
        <is>
          <t>BOOK</t>
        </is>
      </c>
      <c r="BC1515" t="inlineStr">
        <is>
          <t>32285002936432</t>
        </is>
      </c>
      <c r="BD1515" t="inlineStr">
        <is>
          <t>893685903</t>
        </is>
      </c>
    </row>
    <row r="1516">
      <c r="A1516" t="inlineStr">
        <is>
          <t>No</t>
        </is>
      </c>
      <c r="B1516" t="inlineStr">
        <is>
          <t>QH653 .J6 1956</t>
        </is>
      </c>
      <c r="C1516" t="inlineStr">
        <is>
          <t>0                      QH 0653000J  6           1956</t>
        </is>
      </c>
      <c r="D1516" t="inlineStr">
        <is>
          <t>Influence of temperature on biological systems. Incorporating papers presented at a symposium held at the University of Connecticut, Storrs, Connecticut, on August 27 and 28, 1956.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Johnson, Frank H. (Frank Harris), 1908-1990 editor.</t>
        </is>
      </c>
      <c r="L1516" t="inlineStr">
        <is>
          <t>Washington, American Physiological Society, 1957.</t>
        </is>
      </c>
      <c r="M1516" t="inlineStr">
        <is>
          <t>1957</t>
        </is>
      </c>
      <c r="O1516" t="inlineStr">
        <is>
          <t>eng</t>
        </is>
      </c>
      <c r="P1516" t="inlineStr">
        <is>
          <t>dcu</t>
        </is>
      </c>
      <c r="R1516" t="inlineStr">
        <is>
          <t xml:space="preserve">QH </t>
        </is>
      </c>
      <c r="S1516" t="n">
        <v>3</v>
      </c>
      <c r="T1516" t="n">
        <v>3</v>
      </c>
      <c r="U1516" t="inlineStr">
        <is>
          <t>2010-04-12</t>
        </is>
      </c>
      <c r="V1516" t="inlineStr">
        <is>
          <t>2010-04-12</t>
        </is>
      </c>
      <c r="W1516" t="inlineStr">
        <is>
          <t>1997-07-15</t>
        </is>
      </c>
      <c r="X1516" t="inlineStr">
        <is>
          <t>1997-07-15</t>
        </is>
      </c>
      <c r="Y1516" t="n">
        <v>185</v>
      </c>
      <c r="Z1516" t="n">
        <v>166</v>
      </c>
      <c r="AA1516" t="n">
        <v>202</v>
      </c>
      <c r="AB1516" t="n">
        <v>2</v>
      </c>
      <c r="AC1516" t="n">
        <v>2</v>
      </c>
      <c r="AD1516" t="n">
        <v>14</v>
      </c>
      <c r="AE1516" t="n">
        <v>15</v>
      </c>
      <c r="AF1516" t="n">
        <v>6</v>
      </c>
      <c r="AG1516" t="n">
        <v>6</v>
      </c>
      <c r="AH1516" t="n">
        <v>2</v>
      </c>
      <c r="AI1516" t="n">
        <v>3</v>
      </c>
      <c r="AJ1516" t="n">
        <v>9</v>
      </c>
      <c r="AK1516" t="n">
        <v>10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No</t>
        </is>
      </c>
      <c r="AR1516">
        <f>HYPERLINK("http://catalog.hathitrust.org/Record/001493348","HathiTrust Record")</f>
        <v/>
      </c>
      <c r="AS1516">
        <f>HYPERLINK("https://creighton-primo.hosted.exlibrisgroup.com/primo-explore/search?tab=default_tab&amp;search_scope=EVERYTHING&amp;vid=01CRU&amp;lang=en_US&amp;offset=0&amp;query=any,contains,991003775569702656","Catalog Record")</f>
        <v/>
      </c>
      <c r="AT1516">
        <f>HYPERLINK("http://www.worldcat.org/oclc/1482899","WorldCat Record")</f>
        <v/>
      </c>
      <c r="AU1516" t="inlineStr">
        <is>
          <t>229637846:eng</t>
        </is>
      </c>
      <c r="AV1516" t="inlineStr">
        <is>
          <t>1482899</t>
        </is>
      </c>
      <c r="AW1516" t="inlineStr">
        <is>
          <t>991003775569702656</t>
        </is>
      </c>
      <c r="AX1516" t="inlineStr">
        <is>
          <t>991003775569702656</t>
        </is>
      </c>
      <c r="AY1516" t="inlineStr">
        <is>
          <t>2272381850002656</t>
        </is>
      </c>
      <c r="AZ1516" t="inlineStr">
        <is>
          <t>BOOK</t>
        </is>
      </c>
      <c r="BC1516" t="inlineStr">
        <is>
          <t>32285002936440</t>
        </is>
      </c>
      <c r="BD1516" t="inlineStr">
        <is>
          <t>893435427</t>
        </is>
      </c>
    </row>
    <row r="1517">
      <c r="A1517" t="inlineStr">
        <is>
          <t>No</t>
        </is>
      </c>
      <c r="B1517" t="inlineStr">
        <is>
          <t>QH653 .M47</t>
        </is>
      </c>
      <c r="C1517" t="inlineStr">
        <is>
          <t>0                      QH 0653000M  47</t>
        </is>
      </c>
      <c r="D1517" t="inlineStr">
        <is>
          <t>Cryobiology / edited by Harold T. Meryman.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Meryman, Harold Thayer editor.</t>
        </is>
      </c>
      <c r="L1517" t="inlineStr">
        <is>
          <t>London ; New York : Academic P., 1966.</t>
        </is>
      </c>
      <c r="M1517" t="inlineStr">
        <is>
          <t>1966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QH </t>
        </is>
      </c>
      <c r="S1517" t="n">
        <v>2</v>
      </c>
      <c r="T1517" t="n">
        <v>2</v>
      </c>
      <c r="U1517" t="inlineStr">
        <is>
          <t>2010-02-27</t>
        </is>
      </c>
      <c r="V1517" t="inlineStr">
        <is>
          <t>2010-02-27</t>
        </is>
      </c>
      <c r="W1517" t="inlineStr">
        <is>
          <t>1992-04-07</t>
        </is>
      </c>
      <c r="X1517" t="inlineStr">
        <is>
          <t>1992-04-07</t>
        </is>
      </c>
      <c r="Y1517" t="n">
        <v>461</v>
      </c>
      <c r="Z1517" t="n">
        <v>310</v>
      </c>
      <c r="AA1517" t="n">
        <v>317</v>
      </c>
      <c r="AB1517" t="n">
        <v>4</v>
      </c>
      <c r="AC1517" t="n">
        <v>4</v>
      </c>
      <c r="AD1517" t="n">
        <v>17</v>
      </c>
      <c r="AE1517" t="n">
        <v>17</v>
      </c>
      <c r="AF1517" t="n">
        <v>5</v>
      </c>
      <c r="AG1517" t="n">
        <v>5</v>
      </c>
      <c r="AH1517" t="n">
        <v>2</v>
      </c>
      <c r="AI1517" t="n">
        <v>2</v>
      </c>
      <c r="AJ1517" t="n">
        <v>9</v>
      </c>
      <c r="AK1517" t="n">
        <v>9</v>
      </c>
      <c r="AL1517" t="n">
        <v>3</v>
      </c>
      <c r="AM1517" t="n">
        <v>3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Yes</t>
        </is>
      </c>
      <c r="AR1517">
        <f>HYPERLINK("http://catalog.hathitrust.org/Record/001493349","HathiTrust Record")</f>
        <v/>
      </c>
      <c r="AS1517">
        <f>HYPERLINK("https://creighton-primo.hosted.exlibrisgroup.com/primo-explore/search?tab=default_tab&amp;search_scope=EVERYTHING&amp;vid=01CRU&amp;lang=en_US&amp;offset=0&amp;query=any,contains,991003243279702656","Catalog Record")</f>
        <v/>
      </c>
      <c r="AT1517">
        <f>HYPERLINK("http://www.worldcat.org/oclc/766275","WorldCat Record")</f>
        <v/>
      </c>
      <c r="AU1517" t="inlineStr">
        <is>
          <t>308586443:eng</t>
        </is>
      </c>
      <c r="AV1517" t="inlineStr">
        <is>
          <t>766275</t>
        </is>
      </c>
      <c r="AW1517" t="inlineStr">
        <is>
          <t>991003243279702656</t>
        </is>
      </c>
      <c r="AX1517" t="inlineStr">
        <is>
          <t>991003243279702656</t>
        </is>
      </c>
      <c r="AY1517" t="inlineStr">
        <is>
          <t>2270282110002656</t>
        </is>
      </c>
      <c r="AZ1517" t="inlineStr">
        <is>
          <t>BOOK</t>
        </is>
      </c>
      <c r="BC1517" t="inlineStr">
        <is>
          <t>32285001055671</t>
        </is>
      </c>
      <c r="BD1517" t="inlineStr">
        <is>
          <t>893252180</t>
        </is>
      </c>
    </row>
    <row r="1518">
      <c r="A1518" t="inlineStr">
        <is>
          <t>No</t>
        </is>
      </c>
      <c r="B1518" t="inlineStr">
        <is>
          <t>QH657 .S95 1967</t>
        </is>
      </c>
      <c r="C1518" t="inlineStr">
        <is>
          <t>0                      QH 0657000S  95          1967</t>
        </is>
      </c>
      <c r="D1518" t="inlineStr">
        <is>
          <t>Gravity and the organism / edited and with a pref. by Solon A. Gordon and Melvin J. Cohen.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Symposium on Gravity and the Organism (1967 : Sterling Forest, N.Y.)</t>
        </is>
      </c>
      <c r="L1518" t="inlineStr">
        <is>
          <t>Chicago : University of Chicago Press, [1971]</t>
        </is>
      </c>
      <c r="M1518" t="inlineStr">
        <is>
          <t>1971</t>
        </is>
      </c>
      <c r="O1518" t="inlineStr">
        <is>
          <t>eng</t>
        </is>
      </c>
      <c r="P1518" t="inlineStr">
        <is>
          <t>ilu</t>
        </is>
      </c>
      <c r="R1518" t="inlineStr">
        <is>
          <t xml:space="preserve">QH </t>
        </is>
      </c>
      <c r="S1518" t="n">
        <v>4</v>
      </c>
      <c r="T1518" t="n">
        <v>4</v>
      </c>
      <c r="U1518" t="inlineStr">
        <is>
          <t>2000-10-25</t>
        </is>
      </c>
      <c r="V1518" t="inlineStr">
        <is>
          <t>2000-10-25</t>
        </is>
      </c>
      <c r="W1518" t="inlineStr">
        <is>
          <t>1992-04-07</t>
        </is>
      </c>
      <c r="X1518" t="inlineStr">
        <is>
          <t>1992-04-07</t>
        </is>
      </c>
      <c r="Y1518" t="n">
        <v>326</v>
      </c>
      <c r="Z1518" t="n">
        <v>255</v>
      </c>
      <c r="AA1518" t="n">
        <v>261</v>
      </c>
      <c r="AB1518" t="n">
        <v>3</v>
      </c>
      <c r="AC1518" t="n">
        <v>3</v>
      </c>
      <c r="AD1518" t="n">
        <v>7</v>
      </c>
      <c r="AE1518" t="n">
        <v>7</v>
      </c>
      <c r="AF1518" t="n">
        <v>2</v>
      </c>
      <c r="AG1518" t="n">
        <v>2</v>
      </c>
      <c r="AH1518" t="n">
        <v>1</v>
      </c>
      <c r="AI1518" t="n">
        <v>1</v>
      </c>
      <c r="AJ1518" t="n">
        <v>2</v>
      </c>
      <c r="AK1518" t="n">
        <v>2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No</t>
        </is>
      </c>
      <c r="AS1518">
        <f>HYPERLINK("https://creighton-primo.hosted.exlibrisgroup.com/primo-explore/search?tab=default_tab&amp;search_scope=EVERYTHING&amp;vid=01CRU&amp;lang=en_US&amp;offset=0&amp;query=any,contains,991001286919702656","Catalog Record")</f>
        <v/>
      </c>
      <c r="AT1518">
        <f>HYPERLINK("http://www.worldcat.org/oclc/216608","WorldCat Record")</f>
        <v/>
      </c>
      <c r="AU1518" t="inlineStr">
        <is>
          <t>356273366:eng</t>
        </is>
      </c>
      <c r="AV1518" t="inlineStr">
        <is>
          <t>216608</t>
        </is>
      </c>
      <c r="AW1518" t="inlineStr">
        <is>
          <t>991001286919702656</t>
        </is>
      </c>
      <c r="AX1518" t="inlineStr">
        <is>
          <t>991001286919702656</t>
        </is>
      </c>
      <c r="AY1518" t="inlineStr">
        <is>
          <t>2257031430002656</t>
        </is>
      </c>
      <c r="AZ1518" t="inlineStr">
        <is>
          <t>BOOK</t>
        </is>
      </c>
      <c r="BB1518" t="inlineStr">
        <is>
          <t>9780226304472</t>
        </is>
      </c>
      <c r="BC1518" t="inlineStr">
        <is>
          <t>32285001055663</t>
        </is>
      </c>
      <c r="BD1518" t="inlineStr">
        <is>
          <t>893315678</t>
        </is>
      </c>
    </row>
    <row r="1519">
      <c r="A1519" t="inlineStr">
        <is>
          <t>No</t>
        </is>
      </c>
      <c r="B1519" t="inlineStr">
        <is>
          <t>QH671 .T42 1996</t>
        </is>
      </c>
      <c r="C1519" t="inlineStr">
        <is>
          <t>0                      QH 0671000T  42          1996</t>
        </is>
      </c>
      <c r="D1519" t="inlineStr">
        <is>
          <t>Techniques in apoptosis : a user's guide / edited by T.G. Cotter and S.J. Martin.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L1519" t="inlineStr">
        <is>
          <t>London : Portland, c1996.</t>
        </is>
      </c>
      <c r="M1519" t="inlineStr">
        <is>
          <t>1996</t>
        </is>
      </c>
      <c r="O1519" t="inlineStr">
        <is>
          <t>eng</t>
        </is>
      </c>
      <c r="P1519" t="inlineStr">
        <is>
          <t>enk</t>
        </is>
      </c>
      <c r="R1519" t="inlineStr">
        <is>
          <t xml:space="preserve">QH </t>
        </is>
      </c>
      <c r="S1519" t="n">
        <v>7</v>
      </c>
      <c r="T1519" t="n">
        <v>7</v>
      </c>
      <c r="U1519" t="inlineStr">
        <is>
          <t>2003-07-11</t>
        </is>
      </c>
      <c r="V1519" t="inlineStr">
        <is>
          <t>2003-07-11</t>
        </is>
      </c>
      <c r="W1519" t="inlineStr">
        <is>
          <t>1996-11-13</t>
        </is>
      </c>
      <c r="X1519" t="inlineStr">
        <is>
          <t>1996-11-13</t>
        </is>
      </c>
      <c r="Y1519" t="n">
        <v>136</v>
      </c>
      <c r="Z1519" t="n">
        <v>74</v>
      </c>
      <c r="AA1519" t="n">
        <v>81</v>
      </c>
      <c r="AB1519" t="n">
        <v>1</v>
      </c>
      <c r="AC1519" t="n">
        <v>1</v>
      </c>
      <c r="AD1519" t="n">
        <v>1</v>
      </c>
      <c r="AE1519" t="n">
        <v>1</v>
      </c>
      <c r="AF1519" t="n">
        <v>0</v>
      </c>
      <c r="AG1519" t="n">
        <v>0</v>
      </c>
      <c r="AH1519" t="n">
        <v>0</v>
      </c>
      <c r="AI1519" t="n">
        <v>0</v>
      </c>
      <c r="AJ1519" t="n">
        <v>1</v>
      </c>
      <c r="AK1519" t="n">
        <v>1</v>
      </c>
      <c r="AL1519" t="n">
        <v>0</v>
      </c>
      <c r="AM1519" t="n">
        <v>0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Yes</t>
        </is>
      </c>
      <c r="AR1519">
        <f>HYPERLINK("http://catalog.hathitrust.org/Record/003120794","HathiTrust Record")</f>
        <v/>
      </c>
      <c r="AS1519">
        <f>HYPERLINK("https://creighton-primo.hosted.exlibrisgroup.com/primo-explore/search?tab=default_tab&amp;search_scope=EVERYTHING&amp;vid=01CRU&amp;lang=en_US&amp;offset=0&amp;query=any,contains,991002696789702656","Catalog Record")</f>
        <v/>
      </c>
      <c r="AT1519">
        <f>HYPERLINK("http://www.worldcat.org/oclc/35208841","WorldCat Record")</f>
        <v/>
      </c>
      <c r="AU1519" t="inlineStr">
        <is>
          <t>837001574:eng</t>
        </is>
      </c>
      <c r="AV1519" t="inlineStr">
        <is>
          <t>35208841</t>
        </is>
      </c>
      <c r="AW1519" t="inlineStr">
        <is>
          <t>991002696789702656</t>
        </is>
      </c>
      <c r="AX1519" t="inlineStr">
        <is>
          <t>991002696789702656</t>
        </is>
      </c>
      <c r="AY1519" t="inlineStr">
        <is>
          <t>2269485580002656</t>
        </is>
      </c>
      <c r="AZ1519" t="inlineStr">
        <is>
          <t>BOOK</t>
        </is>
      </c>
      <c r="BB1519" t="inlineStr">
        <is>
          <t>9781855780767</t>
        </is>
      </c>
      <c r="BC1519" t="inlineStr">
        <is>
          <t>32285002372216</t>
        </is>
      </c>
      <c r="BD1519" t="inlineStr">
        <is>
          <t>893886595</t>
        </is>
      </c>
    </row>
    <row r="1520">
      <c r="A1520" t="inlineStr">
        <is>
          <t>No</t>
        </is>
      </c>
      <c r="B1520" t="inlineStr">
        <is>
          <t>QH671 .W48 1998</t>
        </is>
      </c>
      <c r="C1520" t="inlineStr">
        <is>
          <t>0                      QH 0671000W  48          1998</t>
        </is>
      </c>
      <c r="D1520" t="inlineStr">
        <is>
          <t>When cells die : a comprehensive evaluation of apoptosis and programmed cell death / edited by Richard A. Lockshin, Zahra Zakeri, and Jonathan L. Tilly.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L1520" t="inlineStr">
        <is>
          <t>New York : Wiley-Liss,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nyu</t>
        </is>
      </c>
      <c r="R1520" t="inlineStr">
        <is>
          <t xml:space="preserve">QH </t>
        </is>
      </c>
      <c r="S1520" t="n">
        <v>13</v>
      </c>
      <c r="T1520" t="n">
        <v>13</v>
      </c>
      <c r="U1520" t="inlineStr">
        <is>
          <t>2005-09-27</t>
        </is>
      </c>
      <c r="V1520" t="inlineStr">
        <is>
          <t>2005-09-27</t>
        </is>
      </c>
      <c r="W1520" t="inlineStr">
        <is>
          <t>1999-04-05</t>
        </is>
      </c>
      <c r="X1520" t="inlineStr">
        <is>
          <t>1999-04-05</t>
        </is>
      </c>
      <c r="Y1520" t="n">
        <v>419</v>
      </c>
      <c r="Z1520" t="n">
        <v>339</v>
      </c>
      <c r="AA1520" t="n">
        <v>1006</v>
      </c>
      <c r="AB1520" t="n">
        <v>4</v>
      </c>
      <c r="AC1520" t="n">
        <v>5</v>
      </c>
      <c r="AD1520" t="n">
        <v>14</v>
      </c>
      <c r="AE1520" t="n">
        <v>23</v>
      </c>
      <c r="AF1520" t="n">
        <v>4</v>
      </c>
      <c r="AG1520" t="n">
        <v>11</v>
      </c>
      <c r="AH1520" t="n">
        <v>5</v>
      </c>
      <c r="AI1520" t="n">
        <v>5</v>
      </c>
      <c r="AJ1520" t="n">
        <v>7</v>
      </c>
      <c r="AK1520" t="n">
        <v>9</v>
      </c>
      <c r="AL1520" t="n">
        <v>3</v>
      </c>
      <c r="AM1520" t="n">
        <v>4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Yes</t>
        </is>
      </c>
      <c r="AR1520">
        <f>HYPERLINK("http://catalog.hathitrust.org/Record/003970861","HathiTrust Record")</f>
        <v/>
      </c>
      <c r="AS1520">
        <f>HYPERLINK("https://creighton-primo.hosted.exlibrisgroup.com/primo-explore/search?tab=default_tab&amp;search_scope=EVERYTHING&amp;vid=01CRU&amp;lang=en_US&amp;offset=0&amp;query=any,contains,991002826699702656","Catalog Record")</f>
        <v/>
      </c>
      <c r="AT1520">
        <f>HYPERLINK("http://www.worldcat.org/oclc/37214040","WorldCat Record")</f>
        <v/>
      </c>
      <c r="AU1520" t="inlineStr">
        <is>
          <t>792165732:eng</t>
        </is>
      </c>
      <c r="AV1520" t="inlineStr">
        <is>
          <t>37214040</t>
        </is>
      </c>
      <c r="AW1520" t="inlineStr">
        <is>
          <t>991002826699702656</t>
        </is>
      </c>
      <c r="AX1520" t="inlineStr">
        <is>
          <t>991002826699702656</t>
        </is>
      </c>
      <c r="AY1520" t="inlineStr">
        <is>
          <t>2258017790002656</t>
        </is>
      </c>
      <c r="AZ1520" t="inlineStr">
        <is>
          <t>BOOK</t>
        </is>
      </c>
      <c r="BB1520" t="inlineStr">
        <is>
          <t>9780471165699</t>
        </is>
      </c>
      <c r="BC1520" t="inlineStr">
        <is>
          <t>32285003548749</t>
        </is>
      </c>
      <c r="BD1520" t="inlineStr">
        <is>
          <t>893792967</t>
        </is>
      </c>
    </row>
    <row r="1521">
      <c r="A1521" t="inlineStr">
        <is>
          <t>No</t>
        </is>
      </c>
      <c r="B1521" t="inlineStr">
        <is>
          <t>QH70.G72 L6533 2008</t>
        </is>
      </c>
      <c r="C1521" t="inlineStr">
        <is>
          <t>0                      QH 0070000G  72                 L  6533        2008</t>
        </is>
      </c>
      <c r="D1521" t="inlineStr">
        <is>
          <t>Dry storeroom no. 1 : the secret life of the Natural History Museum / Richard Fortey.</t>
        </is>
      </c>
      <c r="F1521" t="inlineStr">
        <is>
          <t>No</t>
        </is>
      </c>
      <c r="G1521" t="inlineStr">
        <is>
          <t>1</t>
        </is>
      </c>
      <c r="H1521" t="inlineStr">
        <is>
          <t>No</t>
        </is>
      </c>
      <c r="I1521" t="inlineStr">
        <is>
          <t>No</t>
        </is>
      </c>
      <c r="J1521" t="inlineStr">
        <is>
          <t>0</t>
        </is>
      </c>
      <c r="K1521" t="inlineStr">
        <is>
          <t>Fortey, Richard A.</t>
        </is>
      </c>
      <c r="L1521" t="inlineStr">
        <is>
          <t>New York : Alfred A. Knopf, 2008.</t>
        </is>
      </c>
      <c r="M1521" t="inlineStr">
        <is>
          <t>2008</t>
        </is>
      </c>
      <c r="O1521" t="inlineStr">
        <is>
          <t>eng</t>
        </is>
      </c>
      <c r="P1521" t="inlineStr">
        <is>
          <t>nyu</t>
        </is>
      </c>
      <c r="R1521" t="inlineStr">
        <is>
          <t xml:space="preserve">QH </t>
        </is>
      </c>
      <c r="S1521" t="n">
        <v>1</v>
      </c>
      <c r="T1521" t="n">
        <v>1</v>
      </c>
      <c r="U1521" t="inlineStr">
        <is>
          <t>2008-11-17</t>
        </is>
      </c>
      <c r="V1521" t="inlineStr">
        <is>
          <t>2008-11-17</t>
        </is>
      </c>
      <c r="W1521" t="inlineStr">
        <is>
          <t>2008-11-17</t>
        </is>
      </c>
      <c r="X1521" t="inlineStr">
        <is>
          <t>2008-11-17</t>
        </is>
      </c>
      <c r="Y1521" t="n">
        <v>972</v>
      </c>
      <c r="Z1521" t="n">
        <v>938</v>
      </c>
      <c r="AA1521" t="n">
        <v>1030</v>
      </c>
      <c r="AB1521" t="n">
        <v>6</v>
      </c>
      <c r="AC1521" t="n">
        <v>6</v>
      </c>
      <c r="AD1521" t="n">
        <v>19</v>
      </c>
      <c r="AE1521" t="n">
        <v>19</v>
      </c>
      <c r="AF1521" t="n">
        <v>9</v>
      </c>
      <c r="AG1521" t="n">
        <v>9</v>
      </c>
      <c r="AH1521" t="n">
        <v>3</v>
      </c>
      <c r="AI1521" t="n">
        <v>3</v>
      </c>
      <c r="AJ1521" t="n">
        <v>9</v>
      </c>
      <c r="AK1521" t="n">
        <v>9</v>
      </c>
      <c r="AL1521" t="n">
        <v>1</v>
      </c>
      <c r="AM1521" t="n">
        <v>1</v>
      </c>
      <c r="AN1521" t="n">
        <v>0</v>
      </c>
      <c r="AO1521" t="n">
        <v>0</v>
      </c>
      <c r="AP1521" t="inlineStr">
        <is>
          <t>No</t>
        </is>
      </c>
      <c r="AQ1521" t="inlineStr">
        <is>
          <t>No</t>
        </is>
      </c>
      <c r="AS1521">
        <f>HYPERLINK("https://creighton-primo.hosted.exlibrisgroup.com/primo-explore/search?tab=default_tab&amp;search_scope=EVERYTHING&amp;vid=01CRU&amp;lang=en_US&amp;offset=0&amp;query=any,contains,991005274959702656","Catalog Record")</f>
        <v/>
      </c>
      <c r="AT1521">
        <f>HYPERLINK("http://www.worldcat.org/oclc/232119803","WorldCat Record")</f>
        <v/>
      </c>
      <c r="AU1521" t="inlineStr">
        <is>
          <t>795680831:eng</t>
        </is>
      </c>
      <c r="AV1521" t="inlineStr">
        <is>
          <t>232119803</t>
        </is>
      </c>
      <c r="AW1521" t="inlineStr">
        <is>
          <t>991005274959702656</t>
        </is>
      </c>
      <c r="AX1521" t="inlineStr">
        <is>
          <t>991005274959702656</t>
        </is>
      </c>
      <c r="AY1521" t="inlineStr">
        <is>
          <t>2266917830002656</t>
        </is>
      </c>
      <c r="AZ1521" t="inlineStr">
        <is>
          <t>BOOK</t>
        </is>
      </c>
      <c r="BB1521" t="inlineStr">
        <is>
          <t>9780307263629</t>
        </is>
      </c>
      <c r="BC1521" t="inlineStr">
        <is>
          <t>32285005466601</t>
        </is>
      </c>
      <c r="BD1521" t="inlineStr">
        <is>
          <t>893625750</t>
        </is>
      </c>
    </row>
    <row r="1522">
      <c r="A1522" t="inlineStr">
        <is>
          <t>No</t>
        </is>
      </c>
      <c r="B1522" t="inlineStr">
        <is>
          <t>QH75 .A32 1995</t>
        </is>
      </c>
      <c r="C1522" t="inlineStr">
        <is>
          <t>0                      QH 0075000A  32          1995</t>
        </is>
      </c>
      <c r="D1522" t="inlineStr">
        <is>
          <t>The rarest of the rare : vanishing animals, timeless worlds / Diane Ackerman.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K1522" t="inlineStr">
        <is>
          <t>Ackerman, Diane, 1948-</t>
        </is>
      </c>
      <c r="L1522" t="inlineStr">
        <is>
          <t>New York : Random House, 1995.</t>
        </is>
      </c>
      <c r="M1522" t="inlineStr">
        <is>
          <t>1995</t>
        </is>
      </c>
      <c r="N1522" t="inlineStr">
        <is>
          <t>1st ed.</t>
        </is>
      </c>
      <c r="O1522" t="inlineStr">
        <is>
          <t>eng</t>
        </is>
      </c>
      <c r="P1522" t="inlineStr">
        <is>
          <t>nyu</t>
        </is>
      </c>
      <c r="R1522" t="inlineStr">
        <is>
          <t xml:space="preserve">QH </t>
        </is>
      </c>
      <c r="S1522" t="n">
        <v>21</v>
      </c>
      <c r="T1522" t="n">
        <v>21</v>
      </c>
      <c r="U1522" t="inlineStr">
        <is>
          <t>2002-11-26</t>
        </is>
      </c>
      <c r="V1522" t="inlineStr">
        <is>
          <t>2002-11-26</t>
        </is>
      </c>
      <c r="W1522" t="inlineStr">
        <is>
          <t>1995-10-24</t>
        </is>
      </c>
      <c r="X1522" t="inlineStr">
        <is>
          <t>1995-10-24</t>
        </is>
      </c>
      <c r="Y1522" t="n">
        <v>1153</v>
      </c>
      <c r="Z1522" t="n">
        <v>1069</v>
      </c>
      <c r="AA1522" t="n">
        <v>1187</v>
      </c>
      <c r="AB1522" t="n">
        <v>13</v>
      </c>
      <c r="AC1522" t="n">
        <v>15</v>
      </c>
      <c r="AD1522" t="n">
        <v>23</v>
      </c>
      <c r="AE1522" t="n">
        <v>23</v>
      </c>
      <c r="AF1522" t="n">
        <v>9</v>
      </c>
      <c r="AG1522" t="n">
        <v>9</v>
      </c>
      <c r="AH1522" t="n">
        <v>5</v>
      </c>
      <c r="AI1522" t="n">
        <v>5</v>
      </c>
      <c r="AJ1522" t="n">
        <v>12</v>
      </c>
      <c r="AK1522" t="n">
        <v>12</v>
      </c>
      <c r="AL1522" t="n">
        <v>5</v>
      </c>
      <c r="AM1522" t="n">
        <v>5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No</t>
        </is>
      </c>
      <c r="AS1522">
        <f>HYPERLINK("https://creighton-primo.hosted.exlibrisgroup.com/primo-explore/search?tab=default_tab&amp;search_scope=EVERYTHING&amp;vid=01CRU&amp;lang=en_US&amp;offset=0&amp;query=any,contains,991002480169702656","Catalog Record")</f>
        <v/>
      </c>
      <c r="AT1522">
        <f>HYPERLINK("http://www.worldcat.org/oclc/32276372","WorldCat Record")</f>
        <v/>
      </c>
      <c r="AU1522" t="inlineStr">
        <is>
          <t>53043077:eng</t>
        </is>
      </c>
      <c r="AV1522" t="inlineStr">
        <is>
          <t>32276372</t>
        </is>
      </c>
      <c r="AW1522" t="inlineStr">
        <is>
          <t>991002480169702656</t>
        </is>
      </c>
      <c r="AX1522" t="inlineStr">
        <is>
          <t>991002480169702656</t>
        </is>
      </c>
      <c r="AY1522" t="inlineStr">
        <is>
          <t>2263507570002656</t>
        </is>
      </c>
      <c r="AZ1522" t="inlineStr">
        <is>
          <t>BOOK</t>
        </is>
      </c>
      <c r="BB1522" t="inlineStr">
        <is>
          <t>9780679403463</t>
        </is>
      </c>
      <c r="BC1522" t="inlineStr">
        <is>
          <t>32285002097714</t>
        </is>
      </c>
      <c r="BD1522" t="inlineStr">
        <is>
          <t>893498157</t>
        </is>
      </c>
    </row>
    <row r="1523">
      <c r="A1523" t="inlineStr">
        <is>
          <t>No</t>
        </is>
      </c>
      <c r="B1523" t="inlineStr">
        <is>
          <t>QH75 .A53</t>
        </is>
      </c>
      <c r="C1523" t="inlineStr">
        <is>
          <t>0                      QH 0075000A  53</t>
        </is>
      </c>
      <c r="D1523" t="inlineStr">
        <is>
          <t>A search for environmental ethics : an initial bibliography / Mary Anglemyer, Eleanor R. Seagraves, Catherine C. LeMaistre ; sponsored by Rachel Carson Council, inc. ; with an introd. by S. Dillon Ripley.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Anglemyer, Mary, 1909-</t>
        </is>
      </c>
      <c r="L1523" t="inlineStr">
        <is>
          <t>Washington, D.C. : Smithsonian Institution Press, 1980.</t>
        </is>
      </c>
      <c r="M1523" t="inlineStr">
        <is>
          <t>1980</t>
        </is>
      </c>
      <c r="O1523" t="inlineStr">
        <is>
          <t>eng</t>
        </is>
      </c>
      <c r="P1523" t="inlineStr">
        <is>
          <t>dcu</t>
        </is>
      </c>
      <c r="R1523" t="inlineStr">
        <is>
          <t xml:space="preserve">QH </t>
        </is>
      </c>
      <c r="S1523" t="n">
        <v>6</v>
      </c>
      <c r="T1523" t="n">
        <v>6</v>
      </c>
      <c r="U1523" t="inlineStr">
        <is>
          <t>1996-10-06</t>
        </is>
      </c>
      <c r="V1523" t="inlineStr">
        <is>
          <t>1996-10-06</t>
        </is>
      </c>
      <c r="W1523" t="inlineStr">
        <is>
          <t>1992-03-27</t>
        </is>
      </c>
      <c r="X1523" t="inlineStr">
        <is>
          <t>1992-03-27</t>
        </is>
      </c>
      <c r="Y1523" t="n">
        <v>544</v>
      </c>
      <c r="Z1523" t="n">
        <v>476</v>
      </c>
      <c r="AA1523" t="n">
        <v>483</v>
      </c>
      <c r="AB1523" t="n">
        <v>4</v>
      </c>
      <c r="AC1523" t="n">
        <v>4</v>
      </c>
      <c r="AD1523" t="n">
        <v>18</v>
      </c>
      <c r="AE1523" t="n">
        <v>18</v>
      </c>
      <c r="AF1523" t="n">
        <v>5</v>
      </c>
      <c r="AG1523" t="n">
        <v>5</v>
      </c>
      <c r="AH1523" t="n">
        <v>3</v>
      </c>
      <c r="AI1523" t="n">
        <v>3</v>
      </c>
      <c r="AJ1523" t="n">
        <v>11</v>
      </c>
      <c r="AK1523" t="n">
        <v>11</v>
      </c>
      <c r="AL1523" t="n">
        <v>2</v>
      </c>
      <c r="AM1523" t="n">
        <v>2</v>
      </c>
      <c r="AN1523" t="n">
        <v>1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HYPERLINK("http://catalog.hathitrust.org/Record/000744521","HathiTrust Record")</f>
        <v/>
      </c>
      <c r="AS1523">
        <f>HYPERLINK("https://creighton-primo.hosted.exlibrisgroup.com/primo-explore/search?tab=default_tab&amp;search_scope=EVERYTHING&amp;vid=01CRU&amp;lang=en_US&amp;offset=0&amp;query=any,contains,991004955399702656","Catalog Record")</f>
        <v/>
      </c>
      <c r="AT1523">
        <f>HYPERLINK("http://www.worldcat.org/oclc/6278129","WorldCat Record")</f>
        <v/>
      </c>
      <c r="AU1523" t="inlineStr">
        <is>
          <t>918409102:eng</t>
        </is>
      </c>
      <c r="AV1523" t="inlineStr">
        <is>
          <t>6278129</t>
        </is>
      </c>
      <c r="AW1523" t="inlineStr">
        <is>
          <t>991004955399702656</t>
        </is>
      </c>
      <c r="AX1523" t="inlineStr">
        <is>
          <t>991004955399702656</t>
        </is>
      </c>
      <c r="AY1523" t="inlineStr">
        <is>
          <t>2266774020002656</t>
        </is>
      </c>
      <c r="AZ1523" t="inlineStr">
        <is>
          <t>BOOK</t>
        </is>
      </c>
      <c r="BB1523" t="inlineStr">
        <is>
          <t>9780874742121</t>
        </is>
      </c>
      <c r="BC1523" t="inlineStr">
        <is>
          <t>32285001045581</t>
        </is>
      </c>
      <c r="BD1523" t="inlineStr">
        <is>
          <t>893526697</t>
        </is>
      </c>
    </row>
    <row r="1524">
      <c r="A1524" t="inlineStr">
        <is>
          <t>No</t>
        </is>
      </c>
      <c r="B1524" t="inlineStr">
        <is>
          <t>QH75 .A85 1991</t>
        </is>
      </c>
      <c r="C1524" t="inlineStr">
        <is>
          <t>0                      QH 0075000A  85          1991</t>
        </is>
      </c>
      <c r="D1524" t="inlineStr">
        <is>
          <t>The Atlas of endangered species / editor, John A. Burton ; pictures supplied by Bruce Coleman Ltd.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L1524" t="inlineStr">
        <is>
          <t>New York : Macmillan ; Toronto : Maxwell Macmillan Canada, 1991.</t>
        </is>
      </c>
      <c r="M1524" t="inlineStr">
        <is>
          <t>1991</t>
        </is>
      </c>
      <c r="O1524" t="inlineStr">
        <is>
          <t>eng</t>
        </is>
      </c>
      <c r="P1524" t="inlineStr">
        <is>
          <t>nyu</t>
        </is>
      </c>
      <c r="R1524" t="inlineStr">
        <is>
          <t xml:space="preserve">QH </t>
        </is>
      </c>
      <c r="S1524" t="n">
        <v>48</v>
      </c>
      <c r="T1524" t="n">
        <v>48</v>
      </c>
      <c r="U1524" t="inlineStr">
        <is>
          <t>2010-04-13</t>
        </is>
      </c>
      <c r="V1524" t="inlineStr">
        <is>
          <t>2010-04-13</t>
        </is>
      </c>
      <c r="W1524" t="inlineStr">
        <is>
          <t>1992-06-24</t>
        </is>
      </c>
      <c r="X1524" t="inlineStr">
        <is>
          <t>1992-06-24</t>
        </is>
      </c>
      <c r="Y1524" t="n">
        <v>862</v>
      </c>
      <c r="Z1524" t="n">
        <v>798</v>
      </c>
      <c r="AA1524" t="n">
        <v>1157</v>
      </c>
      <c r="AB1524" t="n">
        <v>4</v>
      </c>
      <c r="AC1524" t="n">
        <v>8</v>
      </c>
      <c r="AD1524" t="n">
        <v>10</v>
      </c>
      <c r="AE1524" t="n">
        <v>19</v>
      </c>
      <c r="AF1524" t="n">
        <v>4</v>
      </c>
      <c r="AG1524" t="n">
        <v>8</v>
      </c>
      <c r="AH1524" t="n">
        <v>1</v>
      </c>
      <c r="AI1524" t="n">
        <v>3</v>
      </c>
      <c r="AJ1524" t="n">
        <v>5</v>
      </c>
      <c r="AK1524" t="n">
        <v>9</v>
      </c>
      <c r="AL1524" t="n">
        <v>2</v>
      </c>
      <c r="AM1524" t="n">
        <v>5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No</t>
        </is>
      </c>
      <c r="AS1524">
        <f>HYPERLINK("https://creighton-primo.hosted.exlibrisgroup.com/primo-explore/search?tab=default_tab&amp;search_scope=EVERYTHING&amp;vid=01CRU&amp;lang=en_US&amp;offset=0&amp;query=any,contains,991001869779702656","Catalog Record")</f>
        <v/>
      </c>
      <c r="AT1524">
        <f>HYPERLINK("http://www.worldcat.org/oclc/23584008","WorldCat Record")</f>
        <v/>
      </c>
      <c r="AU1524" t="inlineStr">
        <is>
          <t>55450541:eng</t>
        </is>
      </c>
      <c r="AV1524" t="inlineStr">
        <is>
          <t>23584008</t>
        </is>
      </c>
      <c r="AW1524" t="inlineStr">
        <is>
          <t>991001869779702656</t>
        </is>
      </c>
      <c r="AX1524" t="inlineStr">
        <is>
          <t>991001869779702656</t>
        </is>
      </c>
      <c r="AY1524" t="inlineStr">
        <is>
          <t>2256463040002656</t>
        </is>
      </c>
      <c r="AZ1524" t="inlineStr">
        <is>
          <t>BOOK</t>
        </is>
      </c>
      <c r="BB1524" t="inlineStr">
        <is>
          <t>9780028970813</t>
        </is>
      </c>
      <c r="BC1524" t="inlineStr">
        <is>
          <t>32285001156115</t>
        </is>
      </c>
      <c r="BD1524" t="inlineStr">
        <is>
          <t>893885608</t>
        </is>
      </c>
    </row>
    <row r="1525">
      <c r="A1525" t="inlineStr">
        <is>
          <t>No</t>
        </is>
      </c>
      <c r="B1525" t="inlineStr">
        <is>
          <t>QH75 .B67 1990</t>
        </is>
      </c>
      <c r="C1525" t="inlineStr">
        <is>
          <t>0                      QH 0075000B  67          1990</t>
        </is>
      </c>
      <c r="D1525" t="inlineStr">
        <is>
          <t>Discordant harmonies : a new ecology for the twenty-first century / Daniel B. Botkin.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Botkin, Daniel B.</t>
        </is>
      </c>
      <c r="L1525" t="inlineStr">
        <is>
          <t>New York : Oxford University Press, 1990.</t>
        </is>
      </c>
      <c r="M1525" t="inlineStr">
        <is>
          <t>1990</t>
        </is>
      </c>
      <c r="O1525" t="inlineStr">
        <is>
          <t>eng</t>
        </is>
      </c>
      <c r="P1525" t="inlineStr">
        <is>
          <t>nyu</t>
        </is>
      </c>
      <c r="R1525" t="inlineStr">
        <is>
          <t xml:space="preserve">QH </t>
        </is>
      </c>
      <c r="S1525" t="n">
        <v>6</v>
      </c>
      <c r="T1525" t="n">
        <v>6</v>
      </c>
      <c r="U1525" t="inlineStr">
        <is>
          <t>1996-02-10</t>
        </is>
      </c>
      <c r="V1525" t="inlineStr">
        <is>
          <t>1996-02-10</t>
        </is>
      </c>
      <c r="W1525" t="inlineStr">
        <is>
          <t>1990-06-21</t>
        </is>
      </c>
      <c r="X1525" t="inlineStr">
        <is>
          <t>1990-06-21</t>
        </is>
      </c>
      <c r="Y1525" t="n">
        <v>1049</v>
      </c>
      <c r="Z1525" t="n">
        <v>864</v>
      </c>
      <c r="AA1525" t="n">
        <v>886</v>
      </c>
      <c r="AB1525" t="n">
        <v>6</v>
      </c>
      <c r="AC1525" t="n">
        <v>6</v>
      </c>
      <c r="AD1525" t="n">
        <v>34</v>
      </c>
      <c r="AE1525" t="n">
        <v>34</v>
      </c>
      <c r="AF1525" t="n">
        <v>14</v>
      </c>
      <c r="AG1525" t="n">
        <v>14</v>
      </c>
      <c r="AH1525" t="n">
        <v>9</v>
      </c>
      <c r="AI1525" t="n">
        <v>9</v>
      </c>
      <c r="AJ1525" t="n">
        <v>16</v>
      </c>
      <c r="AK1525" t="n">
        <v>16</v>
      </c>
      <c r="AL1525" t="n">
        <v>4</v>
      </c>
      <c r="AM1525" t="n">
        <v>4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Yes</t>
        </is>
      </c>
      <c r="AR1525">
        <f>HYPERLINK("http://catalog.hathitrust.org/Record/002168867","HathiTrust Record")</f>
        <v/>
      </c>
      <c r="AS1525">
        <f>HYPERLINK("https://creighton-primo.hosted.exlibrisgroup.com/primo-explore/search?tab=default_tab&amp;search_scope=EVERYTHING&amp;vid=01CRU&amp;lang=en_US&amp;offset=0&amp;query=any,contains,991001482509702656","Catalog Record")</f>
        <v/>
      </c>
      <c r="AT1525">
        <f>HYPERLINK("http://www.worldcat.org/oclc/19627968","WorldCat Record")</f>
        <v/>
      </c>
      <c r="AU1525" t="inlineStr">
        <is>
          <t>6324423:eng</t>
        </is>
      </c>
      <c r="AV1525" t="inlineStr">
        <is>
          <t>19627968</t>
        </is>
      </c>
      <c r="AW1525" t="inlineStr">
        <is>
          <t>991001482509702656</t>
        </is>
      </c>
      <c r="AX1525" t="inlineStr">
        <is>
          <t>991001482509702656</t>
        </is>
      </c>
      <c r="AY1525" t="inlineStr">
        <is>
          <t>2266097610002656</t>
        </is>
      </c>
      <c r="AZ1525" t="inlineStr">
        <is>
          <t>BOOK</t>
        </is>
      </c>
      <c r="BB1525" t="inlineStr">
        <is>
          <t>9780195054910</t>
        </is>
      </c>
      <c r="BC1525" t="inlineStr">
        <is>
          <t>32285000178961</t>
        </is>
      </c>
      <c r="BD1525" t="inlineStr">
        <is>
          <t>893885312</t>
        </is>
      </c>
    </row>
    <row r="1526">
      <c r="A1526" t="inlineStr">
        <is>
          <t>No</t>
        </is>
      </c>
      <c r="B1526" t="inlineStr">
        <is>
          <t>QH75 .B77</t>
        </is>
      </c>
      <c r="C1526" t="inlineStr">
        <is>
          <t>0                      QH 0075000B  77</t>
        </is>
      </c>
      <c r="D1526" t="inlineStr">
        <is>
          <t>Wildlands in our civilization / contributors: John Collier [and others] and participants in the discussions of the first five biennial Wilderness Conferences, 1949-1957. Edited, with contributions, by David Brower.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Brower, David, 1912-2000, editor.</t>
        </is>
      </c>
      <c r="L1526" t="inlineStr">
        <is>
          <t>San Francisco : Sierra Club, [c1964]</t>
        </is>
      </c>
      <c r="M1526" t="inlineStr">
        <is>
          <t>1964</t>
        </is>
      </c>
      <c r="O1526" t="inlineStr">
        <is>
          <t>eng</t>
        </is>
      </c>
      <c r="P1526" t="inlineStr">
        <is>
          <t>cau</t>
        </is>
      </c>
      <c r="R1526" t="inlineStr">
        <is>
          <t xml:space="preserve">QH </t>
        </is>
      </c>
      <c r="S1526" t="n">
        <v>2</v>
      </c>
      <c r="T1526" t="n">
        <v>2</v>
      </c>
      <c r="U1526" t="inlineStr">
        <is>
          <t>2003-01-20</t>
        </is>
      </c>
      <c r="V1526" t="inlineStr">
        <is>
          <t>2003-01-20</t>
        </is>
      </c>
      <c r="W1526" t="inlineStr">
        <is>
          <t>2000-01-11</t>
        </is>
      </c>
      <c r="X1526" t="inlineStr">
        <is>
          <t>2000-01-11</t>
        </is>
      </c>
      <c r="Y1526" t="n">
        <v>273</v>
      </c>
      <c r="Z1526" t="n">
        <v>254</v>
      </c>
      <c r="AA1526" t="n">
        <v>274</v>
      </c>
      <c r="AB1526" t="n">
        <v>1</v>
      </c>
      <c r="AC1526" t="n">
        <v>1</v>
      </c>
      <c r="AD1526" t="n">
        <v>5</v>
      </c>
      <c r="AE1526" t="n">
        <v>5</v>
      </c>
      <c r="AF1526" t="n">
        <v>0</v>
      </c>
      <c r="AG1526" t="n">
        <v>0</v>
      </c>
      <c r="AH1526" t="n">
        <v>2</v>
      </c>
      <c r="AI1526" t="n">
        <v>2</v>
      </c>
      <c r="AJ1526" t="n">
        <v>3</v>
      </c>
      <c r="AK1526" t="n">
        <v>3</v>
      </c>
      <c r="AL1526" t="n">
        <v>0</v>
      </c>
      <c r="AM1526" t="n">
        <v>0</v>
      </c>
      <c r="AN1526" t="n">
        <v>1</v>
      </c>
      <c r="AO1526" t="n">
        <v>1</v>
      </c>
      <c r="AP1526" t="inlineStr">
        <is>
          <t>No</t>
        </is>
      </c>
      <c r="AQ1526" t="inlineStr">
        <is>
          <t>Yes</t>
        </is>
      </c>
      <c r="AR1526">
        <f>HYPERLINK("http://catalog.hathitrust.org/Record/001495771","HathiTrust Record")</f>
        <v/>
      </c>
      <c r="AS1526">
        <f>HYPERLINK("https://creighton-primo.hosted.exlibrisgroup.com/primo-explore/search?tab=default_tab&amp;search_scope=EVERYTHING&amp;vid=01CRU&amp;lang=en_US&amp;offset=0&amp;query=any,contains,991002969439702656","Catalog Record")</f>
        <v/>
      </c>
      <c r="AT1526">
        <f>HYPERLINK("http://www.worldcat.org/oclc/547706","WorldCat Record")</f>
        <v/>
      </c>
      <c r="AU1526" t="inlineStr">
        <is>
          <t>149302505:eng</t>
        </is>
      </c>
      <c r="AV1526" t="inlineStr">
        <is>
          <t>547706</t>
        </is>
      </c>
      <c r="AW1526" t="inlineStr">
        <is>
          <t>991002969439702656</t>
        </is>
      </c>
      <c r="AX1526" t="inlineStr">
        <is>
          <t>991002969439702656</t>
        </is>
      </c>
      <c r="AY1526" t="inlineStr">
        <is>
          <t>2262904670002656</t>
        </is>
      </c>
      <c r="AZ1526" t="inlineStr">
        <is>
          <t>BOOK</t>
        </is>
      </c>
      <c r="BC1526" t="inlineStr">
        <is>
          <t>32285003640637</t>
        </is>
      </c>
      <c r="BD1526" t="inlineStr">
        <is>
          <t>893886980</t>
        </is>
      </c>
    </row>
    <row r="1527">
      <c r="A1527" t="inlineStr">
        <is>
          <t>No</t>
        </is>
      </c>
      <c r="B1527" t="inlineStr">
        <is>
          <t>QH75 .C53 1994</t>
        </is>
      </c>
      <c r="C1527" t="inlineStr">
        <is>
          <t>0                      QH 0075000C  53          1994</t>
        </is>
      </c>
      <c r="D1527" t="inlineStr">
        <is>
          <t>Collaborative and community-based management of coral reefs : lessons from experience / editors, Alan T. White ... [et al.].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L1527" t="inlineStr">
        <is>
          <t>West Hartford, Conn. : Kumarian Press, c1994.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Kumarian Press library of management for development</t>
        </is>
      </c>
      <c r="R1527" t="inlineStr">
        <is>
          <t xml:space="preserve">QH </t>
        </is>
      </c>
      <c r="S1527" t="n">
        <v>1</v>
      </c>
      <c r="T1527" t="n">
        <v>1</v>
      </c>
      <c r="U1527" t="inlineStr">
        <is>
          <t>2006-01-10</t>
        </is>
      </c>
      <c r="V1527" t="inlineStr">
        <is>
          <t>2006-01-10</t>
        </is>
      </c>
      <c r="W1527" t="inlineStr">
        <is>
          <t>2006-01-10</t>
        </is>
      </c>
      <c r="X1527" t="inlineStr">
        <is>
          <t>2006-01-10</t>
        </is>
      </c>
      <c r="Y1527" t="n">
        <v>188</v>
      </c>
      <c r="Z1527" t="n">
        <v>146</v>
      </c>
      <c r="AA1527" t="n">
        <v>146</v>
      </c>
      <c r="AB1527" t="n">
        <v>1</v>
      </c>
      <c r="AC1527" t="n">
        <v>1</v>
      </c>
      <c r="AD1527" t="n">
        <v>6</v>
      </c>
      <c r="AE1527" t="n">
        <v>6</v>
      </c>
      <c r="AF1527" t="n">
        <v>2</v>
      </c>
      <c r="AG1527" t="n">
        <v>2</v>
      </c>
      <c r="AH1527" t="n">
        <v>2</v>
      </c>
      <c r="AI1527" t="n">
        <v>2</v>
      </c>
      <c r="AJ1527" t="n">
        <v>3</v>
      </c>
      <c r="AK1527" t="n">
        <v>3</v>
      </c>
      <c r="AL1527" t="n">
        <v>0</v>
      </c>
      <c r="AM1527" t="n">
        <v>0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No</t>
        </is>
      </c>
      <c r="AS1527">
        <f>HYPERLINK("https://creighton-primo.hosted.exlibrisgroup.com/primo-explore/search?tab=default_tab&amp;search_scope=EVERYTHING&amp;vid=01CRU&amp;lang=en_US&amp;offset=0&amp;query=any,contains,991004659889702656","Catalog Record")</f>
        <v/>
      </c>
      <c r="AT1527">
        <f>HYPERLINK("http://www.worldcat.org/oclc/29843365","WorldCat Record")</f>
        <v/>
      </c>
      <c r="AU1527" t="inlineStr">
        <is>
          <t>32401541:eng</t>
        </is>
      </c>
      <c r="AV1527" t="inlineStr">
        <is>
          <t>29843365</t>
        </is>
      </c>
      <c r="AW1527" t="inlineStr">
        <is>
          <t>991004659889702656</t>
        </is>
      </c>
      <c r="AX1527" t="inlineStr">
        <is>
          <t>991004659889702656</t>
        </is>
      </c>
      <c r="AY1527" t="inlineStr">
        <is>
          <t>2264544180002656</t>
        </is>
      </c>
      <c r="AZ1527" t="inlineStr">
        <is>
          <t>BOOK</t>
        </is>
      </c>
      <c r="BB1527" t="inlineStr">
        <is>
          <t>9781565490321</t>
        </is>
      </c>
      <c r="BC1527" t="inlineStr">
        <is>
          <t>32285005154082</t>
        </is>
      </c>
      <c r="BD1527" t="inlineStr">
        <is>
          <t>893776268</t>
        </is>
      </c>
    </row>
    <row r="1528">
      <c r="A1528" t="inlineStr">
        <is>
          <t>No</t>
        </is>
      </c>
      <c r="B1528" t="inlineStr">
        <is>
          <t>QH75 .C66 1978</t>
        </is>
      </c>
      <c r="C1528" t="inlineStr">
        <is>
          <t>0                      QH 0075000C  66          1978</t>
        </is>
      </c>
      <c r="D1528" t="inlineStr">
        <is>
          <t>Conservation biology : an evolutionary-ecological perspective / edited by Michael E. Soulé and Bruce A. Wilcox.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L1528" t="inlineStr">
        <is>
          <t>Sunderland, Mass. : Sinauer Associates, 1980.</t>
        </is>
      </c>
      <c r="M1528" t="inlineStr">
        <is>
          <t>1980</t>
        </is>
      </c>
      <c r="O1528" t="inlineStr">
        <is>
          <t>eng</t>
        </is>
      </c>
      <c r="P1528" t="inlineStr">
        <is>
          <t>mau</t>
        </is>
      </c>
      <c r="R1528" t="inlineStr">
        <is>
          <t xml:space="preserve">QH </t>
        </is>
      </c>
      <c r="S1528" t="n">
        <v>5</v>
      </c>
      <c r="T1528" t="n">
        <v>5</v>
      </c>
      <c r="U1528" t="inlineStr">
        <is>
          <t>1997-02-21</t>
        </is>
      </c>
      <c r="V1528" t="inlineStr">
        <is>
          <t>1997-02-21</t>
        </is>
      </c>
      <c r="W1528" t="inlineStr">
        <is>
          <t>1990-07-03</t>
        </is>
      </c>
      <c r="X1528" t="inlineStr">
        <is>
          <t>1990-07-03</t>
        </is>
      </c>
      <c r="Y1528" t="n">
        <v>695</v>
      </c>
      <c r="Z1528" t="n">
        <v>520</v>
      </c>
      <c r="AA1528" t="n">
        <v>521</v>
      </c>
      <c r="AB1528" t="n">
        <v>3</v>
      </c>
      <c r="AC1528" t="n">
        <v>3</v>
      </c>
      <c r="AD1528" t="n">
        <v>21</v>
      </c>
      <c r="AE1528" t="n">
        <v>21</v>
      </c>
      <c r="AF1528" t="n">
        <v>7</v>
      </c>
      <c r="AG1528" t="n">
        <v>7</v>
      </c>
      <c r="AH1528" t="n">
        <v>6</v>
      </c>
      <c r="AI1528" t="n">
        <v>6</v>
      </c>
      <c r="AJ1528" t="n">
        <v>12</v>
      </c>
      <c r="AK1528" t="n">
        <v>12</v>
      </c>
      <c r="AL1528" t="n">
        <v>2</v>
      </c>
      <c r="AM1528" t="n">
        <v>2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HYPERLINK("http://catalog.hathitrust.org/Record/000035641","HathiTrust Record")</f>
        <v/>
      </c>
      <c r="AS1528">
        <f>HYPERLINK("https://creighton-primo.hosted.exlibrisgroup.com/primo-explore/search?tab=default_tab&amp;search_scope=EVERYTHING&amp;vid=01CRU&amp;lang=en_US&amp;offset=0&amp;query=any,contains,991004858719702656","Catalog Record")</f>
        <v/>
      </c>
      <c r="AT1528">
        <f>HYPERLINK("http://www.worldcat.org/oclc/5677875","WorldCat Record")</f>
        <v/>
      </c>
      <c r="AU1528" t="inlineStr">
        <is>
          <t>827899713:eng</t>
        </is>
      </c>
      <c r="AV1528" t="inlineStr">
        <is>
          <t>5677875</t>
        </is>
      </c>
      <c r="AW1528" t="inlineStr">
        <is>
          <t>991004858719702656</t>
        </is>
      </c>
      <c r="AX1528" t="inlineStr">
        <is>
          <t>991004858719702656</t>
        </is>
      </c>
      <c r="AY1528" t="inlineStr">
        <is>
          <t>2261650820002656</t>
        </is>
      </c>
      <c r="AZ1528" t="inlineStr">
        <is>
          <t>BOOK</t>
        </is>
      </c>
      <c r="BB1528" t="inlineStr">
        <is>
          <t>9780878938001</t>
        </is>
      </c>
      <c r="BC1528" t="inlineStr">
        <is>
          <t>32285000225093</t>
        </is>
      </c>
      <c r="BD1528" t="inlineStr">
        <is>
          <t>893507307</t>
        </is>
      </c>
    </row>
    <row r="1529">
      <c r="A1529" t="inlineStr">
        <is>
          <t>No</t>
        </is>
      </c>
      <c r="B1529" t="inlineStr">
        <is>
          <t>QH75 .C6615 1998</t>
        </is>
      </c>
      <c r="C1529" t="inlineStr">
        <is>
          <t>0                      QH 0075000C  6615        1998</t>
        </is>
      </c>
      <c r="D1529" t="inlineStr">
        <is>
          <t>Conservation biology : for the coming decade / edited by Peggy L. Fiedler and Peter M. Kareiva.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L1529" t="inlineStr">
        <is>
          <t>New York : Chapman &amp; Hall, 1998.</t>
        </is>
      </c>
      <c r="M1529" t="inlineStr">
        <is>
          <t>1998</t>
        </is>
      </c>
      <c r="N1529" t="inlineStr">
        <is>
          <t>2nd ed.</t>
        </is>
      </c>
      <c r="O1529" t="inlineStr">
        <is>
          <t>eng</t>
        </is>
      </c>
      <c r="P1529" t="inlineStr">
        <is>
          <t>nyu</t>
        </is>
      </c>
      <c r="R1529" t="inlineStr">
        <is>
          <t xml:space="preserve">QH </t>
        </is>
      </c>
      <c r="S1529" t="n">
        <v>4</v>
      </c>
      <c r="T1529" t="n">
        <v>4</v>
      </c>
      <c r="U1529" t="inlineStr">
        <is>
          <t>2004-03-17</t>
        </is>
      </c>
      <c r="V1529" t="inlineStr">
        <is>
          <t>2004-03-17</t>
        </is>
      </c>
      <c r="W1529" t="inlineStr">
        <is>
          <t>1997-09-26</t>
        </is>
      </c>
      <c r="X1529" t="inlineStr">
        <is>
          <t>1997-09-26</t>
        </is>
      </c>
      <c r="Y1529" t="n">
        <v>326</v>
      </c>
      <c r="Z1529" t="n">
        <v>194</v>
      </c>
      <c r="AA1529" t="n">
        <v>226</v>
      </c>
      <c r="AB1529" t="n">
        <v>2</v>
      </c>
      <c r="AC1529" t="n">
        <v>2</v>
      </c>
      <c r="AD1529" t="n">
        <v>5</v>
      </c>
      <c r="AE1529" t="n">
        <v>6</v>
      </c>
      <c r="AF1529" t="n">
        <v>4</v>
      </c>
      <c r="AG1529" t="n">
        <v>4</v>
      </c>
      <c r="AH1529" t="n">
        <v>0</v>
      </c>
      <c r="AI1529" t="n">
        <v>0</v>
      </c>
      <c r="AJ1529" t="n">
        <v>1</v>
      </c>
      <c r="AK1529" t="n">
        <v>2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No</t>
        </is>
      </c>
      <c r="AS1529">
        <f>HYPERLINK("https://creighton-primo.hosted.exlibrisgroup.com/primo-explore/search?tab=default_tab&amp;search_scope=EVERYTHING&amp;vid=01CRU&amp;lang=en_US&amp;offset=0&amp;query=any,contains,991002794589702656","Catalog Record")</f>
        <v/>
      </c>
      <c r="AT1529">
        <f>HYPERLINK("http://www.worldcat.org/oclc/36705796","WorldCat Record")</f>
        <v/>
      </c>
      <c r="AU1529" t="inlineStr">
        <is>
          <t>4926047050:eng</t>
        </is>
      </c>
      <c r="AV1529" t="inlineStr">
        <is>
          <t>36705796</t>
        </is>
      </c>
      <c r="AW1529" t="inlineStr">
        <is>
          <t>991002794589702656</t>
        </is>
      </c>
      <c r="AX1529" t="inlineStr">
        <is>
          <t>991002794589702656</t>
        </is>
      </c>
      <c r="AY1529" t="inlineStr">
        <is>
          <t>2268091270002656</t>
        </is>
      </c>
      <c r="AZ1529" t="inlineStr">
        <is>
          <t>BOOK</t>
        </is>
      </c>
      <c r="BB1529" t="inlineStr">
        <is>
          <t>9780412096518</t>
        </is>
      </c>
      <c r="BC1529" t="inlineStr">
        <is>
          <t>32285003251054</t>
        </is>
      </c>
      <c r="BD1529" t="inlineStr">
        <is>
          <t>893880425</t>
        </is>
      </c>
    </row>
    <row r="1530">
      <c r="A1530" t="inlineStr">
        <is>
          <t>No</t>
        </is>
      </c>
      <c r="B1530" t="inlineStr">
        <is>
          <t>QH75 .C6616 2001</t>
        </is>
      </c>
      <c r="C1530" t="inlineStr">
        <is>
          <t>0                      QH 0075000C  6616        2001</t>
        </is>
      </c>
      <c r="D1530" t="inlineStr">
        <is>
          <t>Conservation biology : research priorities for the next decade / edited by Michael E. Soule and Gordon H. Orians.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L1530" t="inlineStr">
        <is>
          <t>Washington, [D.C.] : Island Press, c2001.</t>
        </is>
      </c>
      <c r="M1530" t="inlineStr">
        <is>
          <t>2001</t>
        </is>
      </c>
      <c r="O1530" t="inlineStr">
        <is>
          <t>eng</t>
        </is>
      </c>
      <c r="P1530" t="inlineStr">
        <is>
          <t>dcu</t>
        </is>
      </c>
      <c r="R1530" t="inlineStr">
        <is>
          <t xml:space="preserve">QH </t>
        </is>
      </c>
      <c r="S1530" t="n">
        <v>1</v>
      </c>
      <c r="T1530" t="n">
        <v>1</v>
      </c>
      <c r="U1530" t="inlineStr">
        <is>
          <t>2002-10-17</t>
        </is>
      </c>
      <c r="V1530" t="inlineStr">
        <is>
          <t>2002-10-17</t>
        </is>
      </c>
      <c r="W1530" t="inlineStr">
        <is>
          <t>2002-10-17</t>
        </is>
      </c>
      <c r="X1530" t="inlineStr">
        <is>
          <t>2002-10-17</t>
        </is>
      </c>
      <c r="Y1530" t="n">
        <v>640</v>
      </c>
      <c r="Z1530" t="n">
        <v>516</v>
      </c>
      <c r="AA1530" t="n">
        <v>518</v>
      </c>
      <c r="AB1530" t="n">
        <v>3</v>
      </c>
      <c r="AC1530" t="n">
        <v>3</v>
      </c>
      <c r="AD1530" t="n">
        <v>26</v>
      </c>
      <c r="AE1530" t="n">
        <v>26</v>
      </c>
      <c r="AF1530" t="n">
        <v>14</v>
      </c>
      <c r="AG1530" t="n">
        <v>14</v>
      </c>
      <c r="AH1530" t="n">
        <v>6</v>
      </c>
      <c r="AI1530" t="n">
        <v>6</v>
      </c>
      <c r="AJ1530" t="n">
        <v>11</v>
      </c>
      <c r="AK1530" t="n">
        <v>11</v>
      </c>
      <c r="AL1530" t="n">
        <v>2</v>
      </c>
      <c r="AM1530" t="n">
        <v>2</v>
      </c>
      <c r="AN1530" t="n">
        <v>0</v>
      </c>
      <c r="AO1530" t="n">
        <v>0</v>
      </c>
      <c r="AP1530" t="inlineStr">
        <is>
          <t>No</t>
        </is>
      </c>
      <c r="AQ1530" t="inlineStr">
        <is>
          <t>Yes</t>
        </is>
      </c>
      <c r="AR1530">
        <f>HYPERLINK("http://catalog.hathitrust.org/Record/004155809","HathiTrust Record")</f>
        <v/>
      </c>
      <c r="AS1530">
        <f>HYPERLINK("https://creighton-primo.hosted.exlibrisgroup.com/primo-explore/search?tab=default_tab&amp;search_scope=EVERYTHING&amp;vid=01CRU&amp;lang=en_US&amp;offset=0&amp;query=any,contains,991003859959702656","Catalog Record")</f>
        <v/>
      </c>
      <c r="AT1530">
        <f>HYPERLINK("http://www.worldcat.org/oclc/47092404","WorldCat Record")</f>
        <v/>
      </c>
      <c r="AU1530" t="inlineStr">
        <is>
          <t>3863782504:eng</t>
        </is>
      </c>
      <c r="AV1530" t="inlineStr">
        <is>
          <t>47092404</t>
        </is>
      </c>
      <c r="AW1530" t="inlineStr">
        <is>
          <t>991003859959702656</t>
        </is>
      </c>
      <c r="AX1530" t="inlineStr">
        <is>
          <t>991003859959702656</t>
        </is>
      </c>
      <c r="AY1530" t="inlineStr">
        <is>
          <t>2269800360002656</t>
        </is>
      </c>
      <c r="AZ1530" t="inlineStr">
        <is>
          <t>BOOK</t>
        </is>
      </c>
      <c r="BB1530" t="inlineStr">
        <is>
          <t>9781559638685</t>
        </is>
      </c>
      <c r="BC1530" t="inlineStr">
        <is>
          <t>32285004655923</t>
        </is>
      </c>
      <c r="BD1530" t="inlineStr">
        <is>
          <t>893525327</t>
        </is>
      </c>
    </row>
    <row r="1531">
      <c r="A1531" t="inlineStr">
        <is>
          <t>No</t>
        </is>
      </c>
      <c r="B1531" t="inlineStr">
        <is>
          <t>QH75 .C662 1992</t>
        </is>
      </c>
      <c r="C1531" t="inlineStr">
        <is>
          <t>0                      QH 0075000C  662         1992</t>
        </is>
      </c>
      <c r="D1531" t="inlineStr">
        <is>
          <t>Conservation biology : the theory and practice of nature conservation, preservation, and management / Peggy L. Fiedler and Subodh K. Jain, editors.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L1531" t="inlineStr">
        <is>
          <t>New York : Chapman and Hall, 1992.</t>
        </is>
      </c>
      <c r="M1531" t="inlineStr">
        <is>
          <t>1992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QH </t>
        </is>
      </c>
      <c r="S1531" t="n">
        <v>6</v>
      </c>
      <c r="T1531" t="n">
        <v>6</v>
      </c>
      <c r="U1531" t="inlineStr">
        <is>
          <t>1997-02-19</t>
        </is>
      </c>
      <c r="V1531" t="inlineStr">
        <is>
          <t>1997-02-19</t>
        </is>
      </c>
      <c r="W1531" t="inlineStr">
        <is>
          <t>1992-11-24</t>
        </is>
      </c>
      <c r="X1531" t="inlineStr">
        <is>
          <t>1992-11-24</t>
        </is>
      </c>
      <c r="Y1531" t="n">
        <v>686</v>
      </c>
      <c r="Z1531" t="n">
        <v>491</v>
      </c>
      <c r="AA1531" t="n">
        <v>506</v>
      </c>
      <c r="AB1531" t="n">
        <v>5</v>
      </c>
      <c r="AC1531" t="n">
        <v>5</v>
      </c>
      <c r="AD1531" t="n">
        <v>24</v>
      </c>
      <c r="AE1531" t="n">
        <v>24</v>
      </c>
      <c r="AF1531" t="n">
        <v>10</v>
      </c>
      <c r="AG1531" t="n">
        <v>10</v>
      </c>
      <c r="AH1531" t="n">
        <v>5</v>
      </c>
      <c r="AI1531" t="n">
        <v>5</v>
      </c>
      <c r="AJ1531" t="n">
        <v>10</v>
      </c>
      <c r="AK1531" t="n">
        <v>10</v>
      </c>
      <c r="AL1531" t="n">
        <v>4</v>
      </c>
      <c r="AM1531" t="n">
        <v>4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HYPERLINK("http://catalog.hathitrust.org/Record/002525727","HathiTrust Record")</f>
        <v/>
      </c>
      <c r="AS1531">
        <f>HYPERLINK("https://creighton-primo.hosted.exlibrisgroup.com/primo-explore/search?tab=default_tab&amp;search_scope=EVERYTHING&amp;vid=01CRU&amp;lang=en_US&amp;offset=0&amp;query=any,contains,991001985339702656","Catalog Record")</f>
        <v/>
      </c>
      <c r="AT1531">
        <f>HYPERLINK("http://www.worldcat.org/oclc/25202535","WorldCat Record")</f>
        <v/>
      </c>
      <c r="AU1531" t="inlineStr">
        <is>
          <t>836865540:eng</t>
        </is>
      </c>
      <c r="AV1531" t="inlineStr">
        <is>
          <t>25202535</t>
        </is>
      </c>
      <c r="AW1531" t="inlineStr">
        <is>
          <t>991001985339702656</t>
        </is>
      </c>
      <c r="AX1531" t="inlineStr">
        <is>
          <t>991001985339702656</t>
        </is>
      </c>
      <c r="AY1531" t="inlineStr">
        <is>
          <t>2266270830002656</t>
        </is>
      </c>
      <c r="AZ1531" t="inlineStr">
        <is>
          <t>BOOK</t>
        </is>
      </c>
      <c r="BB1531" t="inlineStr">
        <is>
          <t>9780412019517</t>
        </is>
      </c>
      <c r="BC1531" t="inlineStr">
        <is>
          <t>32285001364925</t>
        </is>
      </c>
      <c r="BD1531" t="inlineStr">
        <is>
          <t>893885708</t>
        </is>
      </c>
    </row>
    <row r="1532">
      <c r="A1532" t="inlineStr">
        <is>
          <t>No</t>
        </is>
      </c>
      <c r="B1532" t="inlineStr">
        <is>
          <t>QH75 .C663 1989</t>
        </is>
      </c>
      <c r="C1532" t="inlineStr">
        <is>
          <t>0                      QH 0075000C  663         1989</t>
        </is>
      </c>
      <c r="D1532" t="inlineStr">
        <is>
          <t>Conservation for the twenty-first century / edited by David Western, Mary C. Pearl.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L1532" t="inlineStr">
        <is>
          <t>New York : Oxford University Press, 1989.</t>
        </is>
      </c>
      <c r="M1532" t="inlineStr">
        <is>
          <t>1989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QH </t>
        </is>
      </c>
      <c r="S1532" t="n">
        <v>7</v>
      </c>
      <c r="T1532" t="n">
        <v>7</v>
      </c>
      <c r="U1532" t="inlineStr">
        <is>
          <t>1997-02-21</t>
        </is>
      </c>
      <c r="V1532" t="inlineStr">
        <is>
          <t>1997-02-21</t>
        </is>
      </c>
      <c r="W1532" t="inlineStr">
        <is>
          <t>1991-06-04</t>
        </is>
      </c>
      <c r="X1532" t="inlineStr">
        <is>
          <t>1991-06-04</t>
        </is>
      </c>
      <c r="Y1532" t="n">
        <v>868</v>
      </c>
      <c r="Z1532" t="n">
        <v>670</v>
      </c>
      <c r="AA1532" t="n">
        <v>684</v>
      </c>
      <c r="AB1532" t="n">
        <v>6</v>
      </c>
      <c r="AC1532" t="n">
        <v>6</v>
      </c>
      <c r="AD1532" t="n">
        <v>24</v>
      </c>
      <c r="AE1532" t="n">
        <v>24</v>
      </c>
      <c r="AF1532" t="n">
        <v>6</v>
      </c>
      <c r="AG1532" t="n">
        <v>6</v>
      </c>
      <c r="AH1532" t="n">
        <v>5</v>
      </c>
      <c r="AI1532" t="n">
        <v>5</v>
      </c>
      <c r="AJ1532" t="n">
        <v>13</v>
      </c>
      <c r="AK1532" t="n">
        <v>13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HYPERLINK("http://catalog.hathitrust.org/Record/001298920","HathiTrust Record")</f>
        <v/>
      </c>
      <c r="AS1532">
        <f>HYPERLINK("https://creighton-primo.hosted.exlibrisgroup.com/primo-explore/search?tab=default_tab&amp;search_scope=EVERYTHING&amp;vid=01CRU&amp;lang=en_US&amp;offset=0&amp;query=any,contains,991001309629702656","Catalog Record")</f>
        <v/>
      </c>
      <c r="AT1532">
        <f>HYPERLINK("http://www.worldcat.org/oclc/18135725","WorldCat Record")</f>
        <v/>
      </c>
      <c r="AU1532" t="inlineStr">
        <is>
          <t>349935537:eng</t>
        </is>
      </c>
      <c r="AV1532" t="inlineStr">
        <is>
          <t>18135725</t>
        </is>
      </c>
      <c r="AW1532" t="inlineStr">
        <is>
          <t>991001309629702656</t>
        </is>
      </c>
      <c r="AX1532" t="inlineStr">
        <is>
          <t>991001309629702656</t>
        </is>
      </c>
      <c r="AY1532" t="inlineStr">
        <is>
          <t>2260599210002656</t>
        </is>
      </c>
      <c r="AZ1532" t="inlineStr">
        <is>
          <t>BOOK</t>
        </is>
      </c>
      <c r="BB1532" t="inlineStr">
        <is>
          <t>9780195054743</t>
        </is>
      </c>
      <c r="BC1532" t="inlineStr">
        <is>
          <t>32285000592229</t>
        </is>
      </c>
      <c r="BD1532" t="inlineStr">
        <is>
          <t>893426514</t>
        </is>
      </c>
    </row>
    <row r="1533">
      <c r="A1533" t="inlineStr">
        <is>
          <t>No</t>
        </is>
      </c>
      <c r="B1533" t="inlineStr">
        <is>
          <t>QH75 .C6818 1992</t>
        </is>
      </c>
      <c r="C1533" t="inlineStr">
        <is>
          <t>0                      QH 0075000C  6818        1992</t>
        </is>
      </c>
      <c r="D1533" t="inlineStr">
        <is>
          <t>Conserving biodiversity : a research agenda for development agencies : report of a panel of the Board on Science and Technology for International Development, U.S. National Research Council.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L1533" t="inlineStr">
        <is>
          <t>Washington, DC : National Academy Press, 1992.</t>
        </is>
      </c>
      <c r="M1533" t="inlineStr">
        <is>
          <t>1992</t>
        </is>
      </c>
      <c r="O1533" t="inlineStr">
        <is>
          <t>eng</t>
        </is>
      </c>
      <c r="P1533" t="inlineStr">
        <is>
          <t>dcu</t>
        </is>
      </c>
      <c r="R1533" t="inlineStr">
        <is>
          <t xml:space="preserve">QH </t>
        </is>
      </c>
      <c r="S1533" t="n">
        <v>17</v>
      </c>
      <c r="T1533" t="n">
        <v>17</v>
      </c>
      <c r="U1533" t="inlineStr">
        <is>
          <t>2000-12-02</t>
        </is>
      </c>
      <c r="V1533" t="inlineStr">
        <is>
          <t>2000-12-02</t>
        </is>
      </c>
      <c r="W1533" t="inlineStr">
        <is>
          <t>1993-02-03</t>
        </is>
      </c>
      <c r="X1533" t="inlineStr">
        <is>
          <t>1993-02-03</t>
        </is>
      </c>
      <c r="Y1533" t="n">
        <v>335</v>
      </c>
      <c r="Z1533" t="n">
        <v>269</v>
      </c>
      <c r="AA1533" t="n">
        <v>270</v>
      </c>
      <c r="AB1533" t="n">
        <v>3</v>
      </c>
      <c r="AC1533" t="n">
        <v>3</v>
      </c>
      <c r="AD1533" t="n">
        <v>9</v>
      </c>
      <c r="AE1533" t="n">
        <v>9</v>
      </c>
      <c r="AF1533" t="n">
        <v>2</v>
      </c>
      <c r="AG1533" t="n">
        <v>2</v>
      </c>
      <c r="AH1533" t="n">
        <v>3</v>
      </c>
      <c r="AI1533" t="n">
        <v>3</v>
      </c>
      <c r="AJ1533" t="n">
        <v>4</v>
      </c>
      <c r="AK1533" t="n">
        <v>4</v>
      </c>
      <c r="AL1533" t="n">
        <v>2</v>
      </c>
      <c r="AM1533" t="n">
        <v>2</v>
      </c>
      <c r="AN1533" t="n">
        <v>0</v>
      </c>
      <c r="AO1533" t="n">
        <v>0</v>
      </c>
      <c r="AP1533" t="inlineStr">
        <is>
          <t>No</t>
        </is>
      </c>
      <c r="AQ1533" t="inlineStr">
        <is>
          <t>No</t>
        </is>
      </c>
      <c r="AS1533">
        <f>HYPERLINK("https://creighton-primo.hosted.exlibrisgroup.com/primo-explore/search?tab=default_tab&amp;search_scope=EVERYTHING&amp;vid=01CRU&amp;lang=en_US&amp;offset=0&amp;query=any,contains,991001997659702656","Catalog Record")</f>
        <v/>
      </c>
      <c r="AT1533">
        <f>HYPERLINK("http://www.worldcat.org/oclc/25396266","WorldCat Record")</f>
        <v/>
      </c>
      <c r="AU1533" t="inlineStr">
        <is>
          <t>10678248468:eng</t>
        </is>
      </c>
      <c r="AV1533" t="inlineStr">
        <is>
          <t>25396266</t>
        </is>
      </c>
      <c r="AW1533" t="inlineStr">
        <is>
          <t>991001997659702656</t>
        </is>
      </c>
      <c r="AX1533" t="inlineStr">
        <is>
          <t>991001997659702656</t>
        </is>
      </c>
      <c r="AY1533" t="inlineStr">
        <is>
          <t>2255148880002656</t>
        </is>
      </c>
      <c r="AZ1533" t="inlineStr">
        <is>
          <t>BOOK</t>
        </is>
      </c>
      <c r="BB1533" t="inlineStr">
        <is>
          <t>9780309046831</t>
        </is>
      </c>
      <c r="BC1533" t="inlineStr">
        <is>
          <t>32285001449569</t>
        </is>
      </c>
      <c r="BD1533" t="inlineStr">
        <is>
          <t>893703555</t>
        </is>
      </c>
    </row>
    <row r="1534">
      <c r="A1534" t="inlineStr">
        <is>
          <t>No</t>
        </is>
      </c>
      <c r="B1534" t="inlineStr">
        <is>
          <t>QH75 .C74 1988</t>
        </is>
      </c>
      <c r="C1534" t="inlineStr">
        <is>
          <t>0                      QH 0075000C  74          1988</t>
        </is>
      </c>
      <c r="D1534" t="inlineStr">
        <is>
          <t>Crossroads : environmental priorities for the future / edited by Peter Borrelli.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L1534" t="inlineStr">
        <is>
          <t>Washington, D.C. : Island Press, 1988.</t>
        </is>
      </c>
      <c r="M1534" t="inlineStr">
        <is>
          <t>1988</t>
        </is>
      </c>
      <c r="O1534" t="inlineStr">
        <is>
          <t>eng</t>
        </is>
      </c>
      <c r="P1534" t="inlineStr">
        <is>
          <t>dcu</t>
        </is>
      </c>
      <c r="R1534" t="inlineStr">
        <is>
          <t xml:space="preserve">QH </t>
        </is>
      </c>
      <c r="S1534" t="n">
        <v>3</v>
      </c>
      <c r="T1534" t="n">
        <v>3</v>
      </c>
      <c r="U1534" t="inlineStr">
        <is>
          <t>1993-03-25</t>
        </is>
      </c>
      <c r="V1534" t="inlineStr">
        <is>
          <t>1993-03-25</t>
        </is>
      </c>
      <c r="W1534" t="inlineStr">
        <is>
          <t>1990-02-26</t>
        </is>
      </c>
      <c r="X1534" t="inlineStr">
        <is>
          <t>1990-02-26</t>
        </is>
      </c>
      <c r="Y1534" t="n">
        <v>706</v>
      </c>
      <c r="Z1534" t="n">
        <v>625</v>
      </c>
      <c r="AA1534" t="n">
        <v>631</v>
      </c>
      <c r="AB1534" t="n">
        <v>5</v>
      </c>
      <c r="AC1534" t="n">
        <v>5</v>
      </c>
      <c r="AD1534" t="n">
        <v>14</v>
      </c>
      <c r="AE1534" t="n">
        <v>14</v>
      </c>
      <c r="AF1534" t="n">
        <v>4</v>
      </c>
      <c r="AG1534" t="n">
        <v>4</v>
      </c>
      <c r="AH1534" t="n">
        <v>1</v>
      </c>
      <c r="AI1534" t="n">
        <v>1</v>
      </c>
      <c r="AJ1534" t="n">
        <v>5</v>
      </c>
      <c r="AK1534" t="n">
        <v>5</v>
      </c>
      <c r="AL1534" t="n">
        <v>3</v>
      </c>
      <c r="AM1534" t="n">
        <v>3</v>
      </c>
      <c r="AN1534" t="n">
        <v>2</v>
      </c>
      <c r="AO1534" t="n">
        <v>2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HYPERLINK("http://catalog.hathitrust.org/Record/001290854","HathiTrust Record")</f>
        <v/>
      </c>
      <c r="AS1534">
        <f>HYPERLINK("https://creighton-primo.hosted.exlibrisgroup.com/primo-explore/search?tab=default_tab&amp;search_scope=EVERYTHING&amp;vid=01CRU&amp;lang=en_US&amp;offset=0&amp;query=any,contains,991001334689702656","Catalog Record")</f>
        <v/>
      </c>
      <c r="AT1534">
        <f>HYPERLINK("http://www.worldcat.org/oclc/18350264","WorldCat Record")</f>
        <v/>
      </c>
      <c r="AU1534" t="inlineStr">
        <is>
          <t>889411035:eng</t>
        </is>
      </c>
      <c r="AV1534" t="inlineStr">
        <is>
          <t>18350264</t>
        </is>
      </c>
      <c r="AW1534" t="inlineStr">
        <is>
          <t>991001334689702656</t>
        </is>
      </c>
      <c r="AX1534" t="inlineStr">
        <is>
          <t>991001334689702656</t>
        </is>
      </c>
      <c r="AY1534" t="inlineStr">
        <is>
          <t>2262744250002656</t>
        </is>
      </c>
      <c r="AZ1534" t="inlineStr">
        <is>
          <t>BOOK</t>
        </is>
      </c>
      <c r="BB1534" t="inlineStr">
        <is>
          <t>9780933280670</t>
        </is>
      </c>
      <c r="BC1534" t="inlineStr">
        <is>
          <t>32285000059609</t>
        </is>
      </c>
      <c r="BD1534" t="inlineStr">
        <is>
          <t>893596409</t>
        </is>
      </c>
    </row>
    <row r="1535">
      <c r="A1535" t="inlineStr">
        <is>
          <t>No</t>
        </is>
      </c>
      <c r="B1535" t="inlineStr">
        <is>
          <t>QH75 .D57 1990</t>
        </is>
      </c>
      <c r="C1535" t="inlineStr">
        <is>
          <t>0                      QH 0075000D  57          1990</t>
        </is>
      </c>
      <c r="D1535" t="inlineStr">
        <is>
          <t>Audubon perspectives : fight for survival / Roger L. DiSilvestro ; executive editor, Christopher N. Palmer ; principal photographer, Page Chichester.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DiSilvestro, Roger L.</t>
        </is>
      </c>
      <c r="L1535" t="inlineStr">
        <is>
          <t>New York : Wiley, c1990.</t>
        </is>
      </c>
      <c r="M1535" t="inlineStr">
        <is>
          <t>1990</t>
        </is>
      </c>
      <c r="O1535" t="inlineStr">
        <is>
          <t>eng</t>
        </is>
      </c>
      <c r="P1535" t="inlineStr">
        <is>
          <t>nyu</t>
        </is>
      </c>
      <c r="R1535" t="inlineStr">
        <is>
          <t xml:space="preserve">QH </t>
        </is>
      </c>
      <c r="S1535" t="n">
        <v>17</v>
      </c>
      <c r="T1535" t="n">
        <v>17</v>
      </c>
      <c r="U1535" t="inlineStr">
        <is>
          <t>1997-03-07</t>
        </is>
      </c>
      <c r="V1535" t="inlineStr">
        <is>
          <t>1997-03-07</t>
        </is>
      </c>
      <c r="W1535" t="inlineStr">
        <is>
          <t>1990-07-05</t>
        </is>
      </c>
      <c r="X1535" t="inlineStr">
        <is>
          <t>1990-07-05</t>
        </is>
      </c>
      <c r="Y1535" t="n">
        <v>1078</v>
      </c>
      <c r="Z1535" t="n">
        <v>1021</v>
      </c>
      <c r="AA1535" t="n">
        <v>1049</v>
      </c>
      <c r="AB1535" t="n">
        <v>7</v>
      </c>
      <c r="AC1535" t="n">
        <v>7</v>
      </c>
      <c r="AD1535" t="n">
        <v>14</v>
      </c>
      <c r="AE1535" t="n">
        <v>14</v>
      </c>
      <c r="AF1535" t="n">
        <v>7</v>
      </c>
      <c r="AG1535" t="n">
        <v>7</v>
      </c>
      <c r="AH1535" t="n">
        <v>2</v>
      </c>
      <c r="AI1535" t="n">
        <v>2</v>
      </c>
      <c r="AJ1535" t="n">
        <v>2</v>
      </c>
      <c r="AK1535" t="n">
        <v>2</v>
      </c>
      <c r="AL1535" t="n">
        <v>4</v>
      </c>
      <c r="AM1535" t="n">
        <v>4</v>
      </c>
      <c r="AN1535" t="n">
        <v>0</v>
      </c>
      <c r="AO1535" t="n">
        <v>0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HYPERLINK("https://creighton-primo.hosted.exlibrisgroup.com/primo-explore/search?tab=default_tab&amp;search_scope=EVERYTHING&amp;vid=01CRU&amp;lang=en_US&amp;offset=0&amp;query=any,contains,991001593329702656","Catalog Record")</f>
        <v/>
      </c>
      <c r="AT1535">
        <f>HYPERLINK("http://www.worldcat.org/oclc/20594800","WorldCat Record")</f>
        <v/>
      </c>
      <c r="AU1535" t="inlineStr">
        <is>
          <t>1122421320:eng</t>
        </is>
      </c>
      <c r="AV1535" t="inlineStr">
        <is>
          <t>20594800</t>
        </is>
      </c>
      <c r="AW1535" t="inlineStr">
        <is>
          <t>991001593329702656</t>
        </is>
      </c>
      <c r="AX1535" t="inlineStr">
        <is>
          <t>991001593329702656</t>
        </is>
      </c>
      <c r="AY1535" t="inlineStr">
        <is>
          <t>2270019920002656</t>
        </is>
      </c>
      <c r="AZ1535" t="inlineStr">
        <is>
          <t>BOOK</t>
        </is>
      </c>
      <c r="BB1535" t="inlineStr">
        <is>
          <t>9780471508359</t>
        </is>
      </c>
      <c r="BC1535" t="inlineStr">
        <is>
          <t>32285000207711</t>
        </is>
      </c>
      <c r="BD1535" t="inlineStr">
        <is>
          <t>893516302</t>
        </is>
      </c>
    </row>
    <row r="1536">
      <c r="A1536" t="inlineStr">
        <is>
          <t>No</t>
        </is>
      </c>
      <c r="B1536" t="inlineStr">
        <is>
          <t>QH75 .D8 1980</t>
        </is>
      </c>
      <c r="C1536" t="inlineStr">
        <is>
          <t>0                      QH 0075000D  8           1980</t>
        </is>
      </c>
      <c r="D1536" t="inlineStr">
        <is>
          <t>The wooing of Earth / René Dubos.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K1536" t="inlineStr">
        <is>
          <t>Dubos, René J. (René Jules), 1901-1982.</t>
        </is>
      </c>
      <c r="L1536" t="inlineStr">
        <is>
          <t>New York : Scribner, c1980.</t>
        </is>
      </c>
      <c r="M1536" t="inlineStr">
        <is>
          <t>1980</t>
        </is>
      </c>
      <c r="O1536" t="inlineStr">
        <is>
          <t>eng</t>
        </is>
      </c>
      <c r="P1536" t="inlineStr">
        <is>
          <t>nyu</t>
        </is>
      </c>
      <c r="R1536" t="inlineStr">
        <is>
          <t xml:space="preserve">QH </t>
        </is>
      </c>
      <c r="S1536" t="n">
        <v>5</v>
      </c>
      <c r="T1536" t="n">
        <v>5</v>
      </c>
      <c r="U1536" t="inlineStr">
        <is>
          <t>2005-03-20</t>
        </is>
      </c>
      <c r="V1536" t="inlineStr">
        <is>
          <t>2005-03-20</t>
        </is>
      </c>
      <c r="W1536" t="inlineStr">
        <is>
          <t>1991-11-21</t>
        </is>
      </c>
      <c r="X1536" t="inlineStr">
        <is>
          <t>1991-11-21</t>
        </is>
      </c>
      <c r="Y1536" t="n">
        <v>906</v>
      </c>
      <c r="Z1536" t="n">
        <v>823</v>
      </c>
      <c r="AA1536" t="n">
        <v>839</v>
      </c>
      <c r="AB1536" t="n">
        <v>6</v>
      </c>
      <c r="AC1536" t="n">
        <v>6</v>
      </c>
      <c r="AD1536" t="n">
        <v>22</v>
      </c>
      <c r="AE1536" t="n">
        <v>22</v>
      </c>
      <c r="AF1536" t="n">
        <v>6</v>
      </c>
      <c r="AG1536" t="n">
        <v>6</v>
      </c>
      <c r="AH1536" t="n">
        <v>6</v>
      </c>
      <c r="AI1536" t="n">
        <v>6</v>
      </c>
      <c r="AJ1536" t="n">
        <v>10</v>
      </c>
      <c r="AK1536" t="n">
        <v>10</v>
      </c>
      <c r="AL1536" t="n">
        <v>4</v>
      </c>
      <c r="AM1536" t="n">
        <v>4</v>
      </c>
      <c r="AN1536" t="n">
        <v>0</v>
      </c>
      <c r="AO1536" t="n">
        <v>0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HYPERLINK("http://catalog.hathitrust.org/Record/000684762","HathiTrust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HYPERLINK("https://creighton-primo.hosted.exlibrisgroup.com/primo-explore/search?tab=default_tab&amp;search_scope=EVERYTHING&amp;vid=01CRU&amp;lang=en_US&amp;offset=0&amp;query=any,contains,991004884859702656","Catalog Record")</f>
        <v/>
      </c>
      <c r="AT1536">
        <f>HYPERLINK("http://www.worldcat.org/oclc/5831303","WorldCat Record")</f>
        <v/>
      </c>
      <c r="AU1536" t="inlineStr">
        <is>
          <t>53099808:eng</t>
        </is>
      </c>
      <c r="AV1536" t="inlineStr">
        <is>
          <t>5831303</t>
        </is>
      </c>
      <c r="AW1536" t="inlineStr">
        <is>
          <t>991004884859702656</t>
        </is>
      </c>
      <c r="AX1536" t="inlineStr">
        <is>
          <t>991004884859702656</t>
        </is>
      </c>
      <c r="AY1536" t="inlineStr">
        <is>
          <t>2263227280002656</t>
        </is>
      </c>
      <c r="AZ1536" t="inlineStr">
        <is>
          <t>BOOK</t>
        </is>
      </c>
      <c r="BB1536" t="inlineStr">
        <is>
          <t>9780684165011</t>
        </is>
      </c>
      <c r="BC1536" t="inlineStr">
        <is>
          <t>32285000843283</t>
        </is>
      </c>
      <c r="BD1536" t="inlineStr">
        <is>
          <t>893706953</t>
        </is>
      </c>
    </row>
    <row r="1537">
      <c r="A1537" t="inlineStr">
        <is>
          <t>No</t>
        </is>
      </c>
      <c r="B1537" t="inlineStr">
        <is>
          <t>QH75 .E25 1997</t>
        </is>
      </c>
      <c r="C1537" t="inlineStr">
        <is>
          <t>0                      QH 0075000E  25          1997</t>
        </is>
      </c>
      <c r="D1537" t="inlineStr">
        <is>
          <t>The ecological basis of conservation : heterogeneity, ecosystems, and biodiversity / edited by S.T.A. Pickett ... [et al.].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L1537" t="inlineStr">
        <is>
          <t>New York : Chapman &amp; Hall,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R1537" t="inlineStr">
        <is>
          <t xml:space="preserve">QH </t>
        </is>
      </c>
      <c r="S1537" t="n">
        <v>4</v>
      </c>
      <c r="T1537" t="n">
        <v>4</v>
      </c>
      <c r="U1537" t="inlineStr">
        <is>
          <t>1998-02-14</t>
        </is>
      </c>
      <c r="V1537" t="inlineStr">
        <is>
          <t>1998-02-14</t>
        </is>
      </c>
      <c r="W1537" t="inlineStr">
        <is>
          <t>1997-09-09</t>
        </is>
      </c>
      <c r="X1537" t="inlineStr">
        <is>
          <t>1997-09-09</t>
        </is>
      </c>
      <c r="Y1537" t="n">
        <v>396</v>
      </c>
      <c r="Z1537" t="n">
        <v>258</v>
      </c>
      <c r="AA1537" t="n">
        <v>282</v>
      </c>
      <c r="AB1537" t="n">
        <v>3</v>
      </c>
      <c r="AC1537" t="n">
        <v>3</v>
      </c>
      <c r="AD1537" t="n">
        <v>8</v>
      </c>
      <c r="AE1537" t="n">
        <v>11</v>
      </c>
      <c r="AF1537" t="n">
        <v>2</v>
      </c>
      <c r="AG1537" t="n">
        <v>4</v>
      </c>
      <c r="AH1537" t="n">
        <v>3</v>
      </c>
      <c r="AI1537" t="n">
        <v>4</v>
      </c>
      <c r="AJ1537" t="n">
        <v>2</v>
      </c>
      <c r="AK1537" t="n">
        <v>4</v>
      </c>
      <c r="AL1537" t="n">
        <v>2</v>
      </c>
      <c r="AM1537" t="n">
        <v>2</v>
      </c>
      <c r="AN1537" t="n">
        <v>0</v>
      </c>
      <c r="AO1537" t="n">
        <v>0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HYPERLINK("https://creighton-primo.hosted.exlibrisgroup.com/primo-explore/search?tab=default_tab&amp;search_scope=EVERYTHING&amp;vid=01CRU&amp;lang=en_US&amp;offset=0&amp;query=any,contains,991002644959702656","Catalog Record")</f>
        <v/>
      </c>
      <c r="AT1537">
        <f>HYPERLINK("http://www.worldcat.org/oclc/34617723","WorldCat Record")</f>
        <v/>
      </c>
      <c r="AU1537" t="inlineStr">
        <is>
          <t>836951721:eng</t>
        </is>
      </c>
      <c r="AV1537" t="inlineStr">
        <is>
          <t>34617723</t>
        </is>
      </c>
      <c r="AW1537" t="inlineStr">
        <is>
          <t>991002644959702656</t>
        </is>
      </c>
      <c r="AX1537" t="inlineStr">
        <is>
          <t>991002644959702656</t>
        </is>
      </c>
      <c r="AY1537" t="inlineStr">
        <is>
          <t>2269765240002656</t>
        </is>
      </c>
      <c r="AZ1537" t="inlineStr">
        <is>
          <t>BOOK</t>
        </is>
      </c>
      <c r="BB1537" t="inlineStr">
        <is>
          <t>9780412098512</t>
        </is>
      </c>
      <c r="BC1537" t="inlineStr">
        <is>
          <t>32285003004552</t>
        </is>
      </c>
      <c r="BD1537" t="inlineStr">
        <is>
          <t>893809600</t>
        </is>
      </c>
    </row>
    <row r="1538">
      <c r="A1538" t="inlineStr">
        <is>
          <t>No</t>
        </is>
      </c>
      <c r="B1538" t="inlineStr">
        <is>
          <t>QH75 .E26 1988</t>
        </is>
      </c>
      <c r="C1538" t="inlineStr">
        <is>
          <t>0                      QH 0075000E  26          1988</t>
        </is>
      </c>
      <c r="D1538" t="inlineStr">
        <is>
          <t>The Ecology and management of wetlands / [edited by] D.D. Hook ... [et al.]</t>
        </is>
      </c>
      <c r="E1538" t="inlineStr">
        <is>
          <t>V.1</t>
        </is>
      </c>
      <c r="F1538" t="inlineStr">
        <is>
          <t>Yes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London : Croom Helm ; Portland, Oregon : Timber Press, 1988.</t>
        </is>
      </c>
      <c r="M1538" t="inlineStr">
        <is>
          <t>1988</t>
        </is>
      </c>
      <c r="O1538" t="inlineStr">
        <is>
          <t>eng</t>
        </is>
      </c>
      <c r="P1538" t="inlineStr">
        <is>
          <t>enk</t>
        </is>
      </c>
      <c r="R1538" t="inlineStr">
        <is>
          <t xml:space="preserve">QH </t>
        </is>
      </c>
      <c r="S1538" t="n">
        <v>8</v>
      </c>
      <c r="T1538" t="n">
        <v>9</v>
      </c>
      <c r="U1538" t="inlineStr">
        <is>
          <t>2000-10-30</t>
        </is>
      </c>
      <c r="V1538" t="inlineStr">
        <is>
          <t>2000-10-30</t>
        </is>
      </c>
      <c r="W1538" t="inlineStr">
        <is>
          <t>1991-11-13</t>
        </is>
      </c>
      <c r="X1538" t="inlineStr">
        <is>
          <t>1991-11-13</t>
        </is>
      </c>
      <c r="Y1538" t="n">
        <v>295</v>
      </c>
      <c r="Z1538" t="n">
        <v>199</v>
      </c>
      <c r="AA1538" t="n">
        <v>200</v>
      </c>
      <c r="AB1538" t="n">
        <v>1</v>
      </c>
      <c r="AC1538" t="n">
        <v>1</v>
      </c>
      <c r="AD1538" t="n">
        <v>3</v>
      </c>
      <c r="AE1538" t="n">
        <v>3</v>
      </c>
      <c r="AF1538" t="n">
        <v>1</v>
      </c>
      <c r="AG1538" t="n">
        <v>1</v>
      </c>
      <c r="AH1538" t="n">
        <v>1</v>
      </c>
      <c r="AI1538" t="n">
        <v>1</v>
      </c>
      <c r="AJ1538" t="n">
        <v>1</v>
      </c>
      <c r="AK1538" t="n">
        <v>1</v>
      </c>
      <c r="AL1538" t="n">
        <v>0</v>
      </c>
      <c r="AM1538" t="n">
        <v>0</v>
      </c>
      <c r="AN1538" t="n">
        <v>0</v>
      </c>
      <c r="AO1538" t="n">
        <v>0</v>
      </c>
      <c r="AP1538" t="inlineStr">
        <is>
          <t>No</t>
        </is>
      </c>
      <c r="AQ1538" t="inlineStr">
        <is>
          <t>Yes</t>
        </is>
      </c>
      <c r="AR1538">
        <f>HYPERLINK("http://catalog.hathitrust.org/Record/000902323","HathiTrust Record")</f>
        <v/>
      </c>
      <c r="AS1538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8">
        <f>HYPERLINK("http://www.worldcat.org/oclc/17656640","WorldCat Record")</f>
        <v/>
      </c>
      <c r="AU1538" t="inlineStr">
        <is>
          <t>5218186795:eng</t>
        </is>
      </c>
      <c r="AV1538" t="inlineStr">
        <is>
          <t>17656640</t>
        </is>
      </c>
      <c r="AW1538" t="inlineStr">
        <is>
          <t>991001053689702656</t>
        </is>
      </c>
      <c r="AX1538" t="inlineStr">
        <is>
          <t>991001053689702656</t>
        </is>
      </c>
      <c r="AY1538" t="inlineStr">
        <is>
          <t>2260792110002656</t>
        </is>
      </c>
      <c r="AZ1538" t="inlineStr">
        <is>
          <t>BOOK</t>
        </is>
      </c>
      <c r="BB1538" t="inlineStr">
        <is>
          <t>9780709947677</t>
        </is>
      </c>
      <c r="BC1538" t="inlineStr">
        <is>
          <t>32285000824366</t>
        </is>
      </c>
      <c r="BD1538" t="inlineStr">
        <is>
          <t>893420017</t>
        </is>
      </c>
    </row>
    <row r="1539">
      <c r="A1539" t="inlineStr">
        <is>
          <t>No</t>
        </is>
      </c>
      <c r="B1539" t="inlineStr">
        <is>
          <t>QH75 .E26 1988</t>
        </is>
      </c>
      <c r="C1539" t="inlineStr">
        <is>
          <t>0                      QH 0075000E  26          1988</t>
        </is>
      </c>
      <c r="D1539" t="inlineStr">
        <is>
          <t>The Ecology and management of wetlands / [edited by] D.D. Hook ... [et al.]</t>
        </is>
      </c>
      <c r="E1539" t="inlineStr">
        <is>
          <t>V.2</t>
        </is>
      </c>
      <c r="F1539" t="inlineStr">
        <is>
          <t>Yes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L1539" t="inlineStr">
        <is>
          <t>London : Croom Helm ; Portland, Oregon : Timber Press, 1988.</t>
        </is>
      </c>
      <c r="M1539" t="inlineStr">
        <is>
          <t>1988</t>
        </is>
      </c>
      <c r="O1539" t="inlineStr">
        <is>
          <t>eng</t>
        </is>
      </c>
      <c r="P1539" t="inlineStr">
        <is>
          <t>enk</t>
        </is>
      </c>
      <c r="R1539" t="inlineStr">
        <is>
          <t xml:space="preserve">QH </t>
        </is>
      </c>
      <c r="S1539" t="n">
        <v>1</v>
      </c>
      <c r="T1539" t="n">
        <v>9</v>
      </c>
      <c r="U1539" t="inlineStr">
        <is>
          <t>1992-10-29</t>
        </is>
      </c>
      <c r="V1539" t="inlineStr">
        <is>
          <t>2000-10-30</t>
        </is>
      </c>
      <c r="W1539" t="inlineStr">
        <is>
          <t>1991-11-13</t>
        </is>
      </c>
      <c r="X1539" t="inlineStr">
        <is>
          <t>1991-11-13</t>
        </is>
      </c>
      <c r="Y1539" t="n">
        <v>295</v>
      </c>
      <c r="Z1539" t="n">
        <v>199</v>
      </c>
      <c r="AA1539" t="n">
        <v>200</v>
      </c>
      <c r="AB1539" t="n">
        <v>1</v>
      </c>
      <c r="AC1539" t="n">
        <v>1</v>
      </c>
      <c r="AD1539" t="n">
        <v>3</v>
      </c>
      <c r="AE1539" t="n">
        <v>3</v>
      </c>
      <c r="AF1539" t="n">
        <v>1</v>
      </c>
      <c r="AG1539" t="n">
        <v>1</v>
      </c>
      <c r="AH1539" t="n">
        <v>1</v>
      </c>
      <c r="AI1539" t="n">
        <v>1</v>
      </c>
      <c r="AJ1539" t="n">
        <v>1</v>
      </c>
      <c r="AK1539" t="n">
        <v>1</v>
      </c>
      <c r="AL1539" t="n">
        <v>0</v>
      </c>
      <c r="AM1539" t="n">
        <v>0</v>
      </c>
      <c r="AN1539" t="n">
        <v>0</v>
      </c>
      <c r="AO1539" t="n">
        <v>0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HYPERLINK("http://catalog.hathitrust.org/Record/000902323","HathiTrust Record")</f>
        <v/>
      </c>
      <c r="AS1539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9">
        <f>HYPERLINK("http://www.worldcat.org/oclc/17656640","WorldCat Record")</f>
        <v/>
      </c>
      <c r="AU1539" t="inlineStr">
        <is>
          <t>5218186795:eng</t>
        </is>
      </c>
      <c r="AV1539" t="inlineStr">
        <is>
          <t>17656640</t>
        </is>
      </c>
      <c r="AW1539" t="inlineStr">
        <is>
          <t>991001053689702656</t>
        </is>
      </c>
      <c r="AX1539" t="inlineStr">
        <is>
          <t>991001053689702656</t>
        </is>
      </c>
      <c r="AY1539" t="inlineStr">
        <is>
          <t>2260792110002656</t>
        </is>
      </c>
      <c r="AZ1539" t="inlineStr">
        <is>
          <t>BOOK</t>
        </is>
      </c>
      <c r="BB1539" t="inlineStr">
        <is>
          <t>9780709947677</t>
        </is>
      </c>
      <c r="BC1539" t="inlineStr">
        <is>
          <t>32285000824374</t>
        </is>
      </c>
      <c r="BD1539" t="inlineStr">
        <is>
          <t>893420016</t>
        </is>
      </c>
    </row>
    <row r="1540">
      <c r="A1540" t="inlineStr">
        <is>
          <t>No</t>
        </is>
      </c>
      <c r="B1540" t="inlineStr">
        <is>
          <t>QH75 .E3 1996</t>
        </is>
      </c>
      <c r="C1540" t="inlineStr">
        <is>
          <t>0                      QH 0075000E  3           1996</t>
        </is>
      </c>
      <c r="D1540" t="inlineStr">
        <is>
          <t>Ecosystem management : selected readings / [edited by] Fred B. Samson and Fritz L. Knopf.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New York : Springer, c1996.</t>
        </is>
      </c>
      <c r="M1540" t="inlineStr">
        <is>
          <t>1996</t>
        </is>
      </c>
      <c r="O1540" t="inlineStr">
        <is>
          <t>eng</t>
        </is>
      </c>
      <c r="P1540" t="inlineStr">
        <is>
          <t>nyu</t>
        </is>
      </c>
      <c r="R1540" t="inlineStr">
        <is>
          <t xml:space="preserve">QH </t>
        </is>
      </c>
      <c r="S1540" t="n">
        <v>3</v>
      </c>
      <c r="T1540" t="n">
        <v>3</v>
      </c>
      <c r="U1540" t="inlineStr">
        <is>
          <t>1997-04-10</t>
        </is>
      </c>
      <c r="V1540" t="inlineStr">
        <is>
          <t>1997-04-10</t>
        </is>
      </c>
      <c r="W1540" t="inlineStr">
        <is>
          <t>1996-11-11</t>
        </is>
      </c>
      <c r="X1540" t="inlineStr">
        <is>
          <t>1996-11-11</t>
        </is>
      </c>
      <c r="Y1540" t="n">
        <v>307</v>
      </c>
      <c r="Z1540" t="n">
        <v>193</v>
      </c>
      <c r="AA1540" t="n">
        <v>213</v>
      </c>
      <c r="AB1540" t="n">
        <v>3</v>
      </c>
      <c r="AC1540" t="n">
        <v>3</v>
      </c>
      <c r="AD1540" t="n">
        <v>7</v>
      </c>
      <c r="AE1540" t="n">
        <v>8</v>
      </c>
      <c r="AF1540" t="n">
        <v>1</v>
      </c>
      <c r="AG1540" t="n">
        <v>2</v>
      </c>
      <c r="AH1540" t="n">
        <v>1</v>
      </c>
      <c r="AI1540" t="n">
        <v>1</v>
      </c>
      <c r="AJ1540" t="n">
        <v>2</v>
      </c>
      <c r="AK1540" t="n">
        <v>3</v>
      </c>
      <c r="AL1540" t="n">
        <v>2</v>
      </c>
      <c r="AM1540" t="n">
        <v>2</v>
      </c>
      <c r="AN1540" t="n">
        <v>1</v>
      </c>
      <c r="AO1540" t="n">
        <v>1</v>
      </c>
      <c r="AP1540" t="inlineStr">
        <is>
          <t>No</t>
        </is>
      </c>
      <c r="AQ1540" t="inlineStr">
        <is>
          <t>Yes</t>
        </is>
      </c>
      <c r="AR1540">
        <f>HYPERLINK("http://catalog.hathitrust.org/Record/003126199","HathiTrust Record")</f>
        <v/>
      </c>
      <c r="AS1540">
        <f>HYPERLINK("https://creighton-primo.hosted.exlibrisgroup.com/primo-explore/search?tab=default_tab&amp;search_scope=EVERYTHING&amp;vid=01CRU&amp;lang=en_US&amp;offset=0&amp;query=any,contains,991002594669702656","Catalog Record")</f>
        <v/>
      </c>
      <c r="AT1540">
        <f>HYPERLINK("http://www.worldcat.org/oclc/33983321","WorldCat Record")</f>
        <v/>
      </c>
      <c r="AU1540" t="inlineStr">
        <is>
          <t>806919347:eng</t>
        </is>
      </c>
      <c r="AV1540" t="inlineStr">
        <is>
          <t>33983321</t>
        </is>
      </c>
      <c r="AW1540" t="inlineStr">
        <is>
          <t>991002594669702656</t>
        </is>
      </c>
      <c r="AX1540" t="inlineStr">
        <is>
          <t>991002594669702656</t>
        </is>
      </c>
      <c r="AY1540" t="inlineStr">
        <is>
          <t>2262054330002656</t>
        </is>
      </c>
      <c r="AZ1540" t="inlineStr">
        <is>
          <t>BOOK</t>
        </is>
      </c>
      <c r="BB1540" t="inlineStr">
        <is>
          <t>9780387946672</t>
        </is>
      </c>
      <c r="BC1540" t="inlineStr">
        <is>
          <t>32285002371382</t>
        </is>
      </c>
      <c r="BD1540" t="inlineStr">
        <is>
          <t>893804789</t>
        </is>
      </c>
    </row>
    <row r="1541">
      <c r="A1541" t="inlineStr">
        <is>
          <t>No</t>
        </is>
      </c>
      <c r="B1541" t="inlineStr">
        <is>
          <t>QH75 .E35</t>
        </is>
      </c>
      <c r="C1541" t="inlineStr">
        <is>
          <t>0                      QH 0075000E  35</t>
        </is>
      </c>
      <c r="D1541" t="inlineStr">
        <is>
          <t>Biological conservation / [by] David W. Ehrenfeld.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Ehrenfeld, David.</t>
        </is>
      </c>
      <c r="L1541" t="inlineStr">
        <is>
          <t>New York : Holt, Rinehart and Winston, [1970]</t>
        </is>
      </c>
      <c r="M1541" t="inlineStr">
        <is>
          <t>1970</t>
        </is>
      </c>
      <c r="O1541" t="inlineStr">
        <is>
          <t>eng</t>
        </is>
      </c>
      <c r="P1541" t="inlineStr">
        <is>
          <t>nyu</t>
        </is>
      </c>
      <c r="Q1541" t="inlineStr">
        <is>
          <t>Modern biology series</t>
        </is>
      </c>
      <c r="R1541" t="inlineStr">
        <is>
          <t xml:space="preserve">QH </t>
        </is>
      </c>
      <c r="S1541" t="n">
        <v>8</v>
      </c>
      <c r="T1541" t="n">
        <v>8</v>
      </c>
      <c r="U1541" t="inlineStr">
        <is>
          <t>1997-02-21</t>
        </is>
      </c>
      <c r="V1541" t="inlineStr">
        <is>
          <t>1997-02-21</t>
        </is>
      </c>
      <c r="W1541" t="inlineStr">
        <is>
          <t>1991-12-11</t>
        </is>
      </c>
      <c r="X1541" t="inlineStr">
        <is>
          <t>1991-12-11</t>
        </is>
      </c>
      <c r="Y1541" t="n">
        <v>764</v>
      </c>
      <c r="Z1541" t="n">
        <v>597</v>
      </c>
      <c r="AA1541" t="n">
        <v>598</v>
      </c>
      <c r="AB1541" t="n">
        <v>5</v>
      </c>
      <c r="AC1541" t="n">
        <v>5</v>
      </c>
      <c r="AD1541" t="n">
        <v>20</v>
      </c>
      <c r="AE1541" t="n">
        <v>20</v>
      </c>
      <c r="AF1541" t="n">
        <v>6</v>
      </c>
      <c r="AG1541" t="n">
        <v>6</v>
      </c>
      <c r="AH1541" t="n">
        <v>5</v>
      </c>
      <c r="AI1541" t="n">
        <v>5</v>
      </c>
      <c r="AJ1541" t="n">
        <v>11</v>
      </c>
      <c r="AK1541" t="n">
        <v>11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HYPERLINK("http://catalog.hathitrust.org/Record/001490214","HathiTrust Record")</f>
        <v/>
      </c>
      <c r="AS1541">
        <f>HYPERLINK("https://creighton-primo.hosted.exlibrisgroup.com/primo-explore/search?tab=default_tab&amp;search_scope=EVERYTHING&amp;vid=01CRU&amp;lang=en_US&amp;offset=0&amp;query=any,contains,991000258989702656","Catalog Record")</f>
        <v/>
      </c>
      <c r="AT1541">
        <f>HYPERLINK("http://www.worldcat.org/oclc/68283","WorldCat Record")</f>
        <v/>
      </c>
      <c r="AU1541" t="inlineStr">
        <is>
          <t>1235496:eng</t>
        </is>
      </c>
      <c r="AV1541" t="inlineStr">
        <is>
          <t>68283</t>
        </is>
      </c>
      <c r="AW1541" t="inlineStr">
        <is>
          <t>991000258989702656</t>
        </is>
      </c>
      <c r="AX1541" t="inlineStr">
        <is>
          <t>991000258989702656</t>
        </is>
      </c>
      <c r="AY1541" t="inlineStr">
        <is>
          <t>2257675280002656</t>
        </is>
      </c>
      <c r="AZ1541" t="inlineStr">
        <is>
          <t>BOOK</t>
        </is>
      </c>
      <c r="BB1541" t="inlineStr">
        <is>
          <t>9780030800498</t>
        </is>
      </c>
      <c r="BC1541" t="inlineStr">
        <is>
          <t>32285000875541</t>
        </is>
      </c>
      <c r="BD1541" t="inlineStr">
        <is>
          <t>893339429</t>
        </is>
      </c>
    </row>
    <row r="1542">
      <c r="A1542" t="inlineStr">
        <is>
          <t>No</t>
        </is>
      </c>
      <c r="B1542" t="inlineStr">
        <is>
          <t>QH75 .E36</t>
        </is>
      </c>
      <c r="C1542" t="inlineStr">
        <is>
          <t>0                      QH 0075000E  36</t>
        </is>
      </c>
      <c r="D1542" t="inlineStr">
        <is>
          <t>Extinction : the causes and consequences of the disappearance of species / Paul and Anne Ehrlich.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Ehrlich, Paul R.</t>
        </is>
      </c>
      <c r="L1542" t="inlineStr">
        <is>
          <t>New York : Random House, c1981.</t>
        </is>
      </c>
      <c r="M1542" t="inlineStr">
        <is>
          <t>1981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nyu</t>
        </is>
      </c>
      <c r="R1542" t="inlineStr">
        <is>
          <t xml:space="preserve">QH </t>
        </is>
      </c>
      <c r="S1542" t="n">
        <v>29</v>
      </c>
      <c r="T1542" t="n">
        <v>29</v>
      </c>
      <c r="U1542" t="inlineStr">
        <is>
          <t>2004-03-22</t>
        </is>
      </c>
      <c r="V1542" t="inlineStr">
        <is>
          <t>2004-03-22</t>
        </is>
      </c>
      <c r="W1542" t="inlineStr">
        <is>
          <t>1992-12-20</t>
        </is>
      </c>
      <c r="X1542" t="inlineStr">
        <is>
          <t>1992-12-20</t>
        </is>
      </c>
      <c r="Y1542" t="n">
        <v>1822</v>
      </c>
      <c r="Z1542" t="n">
        <v>1657</v>
      </c>
      <c r="AA1542" t="n">
        <v>1734</v>
      </c>
      <c r="AB1542" t="n">
        <v>14</v>
      </c>
      <c r="AC1542" t="n">
        <v>15</v>
      </c>
      <c r="AD1542" t="n">
        <v>48</v>
      </c>
      <c r="AE1542" t="n">
        <v>49</v>
      </c>
      <c r="AF1542" t="n">
        <v>19</v>
      </c>
      <c r="AG1542" t="n">
        <v>19</v>
      </c>
      <c r="AH1542" t="n">
        <v>9</v>
      </c>
      <c r="AI1542" t="n">
        <v>9</v>
      </c>
      <c r="AJ1542" t="n">
        <v>18</v>
      </c>
      <c r="AK1542" t="n">
        <v>19</v>
      </c>
      <c r="AL1542" t="n">
        <v>10</v>
      </c>
      <c r="AM1542" t="n">
        <v>10</v>
      </c>
      <c r="AN1542" t="n">
        <v>2</v>
      </c>
      <c r="AO1542" t="n">
        <v>2</v>
      </c>
      <c r="AP1542" t="inlineStr">
        <is>
          <t>No</t>
        </is>
      </c>
      <c r="AQ1542" t="inlineStr">
        <is>
          <t>Yes</t>
        </is>
      </c>
      <c r="AR1542">
        <f>HYPERLINK("http://catalog.hathitrust.org/Record/000139262","HathiTrust Record")</f>
        <v/>
      </c>
      <c r="AS1542">
        <f>HYPERLINK("https://creighton-primo.hosted.exlibrisgroup.com/primo-explore/search?tab=default_tab&amp;search_scope=EVERYTHING&amp;vid=01CRU&amp;lang=en_US&amp;offset=0&amp;query=any,contains,991005086169702656","Catalog Record")</f>
        <v/>
      </c>
      <c r="AT1542">
        <f>HYPERLINK("http://www.worldcat.org/oclc/7196798","WorldCat Record")</f>
        <v/>
      </c>
      <c r="AU1542" t="inlineStr">
        <is>
          <t>320152250:eng</t>
        </is>
      </c>
      <c r="AV1542" t="inlineStr">
        <is>
          <t>7196798</t>
        </is>
      </c>
      <c r="AW1542" t="inlineStr">
        <is>
          <t>991005086169702656</t>
        </is>
      </c>
      <c r="AX1542" t="inlineStr">
        <is>
          <t>991005086169702656</t>
        </is>
      </c>
      <c r="AY1542" t="inlineStr">
        <is>
          <t>2255759450002656</t>
        </is>
      </c>
      <c r="AZ1542" t="inlineStr">
        <is>
          <t>BOOK</t>
        </is>
      </c>
      <c r="BB1542" t="inlineStr">
        <is>
          <t>9780394513126</t>
        </is>
      </c>
      <c r="BC1542" t="inlineStr">
        <is>
          <t>32285001470243</t>
        </is>
      </c>
      <c r="BD1542" t="inlineStr">
        <is>
          <t>893507585</t>
        </is>
      </c>
    </row>
    <row r="1543">
      <c r="A1543" t="inlineStr">
        <is>
          <t>No</t>
        </is>
      </c>
      <c r="B1543" t="inlineStr">
        <is>
          <t>QH75 .F73</t>
        </is>
      </c>
      <c r="C1543" t="inlineStr">
        <is>
          <t>0                      QH 0075000F  73</t>
        </is>
      </c>
      <c r="D1543" t="inlineStr">
        <is>
          <t>Conservation and evolution / O.H. Frankel and Michael E. Soulé.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K1543" t="inlineStr">
        <is>
          <t>Frankel, O. H. (Otto Herzberg), 1900-1998.</t>
        </is>
      </c>
      <c r="L1543" t="inlineStr">
        <is>
          <t>Cambridge [England] ; New York : Cambridge University Press, 1981.</t>
        </is>
      </c>
      <c r="M1543" t="inlineStr">
        <is>
          <t>1981</t>
        </is>
      </c>
      <c r="O1543" t="inlineStr">
        <is>
          <t>eng</t>
        </is>
      </c>
      <c r="P1543" t="inlineStr">
        <is>
          <t>enk</t>
        </is>
      </c>
      <c r="R1543" t="inlineStr">
        <is>
          <t xml:space="preserve">QH </t>
        </is>
      </c>
      <c r="S1543" t="n">
        <v>8</v>
      </c>
      <c r="T1543" t="n">
        <v>8</v>
      </c>
      <c r="U1543" t="inlineStr">
        <is>
          <t>2002-02-26</t>
        </is>
      </c>
      <c r="V1543" t="inlineStr">
        <is>
          <t>2002-02-26</t>
        </is>
      </c>
      <c r="W1543" t="inlineStr">
        <is>
          <t>1991-12-09</t>
        </is>
      </c>
      <c r="X1543" t="inlineStr">
        <is>
          <t>1991-12-09</t>
        </is>
      </c>
      <c r="Y1543" t="n">
        <v>714</v>
      </c>
      <c r="Z1543" t="n">
        <v>526</v>
      </c>
      <c r="AA1543" t="n">
        <v>528</v>
      </c>
      <c r="AB1543" t="n">
        <v>5</v>
      </c>
      <c r="AC1543" t="n">
        <v>5</v>
      </c>
      <c r="AD1543" t="n">
        <v>22</v>
      </c>
      <c r="AE1543" t="n">
        <v>22</v>
      </c>
      <c r="AF1543" t="n">
        <v>11</v>
      </c>
      <c r="AG1543" t="n">
        <v>11</v>
      </c>
      <c r="AH1543" t="n">
        <v>4</v>
      </c>
      <c r="AI1543" t="n">
        <v>4</v>
      </c>
      <c r="AJ1543" t="n">
        <v>10</v>
      </c>
      <c r="AK1543" t="n">
        <v>10</v>
      </c>
      <c r="AL1543" t="n">
        <v>4</v>
      </c>
      <c r="AM1543" t="n">
        <v>4</v>
      </c>
      <c r="AN1543" t="n">
        <v>0</v>
      </c>
      <c r="AO1543" t="n">
        <v>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HYPERLINK("https://creighton-primo.hosted.exlibrisgroup.com/primo-explore/search?tab=default_tab&amp;search_scope=EVERYTHING&amp;vid=01CRU&amp;lang=en_US&amp;offset=0&amp;query=any,contains,991005141069702656","Catalog Record")</f>
        <v/>
      </c>
      <c r="AT1543">
        <f>HYPERLINK("http://www.worldcat.org/oclc/7614366","WorldCat Record")</f>
        <v/>
      </c>
      <c r="AU1543" t="inlineStr">
        <is>
          <t>684685476:eng</t>
        </is>
      </c>
      <c r="AV1543" t="inlineStr">
        <is>
          <t>7614366</t>
        </is>
      </c>
      <c r="AW1543" t="inlineStr">
        <is>
          <t>991005141069702656</t>
        </is>
      </c>
      <c r="AX1543" t="inlineStr">
        <is>
          <t>991005141069702656</t>
        </is>
      </c>
      <c r="AY1543" t="inlineStr">
        <is>
          <t>2264190380002656</t>
        </is>
      </c>
      <c r="AZ1543" t="inlineStr">
        <is>
          <t>BOOK</t>
        </is>
      </c>
      <c r="BB1543" t="inlineStr">
        <is>
          <t>9780521232753</t>
        </is>
      </c>
      <c r="BC1543" t="inlineStr">
        <is>
          <t>32285000885854</t>
        </is>
      </c>
      <c r="BD1543" t="inlineStr">
        <is>
          <t>893430923</t>
        </is>
      </c>
    </row>
    <row r="1544">
      <c r="A1544" t="inlineStr">
        <is>
          <t>No</t>
        </is>
      </c>
      <c r="B1544" t="inlineStr">
        <is>
          <t>QH75 .G55 1992</t>
        </is>
      </c>
      <c r="C1544" t="inlineStr">
        <is>
          <t>0                      QH 0075000G  55          1992</t>
        </is>
      </c>
      <c r="D1544" t="inlineStr">
        <is>
          <t>Global biodiversity : status of the earth's living resources / a report compiled by the World Conservation Monitoring Centre ; in collaboration with the Natural History Museum, London ; and in association with IUCN, the World Conservation Union; UNEP, United Nations Environment Programme; WWF, World Wide Fund for Nature; and the World Resources Institute ; editor, Brian Groombridge.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L1544" t="inlineStr">
        <is>
          <t>London ; New York : Chapman &amp; Hall, 1992.</t>
        </is>
      </c>
      <c r="M1544" t="inlineStr">
        <is>
          <t>1992</t>
        </is>
      </c>
      <c r="N1544" t="inlineStr">
        <is>
          <t>1st ed.</t>
        </is>
      </c>
      <c r="O1544" t="inlineStr">
        <is>
          <t>eng</t>
        </is>
      </c>
      <c r="P1544" t="inlineStr">
        <is>
          <t>enk</t>
        </is>
      </c>
      <c r="R1544" t="inlineStr">
        <is>
          <t xml:space="preserve">QH </t>
        </is>
      </c>
      <c r="S1544" t="n">
        <v>11</v>
      </c>
      <c r="T1544" t="n">
        <v>11</v>
      </c>
      <c r="U1544" t="inlineStr">
        <is>
          <t>1996-01-23</t>
        </is>
      </c>
      <c r="V1544" t="inlineStr">
        <is>
          <t>1996-01-23</t>
        </is>
      </c>
      <c r="W1544" t="inlineStr">
        <is>
          <t>1992-11-24</t>
        </is>
      </c>
      <c r="X1544" t="inlineStr">
        <is>
          <t>1992-11-24</t>
        </is>
      </c>
      <c r="Y1544" t="n">
        <v>701</v>
      </c>
      <c r="Z1544" t="n">
        <v>483</v>
      </c>
      <c r="AA1544" t="n">
        <v>505</v>
      </c>
      <c r="AB1544" t="n">
        <v>4</v>
      </c>
      <c r="AC1544" t="n">
        <v>4</v>
      </c>
      <c r="AD1544" t="n">
        <v>20</v>
      </c>
      <c r="AE1544" t="n">
        <v>20</v>
      </c>
      <c r="AF1544" t="n">
        <v>9</v>
      </c>
      <c r="AG1544" t="n">
        <v>9</v>
      </c>
      <c r="AH1544" t="n">
        <v>3</v>
      </c>
      <c r="AI1544" t="n">
        <v>3</v>
      </c>
      <c r="AJ1544" t="n">
        <v>8</v>
      </c>
      <c r="AK1544" t="n">
        <v>8</v>
      </c>
      <c r="AL1544" t="n">
        <v>3</v>
      </c>
      <c r="AM1544" t="n">
        <v>3</v>
      </c>
      <c r="AN1544" t="n">
        <v>0</v>
      </c>
      <c r="AO1544" t="n">
        <v>0</v>
      </c>
      <c r="AP1544" t="inlineStr">
        <is>
          <t>No</t>
        </is>
      </c>
      <c r="AQ1544" t="inlineStr">
        <is>
          <t>No</t>
        </is>
      </c>
      <c r="AS1544">
        <f>HYPERLINK("https://creighton-primo.hosted.exlibrisgroup.com/primo-explore/search?tab=default_tab&amp;search_scope=EVERYTHING&amp;vid=01CRU&amp;lang=en_US&amp;offset=0&amp;query=any,contains,991002067239702656","Catalog Record")</f>
        <v/>
      </c>
      <c r="AT1544">
        <f>HYPERLINK("http://www.worldcat.org/oclc/28221856","WorldCat Record")</f>
        <v/>
      </c>
      <c r="AU1544" t="inlineStr">
        <is>
          <t>902104954:eng</t>
        </is>
      </c>
      <c r="AV1544" t="inlineStr">
        <is>
          <t>28221856</t>
        </is>
      </c>
      <c r="AW1544" t="inlineStr">
        <is>
          <t>991002067239702656</t>
        </is>
      </c>
      <c r="AX1544" t="inlineStr">
        <is>
          <t>991002067239702656</t>
        </is>
      </c>
      <c r="AY1544" t="inlineStr">
        <is>
          <t>2271411980002656</t>
        </is>
      </c>
      <c r="AZ1544" t="inlineStr">
        <is>
          <t>BOOK</t>
        </is>
      </c>
      <c r="BB1544" t="inlineStr">
        <is>
          <t>9780412472404</t>
        </is>
      </c>
      <c r="BC1544" t="inlineStr">
        <is>
          <t>32285001400109</t>
        </is>
      </c>
      <c r="BD1544" t="inlineStr">
        <is>
          <t>893439734</t>
        </is>
      </c>
    </row>
    <row r="1545">
      <c r="A1545" t="inlineStr">
        <is>
          <t>No</t>
        </is>
      </c>
      <c r="B1545" t="inlineStr">
        <is>
          <t>QH75 .H37 1984</t>
        </is>
      </c>
      <c r="C1545" t="inlineStr">
        <is>
          <t>0                      QH 0075000H  37          1984</t>
        </is>
      </c>
      <c r="D1545" t="inlineStr">
        <is>
          <t>The fragmented forest : island biogeography theory and the preservation of biotic diversity / Larry D. Harris ; with a foreword by Kenton R. Miller.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Harris, Larry D.</t>
        </is>
      </c>
      <c r="L1545" t="inlineStr">
        <is>
          <t>Chicago : University of Chicago Press, 1984.</t>
        </is>
      </c>
      <c r="M1545" t="inlineStr">
        <is>
          <t>1984</t>
        </is>
      </c>
      <c r="O1545" t="inlineStr">
        <is>
          <t>eng</t>
        </is>
      </c>
      <c r="P1545" t="inlineStr">
        <is>
          <t>ilu</t>
        </is>
      </c>
      <c r="Q1545" t="inlineStr">
        <is>
          <t>A Chicago original paperback</t>
        </is>
      </c>
      <c r="R1545" t="inlineStr">
        <is>
          <t xml:space="preserve">QH </t>
        </is>
      </c>
      <c r="S1545" t="n">
        <v>6</v>
      </c>
      <c r="T1545" t="n">
        <v>6</v>
      </c>
      <c r="U1545" t="inlineStr">
        <is>
          <t>1997-11-18</t>
        </is>
      </c>
      <c r="V1545" t="inlineStr">
        <is>
          <t>1997-11-18</t>
        </is>
      </c>
      <c r="W1545" t="inlineStr">
        <is>
          <t>1993-03-05</t>
        </is>
      </c>
      <c r="X1545" t="inlineStr">
        <is>
          <t>1993-03-05</t>
        </is>
      </c>
      <c r="Y1545" t="n">
        <v>852</v>
      </c>
      <c r="Z1545" t="n">
        <v>676</v>
      </c>
      <c r="AA1545" t="n">
        <v>701</v>
      </c>
      <c r="AB1545" t="n">
        <v>5</v>
      </c>
      <c r="AC1545" t="n">
        <v>5</v>
      </c>
      <c r="AD1545" t="n">
        <v>25</v>
      </c>
      <c r="AE1545" t="n">
        <v>26</v>
      </c>
      <c r="AF1545" t="n">
        <v>11</v>
      </c>
      <c r="AG1545" t="n">
        <v>12</v>
      </c>
      <c r="AH1545" t="n">
        <v>5</v>
      </c>
      <c r="AI1545" t="n">
        <v>6</v>
      </c>
      <c r="AJ1545" t="n">
        <v>11</v>
      </c>
      <c r="AK1545" t="n">
        <v>11</v>
      </c>
      <c r="AL1545" t="n">
        <v>4</v>
      </c>
      <c r="AM1545" t="n">
        <v>4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HYPERLINK("https://creighton-primo.hosted.exlibrisgroup.com/primo-explore/search?tab=default_tab&amp;search_scope=EVERYTHING&amp;vid=01CRU&amp;lang=en_US&amp;offset=0&amp;query=any,contains,991000375369702656","Catalog Record")</f>
        <v/>
      </c>
      <c r="AT1545">
        <f>HYPERLINK("http://www.worldcat.org/oclc/10458245","WorldCat Record")</f>
        <v/>
      </c>
      <c r="AU1545" t="inlineStr">
        <is>
          <t>827461349:eng</t>
        </is>
      </c>
      <c r="AV1545" t="inlineStr">
        <is>
          <t>10458245</t>
        </is>
      </c>
      <c r="AW1545" t="inlineStr">
        <is>
          <t>991000375369702656</t>
        </is>
      </c>
      <c r="AX1545" t="inlineStr">
        <is>
          <t>991000375369702656</t>
        </is>
      </c>
      <c r="AY1545" t="inlineStr">
        <is>
          <t>2265930840002656</t>
        </is>
      </c>
      <c r="AZ1545" t="inlineStr">
        <is>
          <t>BOOK</t>
        </is>
      </c>
      <c r="BB1545" t="inlineStr">
        <is>
          <t>9780226317632</t>
        </is>
      </c>
      <c r="BC1545" t="inlineStr">
        <is>
          <t>32285001551182</t>
        </is>
      </c>
      <c r="BD1545" t="inlineStr">
        <is>
          <t>893345589</t>
        </is>
      </c>
    </row>
    <row r="1546">
      <c r="A1546" t="inlineStr">
        <is>
          <t>No</t>
        </is>
      </c>
      <c r="B1546" t="inlineStr">
        <is>
          <t>QH75 .H38 1997</t>
        </is>
      </c>
      <c r="C1546" t="inlineStr">
        <is>
          <t>0                      QH 0075000H  38          1997</t>
        </is>
      </c>
      <c r="D1546" t="inlineStr">
        <is>
          <t>Harvesting wild species : implications for biodiversity conservation / edited by Curtis H. Freese.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Baltimore : Johns Hopkins University Press, 1997.</t>
        </is>
      </c>
      <c r="M1546" t="inlineStr">
        <is>
          <t>1997</t>
        </is>
      </c>
      <c r="O1546" t="inlineStr">
        <is>
          <t>eng</t>
        </is>
      </c>
      <c r="P1546" t="inlineStr">
        <is>
          <t>mdu</t>
        </is>
      </c>
      <c r="R1546" t="inlineStr">
        <is>
          <t xml:space="preserve">QH </t>
        </is>
      </c>
      <c r="S1546" t="n">
        <v>10</v>
      </c>
      <c r="T1546" t="n">
        <v>10</v>
      </c>
      <c r="U1546" t="inlineStr">
        <is>
          <t>2002-04-29</t>
        </is>
      </c>
      <c r="V1546" t="inlineStr">
        <is>
          <t>2002-04-29</t>
        </is>
      </c>
      <c r="W1546" t="inlineStr">
        <is>
          <t>1998-04-23</t>
        </is>
      </c>
      <c r="X1546" t="inlineStr">
        <is>
          <t>1998-04-23</t>
        </is>
      </c>
      <c r="Y1546" t="n">
        <v>426</v>
      </c>
      <c r="Z1546" t="n">
        <v>337</v>
      </c>
      <c r="AA1546" t="n">
        <v>343</v>
      </c>
      <c r="AB1546" t="n">
        <v>5</v>
      </c>
      <c r="AC1546" t="n">
        <v>5</v>
      </c>
      <c r="AD1546" t="n">
        <v>17</v>
      </c>
      <c r="AE1546" t="n">
        <v>17</v>
      </c>
      <c r="AF1546" t="n">
        <v>2</v>
      </c>
      <c r="AG1546" t="n">
        <v>2</v>
      </c>
      <c r="AH1546" t="n">
        <v>4</v>
      </c>
      <c r="AI1546" t="n">
        <v>4</v>
      </c>
      <c r="AJ1546" t="n">
        <v>10</v>
      </c>
      <c r="AK1546" t="n">
        <v>10</v>
      </c>
      <c r="AL1546" t="n">
        <v>4</v>
      </c>
      <c r="AM1546" t="n">
        <v>4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Yes</t>
        </is>
      </c>
      <c r="AR1546">
        <f>HYPERLINK("http://catalog.hathitrust.org/Record/003168382","HathiTrust Record")</f>
        <v/>
      </c>
      <c r="AS1546">
        <f>HYPERLINK("https://creighton-primo.hosted.exlibrisgroup.com/primo-explore/search?tab=default_tab&amp;search_scope=EVERYTHING&amp;vid=01CRU&amp;lang=en_US&amp;offset=0&amp;query=any,contains,991002750589702656","Catalog Record")</f>
        <v/>
      </c>
      <c r="AT1546">
        <f>HYPERLINK("http://www.worldcat.org/oclc/36086911","WorldCat Record")</f>
        <v/>
      </c>
      <c r="AU1546" t="inlineStr">
        <is>
          <t>795063896:eng</t>
        </is>
      </c>
      <c r="AV1546" t="inlineStr">
        <is>
          <t>36086911</t>
        </is>
      </c>
      <c r="AW1546" t="inlineStr">
        <is>
          <t>991002750589702656</t>
        </is>
      </c>
      <c r="AX1546" t="inlineStr">
        <is>
          <t>991002750589702656</t>
        </is>
      </c>
      <c r="AY1546" t="inlineStr">
        <is>
          <t>2266162840002656</t>
        </is>
      </c>
      <c r="AZ1546" t="inlineStr">
        <is>
          <t>BOOK</t>
        </is>
      </c>
      <c r="BB1546" t="inlineStr">
        <is>
          <t>9780801855733</t>
        </is>
      </c>
      <c r="BC1546" t="inlineStr">
        <is>
          <t>32285003377404</t>
        </is>
      </c>
      <c r="BD1546" t="inlineStr">
        <is>
          <t>893317215</t>
        </is>
      </c>
    </row>
    <row r="1547">
      <c r="A1547" t="inlineStr">
        <is>
          <t>No</t>
        </is>
      </c>
      <c r="B1547" t="inlineStr">
        <is>
          <t>QH75 .H84 1996</t>
        </is>
      </c>
      <c r="C1547" t="inlineStr">
        <is>
          <t>0                      QH 0075000H  84          1996</t>
        </is>
      </c>
      <c r="D1547" t="inlineStr">
        <is>
          <t>Fundamentals of conservation biology / Malcolm L. Hunter, Jr. ; illustrated by Andrea Sulzer.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Hunter, Malcolm L.</t>
        </is>
      </c>
      <c r="L1547" t="inlineStr">
        <is>
          <t>Cambridge, Mass. : Blackwell Science, c1996.</t>
        </is>
      </c>
      <c r="M1547" t="inlineStr">
        <is>
          <t>1996</t>
        </is>
      </c>
      <c r="O1547" t="inlineStr">
        <is>
          <t>eng</t>
        </is>
      </c>
      <c r="P1547" t="inlineStr">
        <is>
          <t>mau</t>
        </is>
      </c>
      <c r="R1547" t="inlineStr">
        <is>
          <t xml:space="preserve">QH </t>
        </is>
      </c>
      <c r="S1547" t="n">
        <v>7</v>
      </c>
      <c r="T1547" t="n">
        <v>7</v>
      </c>
      <c r="U1547" t="inlineStr">
        <is>
          <t>1997-07-31</t>
        </is>
      </c>
      <c r="V1547" t="inlineStr">
        <is>
          <t>1997-07-31</t>
        </is>
      </c>
      <c r="W1547" t="inlineStr">
        <is>
          <t>1996-06-04</t>
        </is>
      </c>
      <c r="X1547" t="inlineStr">
        <is>
          <t>1996-06-04</t>
        </is>
      </c>
      <c r="Y1547" t="n">
        <v>308</v>
      </c>
      <c r="Z1547" t="n">
        <v>194</v>
      </c>
      <c r="AA1547" t="n">
        <v>365</v>
      </c>
      <c r="AB1547" t="n">
        <v>1</v>
      </c>
      <c r="AC1547" t="n">
        <v>1</v>
      </c>
      <c r="AD1547" t="n">
        <v>2</v>
      </c>
      <c r="AE1547" t="n">
        <v>9</v>
      </c>
      <c r="AF1547" t="n">
        <v>0</v>
      </c>
      <c r="AG1547" t="n">
        <v>3</v>
      </c>
      <c r="AH1547" t="n">
        <v>1</v>
      </c>
      <c r="AI1547" t="n">
        <v>3</v>
      </c>
      <c r="AJ1547" t="n">
        <v>1</v>
      </c>
      <c r="AK1547" t="n">
        <v>5</v>
      </c>
      <c r="AL1547" t="n">
        <v>0</v>
      </c>
      <c r="AM1547" t="n">
        <v>0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HYPERLINK("https://creighton-primo.hosted.exlibrisgroup.com/primo-explore/search?tab=default_tab&amp;search_scope=EVERYTHING&amp;vid=01CRU&amp;lang=en_US&amp;offset=0&amp;query=any,contains,991002531749702656","Catalog Record")</f>
        <v/>
      </c>
      <c r="AT1547">
        <f>HYPERLINK("http://www.worldcat.org/oclc/32893975","WorldCat Record")</f>
        <v/>
      </c>
      <c r="AU1547" t="inlineStr">
        <is>
          <t>1090083:eng</t>
        </is>
      </c>
      <c r="AV1547" t="inlineStr">
        <is>
          <t>32893975</t>
        </is>
      </c>
      <c r="AW1547" t="inlineStr">
        <is>
          <t>991002531749702656</t>
        </is>
      </c>
      <c r="AX1547" t="inlineStr">
        <is>
          <t>991002531749702656</t>
        </is>
      </c>
      <c r="AY1547" t="inlineStr">
        <is>
          <t>2258115750002656</t>
        </is>
      </c>
      <c r="AZ1547" t="inlineStr">
        <is>
          <t>BOOK</t>
        </is>
      </c>
      <c r="BB1547" t="inlineStr">
        <is>
          <t>9780865423718</t>
        </is>
      </c>
      <c r="BC1547" t="inlineStr">
        <is>
          <t>32285002186970</t>
        </is>
      </c>
      <c r="BD1547" t="inlineStr">
        <is>
          <t>893504500</t>
        </is>
      </c>
    </row>
    <row r="1548">
      <c r="A1548" t="inlineStr">
        <is>
          <t>No</t>
        </is>
      </c>
      <c r="B1548" t="inlineStr">
        <is>
          <t>QH75 .H85 1990</t>
        </is>
      </c>
      <c r="C1548" t="inlineStr">
        <is>
          <t>0                      QH 0075000H  85          1990</t>
        </is>
      </c>
      <c r="D1548" t="inlineStr">
        <is>
          <t>Wildlife, forests, and forestry : principles of managing forests for biological diversity / Malcolm L. Hunter, Jr. ; illustrated by Diane Bowman.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K1548" t="inlineStr">
        <is>
          <t>Hunter, Malcolm L.</t>
        </is>
      </c>
      <c r="L1548" t="inlineStr">
        <is>
          <t>Englewood Cliffs, N.J. : Prentice-Hall, c1990.</t>
        </is>
      </c>
      <c r="M1548" t="inlineStr">
        <is>
          <t>1990</t>
        </is>
      </c>
      <c r="O1548" t="inlineStr">
        <is>
          <t>eng</t>
        </is>
      </c>
      <c r="P1548" t="inlineStr">
        <is>
          <t>nju</t>
        </is>
      </c>
      <c r="R1548" t="inlineStr">
        <is>
          <t xml:space="preserve">QH </t>
        </is>
      </c>
      <c r="S1548" t="n">
        <v>16</v>
      </c>
      <c r="T1548" t="n">
        <v>16</v>
      </c>
      <c r="U1548" t="inlineStr">
        <is>
          <t>2001-11-07</t>
        </is>
      </c>
      <c r="V1548" t="inlineStr">
        <is>
          <t>2001-11-07</t>
        </is>
      </c>
      <c r="W1548" t="inlineStr">
        <is>
          <t>1994-01-20</t>
        </is>
      </c>
      <c r="X1548" t="inlineStr">
        <is>
          <t>1994-01-20</t>
        </is>
      </c>
      <c r="Y1548" t="n">
        <v>405</v>
      </c>
      <c r="Z1548" t="n">
        <v>292</v>
      </c>
      <c r="AA1548" t="n">
        <v>336</v>
      </c>
      <c r="AB1548" t="n">
        <v>3</v>
      </c>
      <c r="AC1548" t="n">
        <v>3</v>
      </c>
      <c r="AD1548" t="n">
        <v>9</v>
      </c>
      <c r="AE1548" t="n">
        <v>10</v>
      </c>
      <c r="AF1548" t="n">
        <v>1</v>
      </c>
      <c r="AG1548" t="n">
        <v>2</v>
      </c>
      <c r="AH1548" t="n">
        <v>1</v>
      </c>
      <c r="AI1548" t="n">
        <v>1</v>
      </c>
      <c r="AJ1548" t="n">
        <v>4</v>
      </c>
      <c r="AK1548" t="n">
        <v>4</v>
      </c>
      <c r="AL1548" t="n">
        <v>2</v>
      </c>
      <c r="AM1548" t="n">
        <v>2</v>
      </c>
      <c r="AN1548" t="n">
        <v>1</v>
      </c>
      <c r="AO1548" t="n">
        <v>1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HYPERLINK("http://catalog.hathitrust.org/Record/002060001","HathiTrust Record")</f>
        <v/>
      </c>
      <c r="AS1548">
        <f>HYPERLINK("https://creighton-primo.hosted.exlibrisgroup.com/primo-explore/search?tab=default_tab&amp;search_scope=EVERYTHING&amp;vid=01CRU&amp;lang=en_US&amp;offset=0&amp;query=any,contains,991001525839702656","Catalog Record")</f>
        <v/>
      </c>
      <c r="AT1548">
        <f>HYPERLINK("http://www.worldcat.org/oclc/20012653","WorldCat Record")</f>
        <v/>
      </c>
      <c r="AU1548" t="inlineStr">
        <is>
          <t>890576663:eng</t>
        </is>
      </c>
      <c r="AV1548" t="inlineStr">
        <is>
          <t>20012653</t>
        </is>
      </c>
      <c r="AW1548" t="inlineStr">
        <is>
          <t>991001525839702656</t>
        </is>
      </c>
      <c r="AX1548" t="inlineStr">
        <is>
          <t>991001525839702656</t>
        </is>
      </c>
      <c r="AY1548" t="inlineStr">
        <is>
          <t>2260859270002656</t>
        </is>
      </c>
      <c r="AZ1548" t="inlineStr">
        <is>
          <t>BOOK</t>
        </is>
      </c>
      <c r="BB1548" t="inlineStr">
        <is>
          <t>9780139594793</t>
        </is>
      </c>
      <c r="BC1548" t="inlineStr">
        <is>
          <t>32285001832475</t>
        </is>
      </c>
      <c r="BD1548" t="inlineStr">
        <is>
          <t>893715503</t>
        </is>
      </c>
    </row>
    <row r="1549">
      <c r="A1549" t="inlineStr">
        <is>
          <t>No</t>
        </is>
      </c>
      <c r="B1549" t="inlineStr">
        <is>
          <t>QH75 .M32 1988</t>
        </is>
      </c>
      <c r="C1549" t="inlineStr">
        <is>
          <t>0                      QH 0075000M  32          1988</t>
        </is>
      </c>
      <c r="D1549" t="inlineStr">
        <is>
          <t>Ecological diversity and its measurement / Anne E. Magurran.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Magurran, Anne E., 1955-</t>
        </is>
      </c>
      <c r="L1549" t="inlineStr">
        <is>
          <t>Princeton, N.J. : Princeton University Press, [1988]</t>
        </is>
      </c>
      <c r="M1549" t="inlineStr">
        <is>
          <t>1988</t>
        </is>
      </c>
      <c r="O1549" t="inlineStr">
        <is>
          <t>eng</t>
        </is>
      </c>
      <c r="P1549" t="inlineStr">
        <is>
          <t>nju</t>
        </is>
      </c>
      <c r="R1549" t="inlineStr">
        <is>
          <t xml:space="preserve">QH </t>
        </is>
      </c>
      <c r="S1549" t="n">
        <v>6</v>
      </c>
      <c r="T1549" t="n">
        <v>6</v>
      </c>
      <c r="U1549" t="inlineStr">
        <is>
          <t>1997-04-10</t>
        </is>
      </c>
      <c r="V1549" t="inlineStr">
        <is>
          <t>1997-04-10</t>
        </is>
      </c>
      <c r="W1549" t="inlineStr">
        <is>
          <t>1993-03-16</t>
        </is>
      </c>
      <c r="X1549" t="inlineStr">
        <is>
          <t>1993-03-16</t>
        </is>
      </c>
      <c r="Y1549" t="n">
        <v>624</v>
      </c>
      <c r="Z1549" t="n">
        <v>507</v>
      </c>
      <c r="AA1549" t="n">
        <v>534</v>
      </c>
      <c r="AB1549" t="n">
        <v>3</v>
      </c>
      <c r="AC1549" t="n">
        <v>3</v>
      </c>
      <c r="AD1549" t="n">
        <v>18</v>
      </c>
      <c r="AE1549" t="n">
        <v>20</v>
      </c>
      <c r="AF1549" t="n">
        <v>5</v>
      </c>
      <c r="AG1549" t="n">
        <v>7</v>
      </c>
      <c r="AH1549" t="n">
        <v>4</v>
      </c>
      <c r="AI1549" t="n">
        <v>5</v>
      </c>
      <c r="AJ1549" t="n">
        <v>12</v>
      </c>
      <c r="AK1549" t="n">
        <v>13</v>
      </c>
      <c r="AL1549" t="n">
        <v>2</v>
      </c>
      <c r="AM1549" t="n">
        <v>2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HYPERLINK("https://creighton-primo.hosted.exlibrisgroup.com/primo-explore/search?tab=default_tab&amp;search_scope=EVERYTHING&amp;vid=01CRU&amp;lang=en_US&amp;offset=0&amp;query=any,contains,991001274569702656","Catalog Record")</f>
        <v/>
      </c>
      <c r="AT1549">
        <f>HYPERLINK("http://www.worldcat.org/oclc/17872611","WorldCat Record")</f>
        <v/>
      </c>
      <c r="AU1549" t="inlineStr">
        <is>
          <t>892778:eng</t>
        </is>
      </c>
      <c r="AV1549" t="inlineStr">
        <is>
          <t>17872611</t>
        </is>
      </c>
      <c r="AW1549" t="inlineStr">
        <is>
          <t>991001274569702656</t>
        </is>
      </c>
      <c r="AX1549" t="inlineStr">
        <is>
          <t>991001274569702656</t>
        </is>
      </c>
      <c r="AY1549" t="inlineStr">
        <is>
          <t>2268850640002656</t>
        </is>
      </c>
      <c r="AZ1549" t="inlineStr">
        <is>
          <t>BOOK</t>
        </is>
      </c>
      <c r="BB1549" t="inlineStr">
        <is>
          <t>9780691084916</t>
        </is>
      </c>
      <c r="BC1549" t="inlineStr">
        <is>
          <t>32285001497691</t>
        </is>
      </c>
      <c r="BD1549" t="inlineStr">
        <is>
          <t>893328028</t>
        </is>
      </c>
    </row>
    <row r="1550">
      <c r="A1550" t="inlineStr">
        <is>
          <t>No</t>
        </is>
      </c>
      <c r="B1550" t="inlineStr">
        <is>
          <t>QH75 .M37 2007</t>
        </is>
      </c>
      <c r="C1550" t="inlineStr">
        <is>
          <t>0                      QH 0075000M  37          2007</t>
        </is>
      </c>
      <c r="D1550" t="inlineStr">
        <is>
          <t>Systematic conservation planning / Christopher R. Margules, Sahotra Sarkar.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K1550" t="inlineStr">
        <is>
          <t>Margules, C. R. (Christopher Robert)</t>
        </is>
      </c>
      <c r="L1550" t="inlineStr">
        <is>
          <t>Cambridge ; New York : Cambridge University Press, 2007.</t>
        </is>
      </c>
      <c r="M1550" t="inlineStr">
        <is>
          <t>2007</t>
        </is>
      </c>
      <c r="O1550" t="inlineStr">
        <is>
          <t>eng</t>
        </is>
      </c>
      <c r="P1550" t="inlineStr">
        <is>
          <t>enk</t>
        </is>
      </c>
      <c r="Q1550" t="inlineStr">
        <is>
          <t>Ecology, biodiversity, and conservation</t>
        </is>
      </c>
      <c r="R1550" t="inlineStr">
        <is>
          <t xml:space="preserve">QH </t>
        </is>
      </c>
      <c r="S1550" t="n">
        <v>1</v>
      </c>
      <c r="T1550" t="n">
        <v>1</v>
      </c>
      <c r="U1550" t="inlineStr">
        <is>
          <t>2007-12-12</t>
        </is>
      </c>
      <c r="V1550" t="inlineStr">
        <is>
          <t>2007-12-12</t>
        </is>
      </c>
      <c r="W1550" t="inlineStr">
        <is>
          <t>2007-12-12</t>
        </is>
      </c>
      <c r="X1550" t="inlineStr">
        <is>
          <t>2007-12-12</t>
        </is>
      </c>
      <c r="Y1550" t="n">
        <v>238</v>
      </c>
      <c r="Z1550" t="n">
        <v>140</v>
      </c>
      <c r="AA1550" t="n">
        <v>140</v>
      </c>
      <c r="AB1550" t="n">
        <v>2</v>
      </c>
      <c r="AC1550" t="n">
        <v>2</v>
      </c>
      <c r="AD1550" t="n">
        <v>3</v>
      </c>
      <c r="AE1550" t="n">
        <v>3</v>
      </c>
      <c r="AF1550" t="n">
        <v>1</v>
      </c>
      <c r="AG1550" t="n">
        <v>1</v>
      </c>
      <c r="AH1550" t="n">
        <v>0</v>
      </c>
      <c r="AI1550" t="n">
        <v>0</v>
      </c>
      <c r="AJ1550" t="n">
        <v>1</v>
      </c>
      <c r="AK1550" t="n">
        <v>1</v>
      </c>
      <c r="AL1550" t="n">
        <v>1</v>
      </c>
      <c r="AM1550" t="n">
        <v>1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HYPERLINK("https://creighton-primo.hosted.exlibrisgroup.com/primo-explore/search?tab=default_tab&amp;search_scope=EVERYTHING&amp;vid=01CRU&amp;lang=en_US&amp;offset=0&amp;query=any,contains,991005156159702656","Catalog Record")</f>
        <v/>
      </c>
      <c r="AT1550">
        <f>HYPERLINK("http://www.worldcat.org/oclc/144226150","WorldCat Record")</f>
        <v/>
      </c>
      <c r="AU1550" t="inlineStr">
        <is>
          <t>103205806:eng</t>
        </is>
      </c>
      <c r="AV1550" t="inlineStr">
        <is>
          <t>144226150</t>
        </is>
      </c>
      <c r="AW1550" t="inlineStr">
        <is>
          <t>991005156159702656</t>
        </is>
      </c>
      <c r="AX1550" t="inlineStr">
        <is>
          <t>991005156159702656</t>
        </is>
      </c>
      <c r="AY1550" t="inlineStr">
        <is>
          <t>2266787010002656</t>
        </is>
      </c>
      <c r="AZ1550" t="inlineStr">
        <is>
          <t>BOOK</t>
        </is>
      </c>
      <c r="BB1550" t="inlineStr">
        <is>
          <t>9780521703444</t>
        </is>
      </c>
      <c r="BC1550" t="inlineStr">
        <is>
          <t>32285005371348</t>
        </is>
      </c>
      <c r="BD1550" t="inlineStr">
        <is>
          <t>893501419</t>
        </is>
      </c>
    </row>
    <row r="1551">
      <c r="A1551" t="inlineStr">
        <is>
          <t>No</t>
        </is>
      </c>
      <c r="B1551" t="inlineStr">
        <is>
          <t>QH75 .M386 1994</t>
        </is>
      </c>
      <c r="C1551" t="inlineStr">
        <is>
          <t>0                      QH 0075000M  386         1994</t>
        </is>
      </c>
      <c r="D1551" t="inlineStr">
        <is>
          <t>Principles of conservation biology / Gary K. Meffe, C. Ronald Carroll, and contributors.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K1551" t="inlineStr">
        <is>
          <t>Meffe, Gary K.</t>
        </is>
      </c>
      <c r="L1551" t="inlineStr">
        <is>
          <t>Sunderland, Mass. : Sinauer Associates, c1994.</t>
        </is>
      </c>
      <c r="M1551" t="inlineStr">
        <is>
          <t>1994</t>
        </is>
      </c>
      <c r="O1551" t="inlineStr">
        <is>
          <t>eng</t>
        </is>
      </c>
      <c r="P1551" t="inlineStr">
        <is>
          <t>mau</t>
        </is>
      </c>
      <c r="R1551" t="inlineStr">
        <is>
          <t xml:space="preserve">QH </t>
        </is>
      </c>
      <c r="S1551" t="n">
        <v>9</v>
      </c>
      <c r="T1551" t="n">
        <v>9</v>
      </c>
      <c r="U1551" t="inlineStr">
        <is>
          <t>1997-07-31</t>
        </is>
      </c>
      <c r="V1551" t="inlineStr">
        <is>
          <t>1997-07-31</t>
        </is>
      </c>
      <c r="W1551" t="inlineStr">
        <is>
          <t>1995-01-25</t>
        </is>
      </c>
      <c r="X1551" t="inlineStr">
        <is>
          <t>1995-01-25</t>
        </is>
      </c>
      <c r="Y1551" t="n">
        <v>435</v>
      </c>
      <c r="Z1551" t="n">
        <v>276</v>
      </c>
      <c r="AA1551" t="n">
        <v>587</v>
      </c>
      <c r="AB1551" t="n">
        <v>2</v>
      </c>
      <c r="AC1551" t="n">
        <v>4</v>
      </c>
      <c r="AD1551" t="n">
        <v>9</v>
      </c>
      <c r="AE1551" t="n">
        <v>16</v>
      </c>
      <c r="AF1551" t="n">
        <v>2</v>
      </c>
      <c r="AG1551" t="n">
        <v>3</v>
      </c>
      <c r="AH1551" t="n">
        <v>3</v>
      </c>
      <c r="AI1551" t="n">
        <v>4</v>
      </c>
      <c r="AJ1551" t="n">
        <v>6</v>
      </c>
      <c r="AK1551" t="n">
        <v>9</v>
      </c>
      <c r="AL1551" t="n">
        <v>1</v>
      </c>
      <c r="AM1551" t="n">
        <v>3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HYPERLINK("http://catalog.hathitrust.org/Record/002906698","HathiTrust Record")</f>
        <v/>
      </c>
      <c r="AS1551">
        <f>HYPERLINK("https://creighton-primo.hosted.exlibrisgroup.com/primo-explore/search?tab=default_tab&amp;search_scope=EVERYTHING&amp;vid=01CRU&amp;lang=en_US&amp;offset=0&amp;query=any,contains,991002282959702656","Catalog Record")</f>
        <v/>
      </c>
      <c r="AT1551">
        <f>HYPERLINK("http://www.worldcat.org/oclc/29597218","WorldCat Record")</f>
        <v/>
      </c>
      <c r="AU1551" t="inlineStr">
        <is>
          <t>13121169:eng</t>
        </is>
      </c>
      <c r="AV1551" t="inlineStr">
        <is>
          <t>29597218</t>
        </is>
      </c>
      <c r="AW1551" t="inlineStr">
        <is>
          <t>991002282959702656</t>
        </is>
      </c>
      <c r="AX1551" t="inlineStr">
        <is>
          <t>991002282959702656</t>
        </is>
      </c>
      <c r="AY1551" t="inlineStr">
        <is>
          <t>2261302660002656</t>
        </is>
      </c>
      <c r="AZ1551" t="inlineStr">
        <is>
          <t>BOOK</t>
        </is>
      </c>
      <c r="BB1551" t="inlineStr">
        <is>
          <t>9780878935192</t>
        </is>
      </c>
      <c r="BC1551" t="inlineStr">
        <is>
          <t>32285001994481</t>
        </is>
      </c>
      <c r="BD1551" t="inlineStr">
        <is>
          <t>893529776</t>
        </is>
      </c>
    </row>
    <row r="1552">
      <c r="A1552" t="inlineStr">
        <is>
          <t>No</t>
        </is>
      </c>
      <c r="B1552" t="inlineStr">
        <is>
          <t>QH75 .M42 2001</t>
        </is>
      </c>
      <c r="C1552" t="inlineStr">
        <is>
          <t>0                      QH 0075000M  42          2001</t>
        </is>
      </c>
      <c r="D1552" t="inlineStr">
        <is>
          <t>Biodiversity and conservation / Gabriel Melchias.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Melchias, Gabriel.</t>
        </is>
      </c>
      <c r="L1552" t="inlineStr">
        <is>
          <t>Enfield, N.H. : Science ; Plymouth : Plymbridge, 2001.</t>
        </is>
      </c>
      <c r="M1552" t="inlineStr">
        <is>
          <t>2001</t>
        </is>
      </c>
      <c r="O1552" t="inlineStr">
        <is>
          <t>eng</t>
        </is>
      </c>
      <c r="P1552" t="inlineStr">
        <is>
          <t>nhu</t>
        </is>
      </c>
      <c r="R1552" t="inlineStr">
        <is>
          <t xml:space="preserve">QH </t>
        </is>
      </c>
      <c r="S1552" t="n">
        <v>1</v>
      </c>
      <c r="T1552" t="n">
        <v>1</v>
      </c>
      <c r="U1552" t="inlineStr">
        <is>
          <t>2001-10-16</t>
        </is>
      </c>
      <c r="V1552" t="inlineStr">
        <is>
          <t>2001-10-16</t>
        </is>
      </c>
      <c r="W1552" t="inlineStr">
        <is>
          <t>2001-10-16</t>
        </is>
      </c>
      <c r="X1552" t="inlineStr">
        <is>
          <t>2001-10-16</t>
        </is>
      </c>
      <c r="Y1552" t="n">
        <v>289</v>
      </c>
      <c r="Z1552" t="n">
        <v>223</v>
      </c>
      <c r="AA1552" t="n">
        <v>224</v>
      </c>
      <c r="AB1552" t="n">
        <v>3</v>
      </c>
      <c r="AC1552" t="n">
        <v>3</v>
      </c>
      <c r="AD1552" t="n">
        <v>7</v>
      </c>
      <c r="AE1552" t="n">
        <v>7</v>
      </c>
      <c r="AF1552" t="n">
        <v>3</v>
      </c>
      <c r="AG1552" t="n">
        <v>3</v>
      </c>
      <c r="AH1552" t="n">
        <v>1</v>
      </c>
      <c r="AI1552" t="n">
        <v>1</v>
      </c>
      <c r="AJ1552" t="n">
        <v>2</v>
      </c>
      <c r="AK1552" t="n">
        <v>2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HYPERLINK("http://catalog.hathitrust.org/Record/004194741","HathiTrust Record")</f>
        <v/>
      </c>
      <c r="AS1552">
        <f>HYPERLINK("https://creighton-primo.hosted.exlibrisgroup.com/primo-explore/search?tab=default_tab&amp;search_scope=EVERYTHING&amp;vid=01CRU&amp;lang=en_US&amp;offset=0&amp;query=any,contains,991003616359702656","Catalog Record")</f>
        <v/>
      </c>
      <c r="AT1552">
        <f>HYPERLINK("http://www.worldcat.org/oclc/45853232","WorldCat Record")</f>
        <v/>
      </c>
      <c r="AU1552" t="inlineStr">
        <is>
          <t>35086745:eng</t>
        </is>
      </c>
      <c r="AV1552" t="inlineStr">
        <is>
          <t>45853232</t>
        </is>
      </c>
      <c r="AW1552" t="inlineStr">
        <is>
          <t>991003616359702656</t>
        </is>
      </c>
      <c r="AX1552" t="inlineStr">
        <is>
          <t>991003616359702656</t>
        </is>
      </c>
      <c r="AY1552" t="inlineStr">
        <is>
          <t>2261986870002656</t>
        </is>
      </c>
      <c r="AZ1552" t="inlineStr">
        <is>
          <t>BOOK</t>
        </is>
      </c>
      <c r="BB1552" t="inlineStr">
        <is>
          <t>9781578081462</t>
        </is>
      </c>
      <c r="BC1552" t="inlineStr">
        <is>
          <t>32285004397492</t>
        </is>
      </c>
      <c r="BD1552" t="inlineStr">
        <is>
          <t>893512148</t>
        </is>
      </c>
    </row>
    <row r="1553">
      <c r="A1553" t="inlineStr">
        <is>
          <t>No</t>
        </is>
      </c>
      <c r="B1553" t="inlineStr">
        <is>
          <t>QH75 .M495 1996</t>
        </is>
      </c>
      <c r="C1553" t="inlineStr">
        <is>
          <t>0                      QH 0075000M  495         1996</t>
        </is>
      </c>
      <c r="D1553" t="inlineStr">
        <is>
          <t>Balancing the scales : guidelines for increasing biodiversity's chances through bioregional management / Kenton R. Miller.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Miller, Kenton.</t>
        </is>
      </c>
      <c r="L1553" t="inlineStr">
        <is>
          <t>Washington, DC : World Resources Institute, [1996]</t>
        </is>
      </c>
      <c r="M1553" t="inlineStr">
        <is>
          <t>1996</t>
        </is>
      </c>
      <c r="O1553" t="inlineStr">
        <is>
          <t>eng</t>
        </is>
      </c>
      <c r="P1553" t="inlineStr">
        <is>
          <t>dcu</t>
        </is>
      </c>
      <c r="R1553" t="inlineStr">
        <is>
          <t xml:space="preserve">QH </t>
        </is>
      </c>
      <c r="S1553" t="n">
        <v>3</v>
      </c>
      <c r="T1553" t="n">
        <v>3</v>
      </c>
      <c r="U1553" t="inlineStr">
        <is>
          <t>1997-03-07</t>
        </is>
      </c>
      <c r="V1553" t="inlineStr">
        <is>
          <t>1997-03-07</t>
        </is>
      </c>
      <c r="W1553" t="inlineStr">
        <is>
          <t>1996-07-30</t>
        </is>
      </c>
      <c r="X1553" t="inlineStr">
        <is>
          <t>1996-07-30</t>
        </is>
      </c>
      <c r="Y1553" t="n">
        <v>236</v>
      </c>
      <c r="Z1553" t="n">
        <v>177</v>
      </c>
      <c r="AA1553" t="n">
        <v>183</v>
      </c>
      <c r="AB1553" t="n">
        <v>2</v>
      </c>
      <c r="AC1553" t="n">
        <v>2</v>
      </c>
      <c r="AD1553" t="n">
        <v>7</v>
      </c>
      <c r="AE1553" t="n">
        <v>7</v>
      </c>
      <c r="AF1553" t="n">
        <v>2</v>
      </c>
      <c r="AG1553" t="n">
        <v>2</v>
      </c>
      <c r="AH1553" t="n">
        <v>1</v>
      </c>
      <c r="AI1553" t="n">
        <v>1</v>
      </c>
      <c r="AJ1553" t="n">
        <v>3</v>
      </c>
      <c r="AK1553" t="n">
        <v>3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Yes</t>
        </is>
      </c>
      <c r="AR1553">
        <f>HYPERLINK("http://catalog.hathitrust.org/Record/003096391","HathiTrust Record")</f>
        <v/>
      </c>
      <c r="AS1553">
        <f>HYPERLINK("https://creighton-primo.hosted.exlibrisgroup.com/primo-explore/search?tab=default_tab&amp;search_scope=EVERYTHING&amp;vid=01CRU&amp;lang=en_US&amp;offset=0&amp;query=any,contains,991002616989702656","Catalog Record")</f>
        <v/>
      </c>
      <c r="AT1553">
        <f>HYPERLINK("http://www.worldcat.org/oclc/34309354","WorldCat Record")</f>
        <v/>
      </c>
      <c r="AU1553" t="inlineStr">
        <is>
          <t>890688333:eng</t>
        </is>
      </c>
      <c r="AV1553" t="inlineStr">
        <is>
          <t>34309354</t>
        </is>
      </c>
      <c r="AW1553" t="inlineStr">
        <is>
          <t>991002616989702656</t>
        </is>
      </c>
      <c r="AX1553" t="inlineStr">
        <is>
          <t>991002616989702656</t>
        </is>
      </c>
      <c r="AY1553" t="inlineStr">
        <is>
          <t>2265236770002656</t>
        </is>
      </c>
      <c r="AZ1553" t="inlineStr">
        <is>
          <t>BOOK</t>
        </is>
      </c>
      <c r="BB1553" t="inlineStr">
        <is>
          <t>9780915825851</t>
        </is>
      </c>
      <c r="BC1553" t="inlineStr">
        <is>
          <t>32285002208675</t>
        </is>
      </c>
      <c r="BD1553" t="inlineStr">
        <is>
          <t>893415425</t>
        </is>
      </c>
    </row>
    <row r="1554">
      <c r="A1554" t="inlineStr">
        <is>
          <t>No</t>
        </is>
      </c>
      <c r="B1554" t="inlineStr">
        <is>
          <t>QH75 .P46 1986</t>
        </is>
      </c>
      <c r="C1554" t="inlineStr">
        <is>
          <t>0                      QH 0075000P  46          1986</t>
        </is>
      </c>
      <c r="D1554" t="inlineStr">
        <is>
          <t>People, penguins, and plastic trees : basic issues in environmental ethics / edited by Donald VanDeVeer and Christine Pierce.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Belmont, Calif. : Wadsworth Pub. Co., c1986.</t>
        </is>
      </c>
      <c r="M1554" t="inlineStr">
        <is>
          <t>1986</t>
        </is>
      </c>
      <c r="O1554" t="inlineStr">
        <is>
          <t>eng</t>
        </is>
      </c>
      <c r="P1554" t="inlineStr">
        <is>
          <t>cau</t>
        </is>
      </c>
      <c r="R1554" t="inlineStr">
        <is>
          <t xml:space="preserve">QH </t>
        </is>
      </c>
      <c r="S1554" t="n">
        <v>12</v>
      </c>
      <c r="T1554" t="n">
        <v>12</v>
      </c>
      <c r="U1554" t="inlineStr">
        <is>
          <t>1994-11-04</t>
        </is>
      </c>
      <c r="V1554" t="inlineStr">
        <is>
          <t>1994-11-04</t>
        </is>
      </c>
      <c r="W1554" t="inlineStr">
        <is>
          <t>1992-04-14</t>
        </is>
      </c>
      <c r="X1554" t="inlineStr">
        <is>
          <t>1992-04-14</t>
        </is>
      </c>
      <c r="Y1554" t="n">
        <v>302</v>
      </c>
      <c r="Z1554" t="n">
        <v>237</v>
      </c>
      <c r="AA1554" t="n">
        <v>381</v>
      </c>
      <c r="AB1554" t="n">
        <v>2</v>
      </c>
      <c r="AC1554" t="n">
        <v>4</v>
      </c>
      <c r="AD1554" t="n">
        <v>12</v>
      </c>
      <c r="AE1554" t="n">
        <v>17</v>
      </c>
      <c r="AF1554" t="n">
        <v>4</v>
      </c>
      <c r="AG1554" t="n">
        <v>6</v>
      </c>
      <c r="AH1554" t="n">
        <v>2</v>
      </c>
      <c r="AI1554" t="n">
        <v>2</v>
      </c>
      <c r="AJ1554" t="n">
        <v>6</v>
      </c>
      <c r="AK1554" t="n">
        <v>7</v>
      </c>
      <c r="AL1554" t="n">
        <v>1</v>
      </c>
      <c r="AM1554" t="n">
        <v>3</v>
      </c>
      <c r="AN1554" t="n">
        <v>1</v>
      </c>
      <c r="AO1554" t="n">
        <v>1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HYPERLINK("https://creighton-primo.hosted.exlibrisgroup.com/primo-explore/search?tab=default_tab&amp;search_scope=EVERYTHING&amp;vid=01CRU&amp;lang=en_US&amp;offset=0&amp;query=any,contains,991000725589702656","Catalog Record")</f>
        <v/>
      </c>
      <c r="AT1554">
        <f>HYPERLINK("http://www.worldcat.org/oclc/12695351","WorldCat Record")</f>
        <v/>
      </c>
      <c r="AU1554" t="inlineStr">
        <is>
          <t>836883414:eng</t>
        </is>
      </c>
      <c r="AV1554" t="inlineStr">
        <is>
          <t>12695351</t>
        </is>
      </c>
      <c r="AW1554" t="inlineStr">
        <is>
          <t>991000725589702656</t>
        </is>
      </c>
      <c r="AX1554" t="inlineStr">
        <is>
          <t>991000725589702656</t>
        </is>
      </c>
      <c r="AY1554" t="inlineStr">
        <is>
          <t>2254733870002656</t>
        </is>
      </c>
      <c r="AZ1554" t="inlineStr">
        <is>
          <t>BOOK</t>
        </is>
      </c>
      <c r="BB1554" t="inlineStr">
        <is>
          <t>9780534063122</t>
        </is>
      </c>
      <c r="BC1554" t="inlineStr">
        <is>
          <t>32285001059681</t>
        </is>
      </c>
      <c r="BD1554" t="inlineStr">
        <is>
          <t>893683700</t>
        </is>
      </c>
    </row>
    <row r="1555">
      <c r="A1555" t="inlineStr">
        <is>
          <t>No</t>
        </is>
      </c>
      <c r="B1555" t="inlineStr">
        <is>
          <t>QH75 .P47 1993</t>
        </is>
      </c>
      <c r="C1555" t="inlineStr">
        <is>
          <t>0                      QH 0075000P  47          1993</t>
        </is>
      </c>
      <c r="D1555" t="inlineStr">
        <is>
          <t>Perspectives on biodiversity : case studies of genetic resource conservation and development / Christopher S. Potter, Joel I. Cohen, Dianne Janczewski, editors.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L1555" t="inlineStr">
        <is>
          <t>Washington, DC, USA : AAAS Press, c1993.</t>
        </is>
      </c>
      <c r="M1555" t="inlineStr">
        <is>
          <t>1993</t>
        </is>
      </c>
      <c r="O1555" t="inlineStr">
        <is>
          <t>eng</t>
        </is>
      </c>
      <c r="P1555" t="inlineStr">
        <is>
          <t>dcu</t>
        </is>
      </c>
      <c r="Q1555" t="inlineStr">
        <is>
          <t>AAAS publication ; 93-10S</t>
        </is>
      </c>
      <c r="R1555" t="inlineStr">
        <is>
          <t xml:space="preserve">QH </t>
        </is>
      </c>
      <c r="S1555" t="n">
        <v>9</v>
      </c>
      <c r="T1555" t="n">
        <v>9</v>
      </c>
      <c r="U1555" t="inlineStr">
        <is>
          <t>1997-03-07</t>
        </is>
      </c>
      <c r="V1555" t="inlineStr">
        <is>
          <t>1997-03-07</t>
        </is>
      </c>
      <c r="W1555" t="inlineStr">
        <is>
          <t>1993-12-29</t>
        </is>
      </c>
      <c r="X1555" t="inlineStr">
        <is>
          <t>1993-12-29</t>
        </is>
      </c>
      <c r="Y1555" t="n">
        <v>245</v>
      </c>
      <c r="Z1555" t="n">
        <v>190</v>
      </c>
      <c r="AA1555" t="n">
        <v>191</v>
      </c>
      <c r="AB1555" t="n">
        <v>3</v>
      </c>
      <c r="AC1555" t="n">
        <v>3</v>
      </c>
      <c r="AD1555" t="n">
        <v>4</v>
      </c>
      <c r="AE1555" t="n">
        <v>4</v>
      </c>
      <c r="AF1555" t="n">
        <v>0</v>
      </c>
      <c r="AG1555" t="n">
        <v>0</v>
      </c>
      <c r="AH1555" t="n">
        <v>1</v>
      </c>
      <c r="AI1555" t="n">
        <v>1</v>
      </c>
      <c r="AJ1555" t="n">
        <v>1</v>
      </c>
      <c r="AK1555" t="n">
        <v>1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Yes</t>
        </is>
      </c>
      <c r="AR1555">
        <f>HYPERLINK("http://catalog.hathitrust.org/Record/002726504","HathiTrust Record")</f>
        <v/>
      </c>
      <c r="AS1555">
        <f>HYPERLINK("https://creighton-primo.hosted.exlibrisgroup.com/primo-explore/search?tab=default_tab&amp;search_scope=EVERYTHING&amp;vid=01CRU&amp;lang=en_US&amp;offset=0&amp;query=any,contains,991002170659702656","Catalog Record")</f>
        <v/>
      </c>
      <c r="AT1555">
        <f>HYPERLINK("http://www.worldcat.org/oclc/27936027","WorldCat Record")</f>
        <v/>
      </c>
      <c r="AU1555" t="inlineStr">
        <is>
          <t>796083128:eng</t>
        </is>
      </c>
      <c r="AV1555" t="inlineStr">
        <is>
          <t>27936027</t>
        </is>
      </c>
      <c r="AW1555" t="inlineStr">
        <is>
          <t>991002170659702656</t>
        </is>
      </c>
      <c r="AX1555" t="inlineStr">
        <is>
          <t>991002170659702656</t>
        </is>
      </c>
      <c r="AY1555" t="inlineStr">
        <is>
          <t>2259218650002656</t>
        </is>
      </c>
      <c r="AZ1555" t="inlineStr">
        <is>
          <t>BOOK</t>
        </is>
      </c>
      <c r="BB1555" t="inlineStr">
        <is>
          <t>9780871685124</t>
        </is>
      </c>
      <c r="BC1555" t="inlineStr">
        <is>
          <t>32285001818383</t>
        </is>
      </c>
      <c r="BD1555" t="inlineStr">
        <is>
          <t>893238720</t>
        </is>
      </c>
    </row>
    <row r="1556">
      <c r="A1556" t="inlineStr">
        <is>
          <t>No</t>
        </is>
      </c>
      <c r="B1556" t="inlineStr">
        <is>
          <t>QH75 .P752 1993</t>
        </is>
      </c>
      <c r="C1556" t="inlineStr">
        <is>
          <t>0                      QH 0075000P  752         1993</t>
        </is>
      </c>
      <c r="D1556" t="inlineStr">
        <is>
          <t>Essentials of conservation biology / Richard B. Primack.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Primack, Richard B., 1950-</t>
        </is>
      </c>
      <c r="L1556" t="inlineStr">
        <is>
          <t>Sunderland, Mass., U.S.A. : Sinauer Associates, c1993.</t>
        </is>
      </c>
      <c r="M1556" t="inlineStr">
        <is>
          <t>1993</t>
        </is>
      </c>
      <c r="O1556" t="inlineStr">
        <is>
          <t>eng</t>
        </is>
      </c>
      <c r="P1556" t="inlineStr">
        <is>
          <t>mau</t>
        </is>
      </c>
      <c r="R1556" t="inlineStr">
        <is>
          <t xml:space="preserve">QH </t>
        </is>
      </c>
      <c r="S1556" t="n">
        <v>11</v>
      </c>
      <c r="T1556" t="n">
        <v>11</v>
      </c>
      <c r="U1556" t="inlineStr">
        <is>
          <t>2006-03-23</t>
        </is>
      </c>
      <c r="V1556" t="inlineStr">
        <is>
          <t>2006-03-23</t>
        </is>
      </c>
      <c r="W1556" t="inlineStr">
        <is>
          <t>1995-12-05</t>
        </is>
      </c>
      <c r="X1556" t="inlineStr">
        <is>
          <t>1995-12-05</t>
        </is>
      </c>
      <c r="Y1556" t="n">
        <v>481</v>
      </c>
      <c r="Z1556" t="n">
        <v>309</v>
      </c>
      <c r="AA1556" t="n">
        <v>706</v>
      </c>
      <c r="AB1556" t="n">
        <v>4</v>
      </c>
      <c r="AC1556" t="n">
        <v>6</v>
      </c>
      <c r="AD1556" t="n">
        <v>10</v>
      </c>
      <c r="AE1556" t="n">
        <v>25</v>
      </c>
      <c r="AF1556" t="n">
        <v>5</v>
      </c>
      <c r="AG1556" t="n">
        <v>11</v>
      </c>
      <c r="AH1556" t="n">
        <v>0</v>
      </c>
      <c r="AI1556" t="n">
        <v>5</v>
      </c>
      <c r="AJ1556" t="n">
        <v>5</v>
      </c>
      <c r="AK1556" t="n">
        <v>10</v>
      </c>
      <c r="AL1556" t="n">
        <v>2</v>
      </c>
      <c r="AM1556" t="n">
        <v>4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HYPERLINK("http://catalog.hathitrust.org/Record/002716459","HathiTrust Record")</f>
        <v/>
      </c>
      <c r="AS1556">
        <f>HYPERLINK("https://creighton-primo.hosted.exlibrisgroup.com/primo-explore/search?tab=default_tab&amp;search_scope=EVERYTHING&amp;vid=01CRU&amp;lang=en_US&amp;offset=0&amp;query=any,contains,991002151579702656","Catalog Record")</f>
        <v/>
      </c>
      <c r="AT1556">
        <f>HYPERLINK("http://www.worldcat.org/oclc/27726886","WorldCat Record")</f>
        <v/>
      </c>
      <c r="AU1556" t="inlineStr">
        <is>
          <t>376845:eng</t>
        </is>
      </c>
      <c r="AV1556" t="inlineStr">
        <is>
          <t>27726886</t>
        </is>
      </c>
      <c r="AW1556" t="inlineStr">
        <is>
          <t>991002151579702656</t>
        </is>
      </c>
      <c r="AX1556" t="inlineStr">
        <is>
          <t>991002151579702656</t>
        </is>
      </c>
      <c r="AY1556" t="inlineStr">
        <is>
          <t>2264972120002656</t>
        </is>
      </c>
      <c r="AZ1556" t="inlineStr">
        <is>
          <t>BOOK</t>
        </is>
      </c>
      <c r="BB1556" t="inlineStr">
        <is>
          <t>9780878937226</t>
        </is>
      </c>
      <c r="BC1556" t="inlineStr">
        <is>
          <t>32285002108206</t>
        </is>
      </c>
      <c r="BD1556" t="inlineStr">
        <is>
          <t>893792082</t>
        </is>
      </c>
    </row>
    <row r="1557">
      <c r="A1557" t="inlineStr">
        <is>
          <t>No</t>
        </is>
      </c>
      <c r="B1557" t="inlineStr">
        <is>
          <t>QH75 .P7525 1995</t>
        </is>
      </c>
      <c r="C1557" t="inlineStr">
        <is>
          <t>0                      QH 0075000P  7525        1995</t>
        </is>
      </c>
      <c r="D1557" t="inlineStr">
        <is>
          <t>A primer of conservation biology / Richard B. Primack.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Primack, Richard B., 1950-</t>
        </is>
      </c>
      <c r="L1557" t="inlineStr">
        <is>
          <t>Sunderland, Mass. : Sinauer Associates, c1995.</t>
        </is>
      </c>
      <c r="M1557" t="inlineStr">
        <is>
          <t>1995</t>
        </is>
      </c>
      <c r="O1557" t="inlineStr">
        <is>
          <t>eng</t>
        </is>
      </c>
      <c r="P1557" t="inlineStr">
        <is>
          <t>mau</t>
        </is>
      </c>
      <c r="R1557" t="inlineStr">
        <is>
          <t xml:space="preserve">QH </t>
        </is>
      </c>
      <c r="S1557" t="n">
        <v>1</v>
      </c>
      <c r="T1557" t="n">
        <v>1</v>
      </c>
      <c r="U1557" t="inlineStr">
        <is>
          <t>1997-02-19</t>
        </is>
      </c>
      <c r="V1557" t="inlineStr">
        <is>
          <t>1997-02-19</t>
        </is>
      </c>
      <c r="W1557" t="inlineStr">
        <is>
          <t>1996-08-06</t>
        </is>
      </c>
      <c r="X1557" t="inlineStr">
        <is>
          <t>1996-08-06</t>
        </is>
      </c>
      <c r="Y1557" t="n">
        <v>363</v>
      </c>
      <c r="Z1557" t="n">
        <v>282</v>
      </c>
      <c r="AA1557" t="n">
        <v>618</v>
      </c>
      <c r="AB1557" t="n">
        <v>2</v>
      </c>
      <c r="AC1557" t="n">
        <v>4</v>
      </c>
      <c r="AD1557" t="n">
        <v>13</v>
      </c>
      <c r="AE1557" t="n">
        <v>20</v>
      </c>
      <c r="AF1557" t="n">
        <v>3</v>
      </c>
      <c r="AG1557" t="n">
        <v>5</v>
      </c>
      <c r="AH1557" t="n">
        <v>3</v>
      </c>
      <c r="AI1557" t="n">
        <v>4</v>
      </c>
      <c r="AJ1557" t="n">
        <v>8</v>
      </c>
      <c r="AK1557" t="n">
        <v>10</v>
      </c>
      <c r="AL1557" t="n">
        <v>1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Yes</t>
        </is>
      </c>
      <c r="AR1557">
        <f>HYPERLINK("http://catalog.hathitrust.org/Record/003075453","HathiTrust Record")</f>
        <v/>
      </c>
      <c r="AS1557">
        <f>HYPERLINK("https://creighton-primo.hosted.exlibrisgroup.com/primo-explore/search?tab=default_tab&amp;search_scope=EVERYTHING&amp;vid=01CRU&amp;lang=en_US&amp;offset=0&amp;query=any,contains,991002482799702656","Catalog Record")</f>
        <v/>
      </c>
      <c r="AT1557">
        <f>HYPERLINK("http://www.worldcat.org/oclc/32312705","WorldCat Record")</f>
        <v/>
      </c>
      <c r="AU1557" t="inlineStr">
        <is>
          <t>1035077:eng</t>
        </is>
      </c>
      <c r="AV1557" t="inlineStr">
        <is>
          <t>32312705</t>
        </is>
      </c>
      <c r="AW1557" t="inlineStr">
        <is>
          <t>991002482799702656</t>
        </is>
      </c>
      <c r="AX1557" t="inlineStr">
        <is>
          <t>991002482799702656</t>
        </is>
      </c>
      <c r="AY1557" t="inlineStr">
        <is>
          <t>2268662920002656</t>
        </is>
      </c>
      <c r="AZ1557" t="inlineStr">
        <is>
          <t>BOOK</t>
        </is>
      </c>
      <c r="BB1557" t="inlineStr">
        <is>
          <t>9780878937301</t>
        </is>
      </c>
      <c r="BC1557" t="inlineStr">
        <is>
          <t>32285002271020</t>
        </is>
      </c>
      <c r="BD1557" t="inlineStr">
        <is>
          <t>893352341</t>
        </is>
      </c>
    </row>
    <row r="1558">
      <c r="A1558" t="inlineStr">
        <is>
          <t>No</t>
        </is>
      </c>
      <c r="B1558" t="inlineStr">
        <is>
          <t>QH75 .R535 1998</t>
        </is>
      </c>
      <c r="C1558" t="inlineStr">
        <is>
          <t>0                      QH 0075000R  535         1998</t>
        </is>
      </c>
      <c r="D1558" t="inlineStr">
        <is>
          <t>Restoring streams in cities : a guide for planners, policy makers, and citizens / Ann L. Riley.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Riley, Ann L. (Ann Lawrence), 1950-</t>
        </is>
      </c>
      <c r="L1558" t="inlineStr">
        <is>
          <t>Washington, D.C. : Island Press, c1998.</t>
        </is>
      </c>
      <c r="M1558" t="inlineStr">
        <is>
          <t>1998</t>
        </is>
      </c>
      <c r="O1558" t="inlineStr">
        <is>
          <t>eng</t>
        </is>
      </c>
      <c r="P1558" t="inlineStr">
        <is>
          <t>dcu</t>
        </is>
      </c>
      <c r="R1558" t="inlineStr">
        <is>
          <t xml:space="preserve">QH </t>
        </is>
      </c>
      <c r="S1558" t="n">
        <v>1</v>
      </c>
      <c r="T1558" t="n">
        <v>1</v>
      </c>
      <c r="U1558" t="inlineStr">
        <is>
          <t>2001-09-05</t>
        </is>
      </c>
      <c r="V1558" t="inlineStr">
        <is>
          <t>2001-09-05</t>
        </is>
      </c>
      <c r="W1558" t="inlineStr">
        <is>
          <t>1998-04-23</t>
        </is>
      </c>
      <c r="X1558" t="inlineStr">
        <is>
          <t>1998-04-23</t>
        </is>
      </c>
      <c r="Y1558" t="n">
        <v>680</v>
      </c>
      <c r="Z1558" t="n">
        <v>585</v>
      </c>
      <c r="AA1558" t="n">
        <v>597</v>
      </c>
      <c r="AB1558" t="n">
        <v>4</v>
      </c>
      <c r="AC1558" t="n">
        <v>4</v>
      </c>
      <c r="AD1558" t="n">
        <v>22</v>
      </c>
      <c r="AE1558" t="n">
        <v>22</v>
      </c>
      <c r="AF1558" t="n">
        <v>7</v>
      </c>
      <c r="AG1558" t="n">
        <v>7</v>
      </c>
      <c r="AH1558" t="n">
        <v>4</v>
      </c>
      <c r="AI1558" t="n">
        <v>4</v>
      </c>
      <c r="AJ1558" t="n">
        <v>14</v>
      </c>
      <c r="AK1558" t="n">
        <v>14</v>
      </c>
      <c r="AL1558" t="n">
        <v>3</v>
      </c>
      <c r="AM1558" t="n">
        <v>3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HYPERLINK("http://catalog.hathitrust.org/Record/003972319","HathiTrust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HYPERLINK("https://creighton-primo.hosted.exlibrisgroup.com/primo-explore/search?tab=default_tab&amp;search_scope=EVERYTHING&amp;vid=01CRU&amp;lang=en_US&amp;offset=0&amp;query=any,contains,991002867859702656","Catalog Record")</f>
        <v/>
      </c>
      <c r="AT1558">
        <f>HYPERLINK("http://www.worldcat.org/oclc/37806177","WorldCat Record")</f>
        <v/>
      </c>
      <c r="AU1558" t="inlineStr">
        <is>
          <t>669897:eng</t>
        </is>
      </c>
      <c r="AV1558" t="inlineStr">
        <is>
          <t>37806177</t>
        </is>
      </c>
      <c r="AW1558" t="inlineStr">
        <is>
          <t>991002867859702656</t>
        </is>
      </c>
      <c r="AX1558" t="inlineStr">
        <is>
          <t>991002867859702656</t>
        </is>
      </c>
      <c r="AY1558" t="inlineStr">
        <is>
          <t>2259200910002656</t>
        </is>
      </c>
      <c r="AZ1558" t="inlineStr">
        <is>
          <t>BOOK</t>
        </is>
      </c>
      <c r="BB1558" t="inlineStr">
        <is>
          <t>9781559630429</t>
        </is>
      </c>
      <c r="BC1558" t="inlineStr">
        <is>
          <t>32285003376851</t>
        </is>
      </c>
      <c r="BD1558" t="inlineStr">
        <is>
          <t>893616679</t>
        </is>
      </c>
    </row>
    <row r="1559">
      <c r="A1559" t="inlineStr">
        <is>
          <t>No</t>
        </is>
      </c>
      <c r="B1559" t="inlineStr">
        <is>
          <t>QH75 .R92 1992</t>
        </is>
      </c>
      <c r="C1559" t="inlineStr">
        <is>
          <t>0                      QH 0075000R  92          1992</t>
        </is>
      </c>
      <c r="D1559" t="inlineStr">
        <is>
          <t>Life support : conserving biological diversity / John C. Ryan ; Vicki Elkin, research assistant ; Ed Ayres, editor.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Ryan, John C.</t>
        </is>
      </c>
      <c r="L1559" t="inlineStr">
        <is>
          <t>Washington, D.C. : Worldwatch Institute, c1992.</t>
        </is>
      </c>
      <c r="M1559" t="inlineStr">
        <is>
          <t>1992</t>
        </is>
      </c>
      <c r="O1559" t="inlineStr">
        <is>
          <t>eng</t>
        </is>
      </c>
      <c r="P1559" t="inlineStr">
        <is>
          <t>dcu</t>
        </is>
      </c>
      <c r="Q1559" t="inlineStr">
        <is>
          <t>Worldwatch paper ; 108</t>
        </is>
      </c>
      <c r="R1559" t="inlineStr">
        <is>
          <t xml:space="preserve">QH </t>
        </is>
      </c>
      <c r="S1559" t="n">
        <v>10</v>
      </c>
      <c r="T1559" t="n">
        <v>10</v>
      </c>
      <c r="U1559" t="inlineStr">
        <is>
          <t>1997-02-24</t>
        </is>
      </c>
      <c r="V1559" t="inlineStr">
        <is>
          <t>1997-02-24</t>
        </is>
      </c>
      <c r="W1559" t="inlineStr">
        <is>
          <t>1992-07-08</t>
        </is>
      </c>
      <c r="X1559" t="inlineStr">
        <is>
          <t>1992-07-08</t>
        </is>
      </c>
      <c r="Y1559" t="n">
        <v>555</v>
      </c>
      <c r="Z1559" t="n">
        <v>464</v>
      </c>
      <c r="AA1559" t="n">
        <v>466</v>
      </c>
      <c r="AB1559" t="n">
        <v>2</v>
      </c>
      <c r="AC1559" t="n">
        <v>2</v>
      </c>
      <c r="AD1559" t="n">
        <v>18</v>
      </c>
      <c r="AE1559" t="n">
        <v>18</v>
      </c>
      <c r="AF1559" t="n">
        <v>5</v>
      </c>
      <c r="AG1559" t="n">
        <v>5</v>
      </c>
      <c r="AH1559" t="n">
        <v>4</v>
      </c>
      <c r="AI1559" t="n">
        <v>4</v>
      </c>
      <c r="AJ1559" t="n">
        <v>10</v>
      </c>
      <c r="AK1559" t="n">
        <v>10</v>
      </c>
      <c r="AL1559" t="n">
        <v>1</v>
      </c>
      <c r="AM1559" t="n">
        <v>1</v>
      </c>
      <c r="AN1559" t="n">
        <v>1</v>
      </c>
      <c r="AO1559" t="n">
        <v>1</v>
      </c>
      <c r="AP1559" t="inlineStr">
        <is>
          <t>No</t>
        </is>
      </c>
      <c r="AQ1559" t="inlineStr">
        <is>
          <t>Yes</t>
        </is>
      </c>
      <c r="AR1559">
        <f>HYPERLINK("http://catalog.hathitrust.org/Record/002554882","HathiTrust Record")</f>
        <v/>
      </c>
      <c r="AS1559">
        <f>HYPERLINK("https://creighton-primo.hosted.exlibrisgroup.com/primo-explore/search?tab=default_tab&amp;search_scope=EVERYTHING&amp;vid=01CRU&amp;lang=en_US&amp;offset=0&amp;query=any,contains,991002025469702656","Catalog Record")</f>
        <v/>
      </c>
      <c r="AT1559">
        <f>HYPERLINK("http://www.worldcat.org/oclc/25779166","WorldCat Record")</f>
        <v/>
      </c>
      <c r="AU1559" t="inlineStr">
        <is>
          <t>392003:eng</t>
        </is>
      </c>
      <c r="AV1559" t="inlineStr">
        <is>
          <t>25779166</t>
        </is>
      </c>
      <c r="AW1559" t="inlineStr">
        <is>
          <t>991002025469702656</t>
        </is>
      </c>
      <c r="AX1559" t="inlineStr">
        <is>
          <t>991002025469702656</t>
        </is>
      </c>
      <c r="AY1559" t="inlineStr">
        <is>
          <t>2264159470002656</t>
        </is>
      </c>
      <c r="AZ1559" t="inlineStr">
        <is>
          <t>BOOK</t>
        </is>
      </c>
      <c r="BB1559" t="inlineStr">
        <is>
          <t>9781878071095</t>
        </is>
      </c>
      <c r="BC1559" t="inlineStr">
        <is>
          <t>32285001168268</t>
        </is>
      </c>
      <c r="BD1559" t="inlineStr">
        <is>
          <t>893427123</t>
        </is>
      </c>
    </row>
    <row r="1560">
      <c r="A1560" t="inlineStr">
        <is>
          <t>No</t>
        </is>
      </c>
      <c r="B1560" t="inlineStr">
        <is>
          <t>QH75 .S474 1990</t>
        </is>
      </c>
      <c r="C1560" t="inlineStr">
        <is>
          <t>0                      QH 0075000S  474         1990</t>
        </is>
      </c>
      <c r="D1560" t="inlineStr">
        <is>
          <t>Nature reserves : island theory and conservation practice / Craig L. Shafer.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K1560" t="inlineStr">
        <is>
          <t>Shafer, Craig L.</t>
        </is>
      </c>
      <c r="L1560" t="inlineStr">
        <is>
          <t>Washington : Smithsonian Institution Press, c1990.</t>
        </is>
      </c>
      <c r="M1560" t="inlineStr">
        <is>
          <t>1990</t>
        </is>
      </c>
      <c r="O1560" t="inlineStr">
        <is>
          <t>eng</t>
        </is>
      </c>
      <c r="P1560" t="inlineStr">
        <is>
          <t>dcu</t>
        </is>
      </c>
      <c r="R1560" t="inlineStr">
        <is>
          <t xml:space="preserve">QH </t>
        </is>
      </c>
      <c r="S1560" t="n">
        <v>3</v>
      </c>
      <c r="T1560" t="n">
        <v>3</v>
      </c>
      <c r="U1560" t="inlineStr">
        <is>
          <t>1997-02-13</t>
        </is>
      </c>
      <c r="V1560" t="inlineStr">
        <is>
          <t>1997-02-13</t>
        </is>
      </c>
      <c r="W1560" t="inlineStr">
        <is>
          <t>1995-03-01</t>
        </is>
      </c>
      <c r="X1560" t="inlineStr">
        <is>
          <t>1995-03-01</t>
        </is>
      </c>
      <c r="Y1560" t="n">
        <v>684</v>
      </c>
      <c r="Z1560" t="n">
        <v>515</v>
      </c>
      <c r="AA1560" t="n">
        <v>517</v>
      </c>
      <c r="AB1560" t="n">
        <v>7</v>
      </c>
      <c r="AC1560" t="n">
        <v>7</v>
      </c>
      <c r="AD1560" t="n">
        <v>19</v>
      </c>
      <c r="AE1560" t="n">
        <v>19</v>
      </c>
      <c r="AF1560" t="n">
        <v>5</v>
      </c>
      <c r="AG1560" t="n">
        <v>5</v>
      </c>
      <c r="AH1560" t="n">
        <v>2</v>
      </c>
      <c r="AI1560" t="n">
        <v>2</v>
      </c>
      <c r="AJ1560" t="n">
        <v>8</v>
      </c>
      <c r="AK1560" t="n">
        <v>8</v>
      </c>
      <c r="AL1560" t="n">
        <v>6</v>
      </c>
      <c r="AM1560" t="n">
        <v>6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HYPERLINK("http://catalog.hathitrust.org/Record/002432538","HathiTrust Record")</f>
        <v/>
      </c>
      <c r="AS1560">
        <f>HYPERLINK("https://creighton-primo.hosted.exlibrisgroup.com/primo-explore/search?tab=default_tab&amp;search_scope=EVERYTHING&amp;vid=01CRU&amp;lang=en_US&amp;offset=0&amp;query=any,contains,991001663129702656","Catalog Record")</f>
        <v/>
      </c>
      <c r="AT1560">
        <f>HYPERLINK("http://www.worldcat.org/oclc/21195983","WorldCat Record")</f>
        <v/>
      </c>
      <c r="AU1560" t="inlineStr">
        <is>
          <t>836863441:eng</t>
        </is>
      </c>
      <c r="AV1560" t="inlineStr">
        <is>
          <t>21195983</t>
        </is>
      </c>
      <c r="AW1560" t="inlineStr">
        <is>
          <t>991001663129702656</t>
        </is>
      </c>
      <c r="AX1560" t="inlineStr">
        <is>
          <t>991001663129702656</t>
        </is>
      </c>
      <c r="AY1560" t="inlineStr">
        <is>
          <t>2269111690002656</t>
        </is>
      </c>
      <c r="AZ1560" t="inlineStr">
        <is>
          <t>BOOK</t>
        </is>
      </c>
      <c r="BB1560" t="inlineStr">
        <is>
          <t>9780874748055</t>
        </is>
      </c>
      <c r="BC1560" t="inlineStr">
        <is>
          <t>32285002000650</t>
        </is>
      </c>
      <c r="BD1560" t="inlineStr">
        <is>
          <t>893414378</t>
        </is>
      </c>
    </row>
    <row r="1561">
      <c r="A1561" t="inlineStr">
        <is>
          <t>No</t>
        </is>
      </c>
      <c r="B1561" t="inlineStr">
        <is>
          <t>QH75 .S664 1986</t>
        </is>
      </c>
      <c r="C1561" t="inlineStr">
        <is>
          <t>0                      QH 0075000S  664         1986</t>
        </is>
      </c>
      <c r="D1561" t="inlineStr">
        <is>
          <t>Building models for conservation and wildlife management / A.M. Starfield, A.L. Bleloch.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K1561" t="inlineStr">
        <is>
          <t>Starfield, A. M.</t>
        </is>
      </c>
      <c r="L1561" t="inlineStr">
        <is>
          <t>New York : Macmillan ; London : Collier Macmillan, c1986.</t>
        </is>
      </c>
      <c r="M1561" t="inlineStr">
        <is>
          <t>1986</t>
        </is>
      </c>
      <c r="O1561" t="inlineStr">
        <is>
          <t>eng</t>
        </is>
      </c>
      <c r="P1561" t="inlineStr">
        <is>
          <t>nyu</t>
        </is>
      </c>
      <c r="Q1561" t="inlineStr">
        <is>
          <t>Biological resource management</t>
        </is>
      </c>
      <c r="R1561" t="inlineStr">
        <is>
          <t xml:space="preserve">QH </t>
        </is>
      </c>
      <c r="S1561" t="n">
        <v>3</v>
      </c>
      <c r="T1561" t="n">
        <v>3</v>
      </c>
      <c r="U1561" t="inlineStr">
        <is>
          <t>1996-02-24</t>
        </is>
      </c>
      <c r="V1561" t="inlineStr">
        <is>
          <t>1996-02-24</t>
        </is>
      </c>
      <c r="W1561" t="inlineStr">
        <is>
          <t>1990-06-04</t>
        </is>
      </c>
      <c r="X1561" t="inlineStr">
        <is>
          <t>1990-06-04</t>
        </is>
      </c>
      <c r="Y1561" t="n">
        <v>388</v>
      </c>
      <c r="Z1561" t="n">
        <v>289</v>
      </c>
      <c r="AA1561" t="n">
        <v>312</v>
      </c>
      <c r="AB1561" t="n">
        <v>5</v>
      </c>
      <c r="AC1561" t="n">
        <v>5</v>
      </c>
      <c r="AD1561" t="n">
        <v>13</v>
      </c>
      <c r="AE1561" t="n">
        <v>13</v>
      </c>
      <c r="AF1561" t="n">
        <v>6</v>
      </c>
      <c r="AG1561" t="n">
        <v>6</v>
      </c>
      <c r="AH1561" t="n">
        <v>1</v>
      </c>
      <c r="AI1561" t="n">
        <v>1</v>
      </c>
      <c r="AJ1561" t="n">
        <v>6</v>
      </c>
      <c r="AK1561" t="n">
        <v>6</v>
      </c>
      <c r="AL1561" t="n">
        <v>4</v>
      </c>
      <c r="AM1561" t="n">
        <v>4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Yes</t>
        </is>
      </c>
      <c r="AR1561">
        <f>HYPERLINK("http://catalog.hathitrust.org/Record/000817203","HathiTrust Record")</f>
        <v/>
      </c>
      <c r="AS1561">
        <f>HYPERLINK("https://creighton-primo.hosted.exlibrisgroup.com/primo-explore/search?tab=default_tab&amp;search_scope=EVERYTHING&amp;vid=01CRU&amp;lang=en_US&amp;offset=0&amp;query=any,contains,991000700779702656","Catalog Record")</f>
        <v/>
      </c>
      <c r="AT1561">
        <f>HYPERLINK("http://www.worldcat.org/oclc/12549465","WorldCat Record")</f>
        <v/>
      </c>
      <c r="AU1561" t="inlineStr">
        <is>
          <t>5268563:eng</t>
        </is>
      </c>
      <c r="AV1561" t="inlineStr">
        <is>
          <t>12549465</t>
        </is>
      </c>
      <c r="AW1561" t="inlineStr">
        <is>
          <t>991000700779702656</t>
        </is>
      </c>
      <c r="AX1561" t="inlineStr">
        <is>
          <t>991000700779702656</t>
        </is>
      </c>
      <c r="AY1561" t="inlineStr">
        <is>
          <t>2263527480002656</t>
        </is>
      </c>
      <c r="AZ1561" t="inlineStr">
        <is>
          <t>BOOK</t>
        </is>
      </c>
      <c r="BB1561" t="inlineStr">
        <is>
          <t>9780029480403</t>
        </is>
      </c>
      <c r="BC1561" t="inlineStr">
        <is>
          <t>32285000156751</t>
        </is>
      </c>
      <c r="BD1561" t="inlineStr">
        <is>
          <t>893790781</t>
        </is>
      </c>
    </row>
    <row r="1562">
      <c r="A1562" t="inlineStr">
        <is>
          <t>No</t>
        </is>
      </c>
      <c r="B1562" t="inlineStr">
        <is>
          <t>QH75 .S6738 1997</t>
        </is>
      </c>
      <c r="C1562" t="inlineStr">
        <is>
          <t>0                      QH 0075000S  6738        1997</t>
        </is>
      </c>
      <c r="D1562" t="inlineStr">
        <is>
          <t>Strange worlds, fantastic places / [edited by Jane MacAndrew and Andrew Kerr-Jarrett].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New York : The Reader's Digest, 1997.</t>
        </is>
      </c>
      <c r="M1562" t="inlineStr">
        <is>
          <t>1997</t>
        </is>
      </c>
      <c r="O1562" t="inlineStr">
        <is>
          <t>eng</t>
        </is>
      </c>
      <c r="P1562" t="inlineStr">
        <is>
          <t>nyu</t>
        </is>
      </c>
      <c r="Q1562" t="inlineStr">
        <is>
          <t>The earth, its wonders, its secrets</t>
        </is>
      </c>
      <c r="R1562" t="inlineStr">
        <is>
          <t xml:space="preserve">QH </t>
        </is>
      </c>
      <c r="S1562" t="n">
        <v>5</v>
      </c>
      <c r="T1562" t="n">
        <v>5</v>
      </c>
      <c r="U1562" t="inlineStr">
        <is>
          <t>2007-07-24</t>
        </is>
      </c>
      <c r="V1562" t="inlineStr">
        <is>
          <t>2007-07-24</t>
        </is>
      </c>
      <c r="W1562" t="inlineStr">
        <is>
          <t>1998-02-24</t>
        </is>
      </c>
      <c r="X1562" t="inlineStr">
        <is>
          <t>1998-02-24</t>
        </is>
      </c>
      <c r="Y1562" t="n">
        <v>324</v>
      </c>
      <c r="Z1562" t="n">
        <v>319</v>
      </c>
      <c r="AA1562" t="n">
        <v>369</v>
      </c>
      <c r="AB1562" t="n">
        <v>4</v>
      </c>
      <c r="AC1562" t="n">
        <v>4</v>
      </c>
      <c r="AD1562" t="n">
        <v>1</v>
      </c>
      <c r="AE1562" t="n">
        <v>1</v>
      </c>
      <c r="AF1562" t="n">
        <v>1</v>
      </c>
      <c r="AG1562" t="n">
        <v>1</v>
      </c>
      <c r="AH1562" t="n">
        <v>0</v>
      </c>
      <c r="AI1562" t="n">
        <v>0</v>
      </c>
      <c r="AJ1562" t="n">
        <v>0</v>
      </c>
      <c r="AK1562" t="n">
        <v>0</v>
      </c>
      <c r="AL1562" t="n">
        <v>0</v>
      </c>
      <c r="AM1562" t="n">
        <v>0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HYPERLINK("https://creighton-primo.hosted.exlibrisgroup.com/primo-explore/search?tab=default_tab&amp;search_scope=EVERYTHING&amp;vid=01CRU&amp;lang=en_US&amp;offset=0&amp;query=any,contains,991002852599702656","Catalog Record")</f>
        <v/>
      </c>
      <c r="AT1562">
        <f>HYPERLINK("http://www.worldcat.org/oclc/37588510","WorldCat Record")</f>
        <v/>
      </c>
      <c r="AU1562" t="inlineStr">
        <is>
          <t>2591119608:eng</t>
        </is>
      </c>
      <c r="AV1562" t="inlineStr">
        <is>
          <t>37588510</t>
        </is>
      </c>
      <c r="AW1562" t="inlineStr">
        <is>
          <t>991002852599702656</t>
        </is>
      </c>
      <c r="AX1562" t="inlineStr">
        <is>
          <t>991002852599702656</t>
        </is>
      </c>
      <c r="AY1562" t="inlineStr">
        <is>
          <t>2255066810002656</t>
        </is>
      </c>
      <c r="AZ1562" t="inlineStr">
        <is>
          <t>BOOK</t>
        </is>
      </c>
      <c r="BB1562" t="inlineStr">
        <is>
          <t>9780762100712</t>
        </is>
      </c>
      <c r="BC1562" t="inlineStr">
        <is>
          <t>32285003355244</t>
        </is>
      </c>
      <c r="BD1562" t="inlineStr">
        <is>
          <t>893780315</t>
        </is>
      </c>
    </row>
    <row r="1563">
      <c r="A1563" t="inlineStr">
        <is>
          <t>No</t>
        </is>
      </c>
      <c r="B1563" t="inlineStr">
        <is>
          <t>QH75 .T235 1996</t>
        </is>
      </c>
      <c r="C1563" t="inlineStr">
        <is>
          <t>0                      QH 0075000T  235         1996</t>
        </is>
      </c>
      <c r="D1563" t="inlineStr">
        <is>
          <t>The idea of biodiversity : philosophies of paradise / David Takacs.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Takacs, David.</t>
        </is>
      </c>
      <c r="L1563" t="inlineStr">
        <is>
          <t>Baltimore : Johns Hopkins University Press, 1996.</t>
        </is>
      </c>
      <c r="M1563" t="inlineStr">
        <is>
          <t>1996</t>
        </is>
      </c>
      <c r="O1563" t="inlineStr">
        <is>
          <t>eng</t>
        </is>
      </c>
      <c r="P1563" t="inlineStr">
        <is>
          <t>mdu</t>
        </is>
      </c>
      <c r="R1563" t="inlineStr">
        <is>
          <t xml:space="preserve">QH </t>
        </is>
      </c>
      <c r="S1563" t="n">
        <v>2</v>
      </c>
      <c r="T1563" t="n">
        <v>2</v>
      </c>
      <c r="U1563" t="inlineStr">
        <is>
          <t>1998-11-23</t>
        </is>
      </c>
      <c r="V1563" t="inlineStr">
        <is>
          <t>1998-11-23</t>
        </is>
      </c>
      <c r="W1563" t="inlineStr">
        <is>
          <t>1997-02-25</t>
        </is>
      </c>
      <c r="X1563" t="inlineStr">
        <is>
          <t>1997-02-25</t>
        </is>
      </c>
      <c r="Y1563" t="n">
        <v>663</v>
      </c>
      <c r="Z1563" t="n">
        <v>551</v>
      </c>
      <c r="AA1563" t="n">
        <v>557</v>
      </c>
      <c r="AB1563" t="n">
        <v>5</v>
      </c>
      <c r="AC1563" t="n">
        <v>5</v>
      </c>
      <c r="AD1563" t="n">
        <v>30</v>
      </c>
      <c r="AE1563" t="n">
        <v>30</v>
      </c>
      <c r="AF1563" t="n">
        <v>12</v>
      </c>
      <c r="AG1563" t="n">
        <v>12</v>
      </c>
      <c r="AH1563" t="n">
        <v>5</v>
      </c>
      <c r="AI1563" t="n">
        <v>5</v>
      </c>
      <c r="AJ1563" t="n">
        <v>15</v>
      </c>
      <c r="AK1563" t="n">
        <v>15</v>
      </c>
      <c r="AL1563" t="n">
        <v>4</v>
      </c>
      <c r="AM1563" t="n">
        <v>4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Yes</t>
        </is>
      </c>
      <c r="AR1563">
        <f>HYPERLINK("http://catalog.hathitrust.org/Record/003120517","HathiTrust Record")</f>
        <v/>
      </c>
      <c r="AS1563">
        <f>HYPERLINK("https://creighton-primo.hosted.exlibrisgroup.com/primo-explore/search?tab=default_tab&amp;search_scope=EVERYTHING&amp;vid=01CRU&amp;lang=en_US&amp;offset=0&amp;query=any,contains,991002636479702656","Catalog Record")</f>
        <v/>
      </c>
      <c r="AT1563">
        <f>HYPERLINK("http://www.worldcat.org/oclc/34545007","WorldCat Record")</f>
        <v/>
      </c>
      <c r="AU1563" t="inlineStr">
        <is>
          <t>141751149:eng</t>
        </is>
      </c>
      <c r="AV1563" t="inlineStr">
        <is>
          <t>34545007</t>
        </is>
      </c>
      <c r="AW1563" t="inlineStr">
        <is>
          <t>991002636479702656</t>
        </is>
      </c>
      <c r="AX1563" t="inlineStr">
        <is>
          <t>991002636479702656</t>
        </is>
      </c>
      <c r="AY1563" t="inlineStr">
        <is>
          <t>2262199650002656</t>
        </is>
      </c>
      <c r="AZ1563" t="inlineStr">
        <is>
          <t>BOOK</t>
        </is>
      </c>
      <c r="BB1563" t="inlineStr">
        <is>
          <t>9780801854002</t>
        </is>
      </c>
      <c r="BC1563" t="inlineStr">
        <is>
          <t>32285002432960</t>
        </is>
      </c>
      <c r="BD1563" t="inlineStr">
        <is>
          <t>893415443</t>
        </is>
      </c>
    </row>
    <row r="1564">
      <c r="A1564" t="inlineStr">
        <is>
          <t>No</t>
        </is>
      </c>
      <c r="B1564" t="inlineStr">
        <is>
          <t>QH75 .W52 1965</t>
        </is>
      </c>
      <c r="C1564" t="inlineStr">
        <is>
          <t>0                      QH 0075000W  52          1965</t>
        </is>
      </c>
      <c r="D1564" t="inlineStr">
        <is>
          <t>Wilderness in a changing world : [proceedings] / edited by Bruce M. Kilgore. With a foreword by Peggy Wayburn.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Wilderness Conference (9th : 1965 : San Francisco, Calif.)</t>
        </is>
      </c>
      <c r="L1564" t="inlineStr">
        <is>
          <t>San Francisco : Sierra Club, [1966]</t>
        </is>
      </c>
      <c r="M1564" t="inlineStr">
        <is>
          <t>1966</t>
        </is>
      </c>
      <c r="O1564" t="inlineStr">
        <is>
          <t>eng</t>
        </is>
      </c>
      <c r="P1564" t="inlineStr">
        <is>
          <t>cau</t>
        </is>
      </c>
      <c r="R1564" t="inlineStr">
        <is>
          <t xml:space="preserve">QH </t>
        </is>
      </c>
      <c r="S1564" t="n">
        <v>3</v>
      </c>
      <c r="T1564" t="n">
        <v>3</v>
      </c>
      <c r="U1564" t="inlineStr">
        <is>
          <t>2010-11-01</t>
        </is>
      </c>
      <c r="V1564" t="inlineStr">
        <is>
          <t>2010-11-01</t>
        </is>
      </c>
      <c r="W1564" t="inlineStr">
        <is>
          <t>1990-11-30</t>
        </is>
      </c>
      <c r="X1564" t="inlineStr">
        <is>
          <t>1990-11-30</t>
        </is>
      </c>
      <c r="Y1564" t="n">
        <v>345</v>
      </c>
      <c r="Z1564" t="n">
        <v>325</v>
      </c>
      <c r="AA1564" t="n">
        <v>353</v>
      </c>
      <c r="AB1564" t="n">
        <v>2</v>
      </c>
      <c r="AC1564" t="n">
        <v>2</v>
      </c>
      <c r="AD1564" t="n">
        <v>7</v>
      </c>
      <c r="AE1564" t="n">
        <v>8</v>
      </c>
      <c r="AF1564" t="n">
        <v>1</v>
      </c>
      <c r="AG1564" t="n">
        <v>2</v>
      </c>
      <c r="AH1564" t="n">
        <v>1</v>
      </c>
      <c r="AI1564" t="n">
        <v>1</v>
      </c>
      <c r="AJ1564" t="n">
        <v>3</v>
      </c>
      <c r="AK1564" t="n">
        <v>3</v>
      </c>
      <c r="AL1564" t="n">
        <v>1</v>
      </c>
      <c r="AM1564" t="n">
        <v>1</v>
      </c>
      <c r="AN1564" t="n">
        <v>1</v>
      </c>
      <c r="AO1564" t="n">
        <v>1</v>
      </c>
      <c r="AP1564" t="inlineStr">
        <is>
          <t>No</t>
        </is>
      </c>
      <c r="AQ1564" t="inlineStr">
        <is>
          <t>Yes</t>
        </is>
      </c>
      <c r="AR1564">
        <f>HYPERLINK("http://catalog.hathitrust.org/Record/007973188","HathiTrust Record")</f>
        <v/>
      </c>
      <c r="AS1564">
        <f>HYPERLINK("https://creighton-primo.hosted.exlibrisgroup.com/primo-explore/search?tab=default_tab&amp;search_scope=EVERYTHING&amp;vid=01CRU&amp;lang=en_US&amp;offset=0&amp;query=any,contains,991002385539702656","Catalog Record")</f>
        <v/>
      </c>
      <c r="AT1564">
        <f>HYPERLINK("http://www.worldcat.org/oclc/329803","WorldCat Record")</f>
        <v/>
      </c>
      <c r="AU1564" t="inlineStr">
        <is>
          <t>1820092:eng</t>
        </is>
      </c>
      <c r="AV1564" t="inlineStr">
        <is>
          <t>329803</t>
        </is>
      </c>
      <c r="AW1564" t="inlineStr">
        <is>
          <t>991002385539702656</t>
        </is>
      </c>
      <c r="AX1564" t="inlineStr">
        <is>
          <t>991002385539702656</t>
        </is>
      </c>
      <c r="AY1564" t="inlineStr">
        <is>
          <t>2267485550002656</t>
        </is>
      </c>
      <c r="AZ1564" t="inlineStr">
        <is>
          <t>BOOK</t>
        </is>
      </c>
      <c r="BC1564" t="inlineStr">
        <is>
          <t>32285000411271</t>
        </is>
      </c>
      <c r="BD1564" t="inlineStr">
        <is>
          <t>893510666</t>
        </is>
      </c>
    </row>
    <row r="1565">
      <c r="A1565" t="inlineStr">
        <is>
          <t>No</t>
        </is>
      </c>
      <c r="B1565" t="inlineStr">
        <is>
          <t>QH75 .W54</t>
        </is>
      </c>
      <c r="C1565" t="inlineStr">
        <is>
          <t>0                      QH 0075000W  54</t>
        </is>
      </c>
      <c r="D1565" t="inlineStr">
        <is>
          <t>Basic issues in environment : studies in quiet desperation / edited by Ira J. Winn.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Winn, Ira J., compiler.</t>
        </is>
      </c>
      <c r="L1565" t="inlineStr">
        <is>
          <t>Columbus, Ohio : Merrill, [1972]</t>
        </is>
      </c>
      <c r="M1565" t="inlineStr">
        <is>
          <t>1972</t>
        </is>
      </c>
      <c r="O1565" t="inlineStr">
        <is>
          <t>eng</t>
        </is>
      </c>
      <c r="P1565" t="inlineStr">
        <is>
          <t>ohu</t>
        </is>
      </c>
      <c r="R1565" t="inlineStr">
        <is>
          <t xml:space="preserve">QH </t>
        </is>
      </c>
      <c r="S1565" t="n">
        <v>9</v>
      </c>
      <c r="T1565" t="n">
        <v>9</v>
      </c>
      <c r="U1565" t="inlineStr">
        <is>
          <t>1997-03-07</t>
        </is>
      </c>
      <c r="V1565" t="inlineStr">
        <is>
          <t>1997-03-07</t>
        </is>
      </c>
      <c r="W1565" t="inlineStr">
        <is>
          <t>1992-12-22</t>
        </is>
      </c>
      <c r="X1565" t="inlineStr">
        <is>
          <t>1992-12-22</t>
        </is>
      </c>
      <c r="Y1565" t="n">
        <v>270</v>
      </c>
      <c r="Z1565" t="n">
        <v>222</v>
      </c>
      <c r="AA1565" t="n">
        <v>222</v>
      </c>
      <c r="AB1565" t="n">
        <v>2</v>
      </c>
      <c r="AC1565" t="n">
        <v>2</v>
      </c>
      <c r="AD1565" t="n">
        <v>6</v>
      </c>
      <c r="AE1565" t="n">
        <v>6</v>
      </c>
      <c r="AF1565" t="n">
        <v>3</v>
      </c>
      <c r="AG1565" t="n">
        <v>3</v>
      </c>
      <c r="AH1565" t="n">
        <v>0</v>
      </c>
      <c r="AI1565" t="n">
        <v>0</v>
      </c>
      <c r="AJ1565" t="n">
        <v>3</v>
      </c>
      <c r="AK1565" t="n">
        <v>3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HYPERLINK("https://creighton-primo.hosted.exlibrisgroup.com/primo-explore/search?tab=default_tab&amp;search_scope=EVERYTHING&amp;vid=01CRU&amp;lang=en_US&amp;offset=0&amp;query=any,contains,991002421219702656","Catalog Record")</f>
        <v/>
      </c>
      <c r="AT1565">
        <f>HYPERLINK("http://www.worldcat.org/oclc/342846","WorldCat Record")</f>
        <v/>
      </c>
      <c r="AU1565" t="inlineStr">
        <is>
          <t>5218438277:eng</t>
        </is>
      </c>
      <c r="AV1565" t="inlineStr">
        <is>
          <t>342846</t>
        </is>
      </c>
      <c r="AW1565" t="inlineStr">
        <is>
          <t>991002421219702656</t>
        </is>
      </c>
      <c r="AX1565" t="inlineStr">
        <is>
          <t>991002421219702656</t>
        </is>
      </c>
      <c r="AY1565" t="inlineStr">
        <is>
          <t>2266230870002656</t>
        </is>
      </c>
      <c r="AZ1565" t="inlineStr">
        <is>
          <t>BOOK</t>
        </is>
      </c>
      <c r="BC1565" t="inlineStr">
        <is>
          <t>32285001470235</t>
        </is>
      </c>
      <c r="BD1565" t="inlineStr">
        <is>
          <t>893886257</t>
        </is>
      </c>
    </row>
    <row r="1566">
      <c r="A1566" t="inlineStr">
        <is>
          <t>No</t>
        </is>
      </c>
      <c r="B1566" t="inlineStr">
        <is>
          <t>QH75.A1 E24 1993</t>
        </is>
      </c>
      <c r="C1566" t="inlineStr">
        <is>
          <t>0                      QH 0075000A  1                  E  24          1993</t>
        </is>
      </c>
      <c r="D1566" t="inlineStr">
        <is>
          <t>Ecological integrity and the management of ecosystems / edited by Stephen Woodley, James Kay, George Francis.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L1566" t="inlineStr">
        <is>
          <t>Delray Beach, FL : St. Lucie Press, c1993.</t>
        </is>
      </c>
      <c r="M1566" t="inlineStr">
        <is>
          <t>1993</t>
        </is>
      </c>
      <c r="O1566" t="inlineStr">
        <is>
          <t>eng</t>
        </is>
      </c>
      <c r="P1566" t="inlineStr">
        <is>
          <t>flu</t>
        </is>
      </c>
      <c r="R1566" t="inlineStr">
        <is>
          <t xml:space="preserve">QH </t>
        </is>
      </c>
      <c r="S1566" t="n">
        <v>8</v>
      </c>
      <c r="T1566" t="n">
        <v>8</v>
      </c>
      <c r="U1566" t="inlineStr">
        <is>
          <t>1997-02-19</t>
        </is>
      </c>
      <c r="V1566" t="inlineStr">
        <is>
          <t>1997-02-19</t>
        </is>
      </c>
      <c r="W1566" t="inlineStr">
        <is>
          <t>1993-11-30</t>
        </is>
      </c>
      <c r="X1566" t="inlineStr">
        <is>
          <t>1993-11-30</t>
        </is>
      </c>
      <c r="Y1566" t="n">
        <v>675</v>
      </c>
      <c r="Z1566" t="n">
        <v>498</v>
      </c>
      <c r="AA1566" t="n">
        <v>517</v>
      </c>
      <c r="AB1566" t="n">
        <v>3</v>
      </c>
      <c r="AC1566" t="n">
        <v>3</v>
      </c>
      <c r="AD1566" t="n">
        <v>14</v>
      </c>
      <c r="AE1566" t="n">
        <v>14</v>
      </c>
      <c r="AF1566" t="n">
        <v>5</v>
      </c>
      <c r="AG1566" t="n">
        <v>5</v>
      </c>
      <c r="AH1566" t="n">
        <v>2</v>
      </c>
      <c r="AI1566" t="n">
        <v>2</v>
      </c>
      <c r="AJ1566" t="n">
        <v>8</v>
      </c>
      <c r="AK1566" t="n">
        <v>8</v>
      </c>
      <c r="AL1566" t="n">
        <v>2</v>
      </c>
      <c r="AM1566" t="n">
        <v>2</v>
      </c>
      <c r="AN1566" t="n">
        <v>1</v>
      </c>
      <c r="AO1566" t="n">
        <v>1</v>
      </c>
      <c r="AP1566" t="inlineStr">
        <is>
          <t>No</t>
        </is>
      </c>
      <c r="AQ1566" t="inlineStr">
        <is>
          <t>No</t>
        </is>
      </c>
      <c r="AS1566">
        <f>HYPERLINK("https://creighton-primo.hosted.exlibrisgroup.com/primo-explore/search?tab=default_tab&amp;search_scope=EVERYTHING&amp;vid=01CRU&amp;lang=en_US&amp;offset=0&amp;query=any,contains,991002157739702656","Catalog Record")</f>
        <v/>
      </c>
      <c r="AT1566">
        <f>HYPERLINK("http://www.worldcat.org/oclc/27810723","WorldCat Record")</f>
        <v/>
      </c>
      <c r="AU1566" t="inlineStr">
        <is>
          <t>342432268:eng</t>
        </is>
      </c>
      <c r="AV1566" t="inlineStr">
        <is>
          <t>27810723</t>
        </is>
      </c>
      <c r="AW1566" t="inlineStr">
        <is>
          <t>991002157739702656</t>
        </is>
      </c>
      <c r="AX1566" t="inlineStr">
        <is>
          <t>991002157739702656</t>
        </is>
      </c>
      <c r="AY1566" t="inlineStr">
        <is>
          <t>2259216980002656</t>
        </is>
      </c>
      <c r="AZ1566" t="inlineStr">
        <is>
          <t>BOOK</t>
        </is>
      </c>
      <c r="BB1566" t="inlineStr">
        <is>
          <t>9780963403018</t>
        </is>
      </c>
      <c r="BC1566" t="inlineStr">
        <is>
          <t>32285001813822</t>
        </is>
      </c>
      <c r="BD1566" t="inlineStr">
        <is>
          <t>893866872</t>
        </is>
      </c>
    </row>
    <row r="1567">
      <c r="A1567" t="inlineStr">
        <is>
          <t>No</t>
        </is>
      </c>
      <c r="B1567" t="inlineStr">
        <is>
          <t>QH76 .A44 1982</t>
        </is>
      </c>
      <c r="C1567" t="inlineStr">
        <is>
          <t>0                      QH 0076000A  44          1982</t>
        </is>
      </c>
      <c r="D1567" t="inlineStr">
        <is>
          <t>The politics of wilderness preservation / Craig W. Allin.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K1567" t="inlineStr">
        <is>
          <t>Allin, Craig W. (Craig Willard)</t>
        </is>
      </c>
      <c r="L1567" t="inlineStr">
        <is>
          <t>Westport, Conn. : Greenwood Press, 1982.</t>
        </is>
      </c>
      <c r="M1567" t="inlineStr">
        <is>
          <t>1982</t>
        </is>
      </c>
      <c r="O1567" t="inlineStr">
        <is>
          <t>eng</t>
        </is>
      </c>
      <c r="P1567" t="inlineStr">
        <is>
          <t>ctu</t>
        </is>
      </c>
      <c r="Q1567" t="inlineStr">
        <is>
          <t>Contributions in political science, 0147-1066 ; no. 64</t>
        </is>
      </c>
      <c r="R1567" t="inlineStr">
        <is>
          <t xml:space="preserve">QH </t>
        </is>
      </c>
      <c r="S1567" t="n">
        <v>6</v>
      </c>
      <c r="T1567" t="n">
        <v>6</v>
      </c>
      <c r="U1567" t="inlineStr">
        <is>
          <t>1997-11-09</t>
        </is>
      </c>
      <c r="V1567" t="inlineStr">
        <is>
          <t>1997-11-09</t>
        </is>
      </c>
      <c r="W1567" t="inlineStr">
        <is>
          <t>1993-03-05</t>
        </is>
      </c>
      <c r="X1567" t="inlineStr">
        <is>
          <t>1993-03-05</t>
        </is>
      </c>
      <c r="Y1567" t="n">
        <v>712</v>
      </c>
      <c r="Z1567" t="n">
        <v>622</v>
      </c>
      <c r="AA1567" t="n">
        <v>661</v>
      </c>
      <c r="AB1567" t="n">
        <v>4</v>
      </c>
      <c r="AC1567" t="n">
        <v>4</v>
      </c>
      <c r="AD1567" t="n">
        <v>26</v>
      </c>
      <c r="AE1567" t="n">
        <v>26</v>
      </c>
      <c r="AF1567" t="n">
        <v>8</v>
      </c>
      <c r="AG1567" t="n">
        <v>8</v>
      </c>
      <c r="AH1567" t="n">
        <v>5</v>
      </c>
      <c r="AI1567" t="n">
        <v>5</v>
      </c>
      <c r="AJ1567" t="n">
        <v>13</v>
      </c>
      <c r="AK1567" t="n">
        <v>13</v>
      </c>
      <c r="AL1567" t="n">
        <v>3</v>
      </c>
      <c r="AM1567" t="n">
        <v>3</v>
      </c>
      <c r="AN1567" t="n">
        <v>4</v>
      </c>
      <c r="AO1567" t="n">
        <v>4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HYPERLINK("http://catalog.hathitrust.org/Record/000147779","HathiTrust Record")</f>
        <v/>
      </c>
      <c r="AS1567">
        <f>HYPERLINK("https://creighton-primo.hosted.exlibrisgroup.com/primo-explore/search?tab=default_tab&amp;search_scope=EVERYTHING&amp;vid=01CRU&amp;lang=en_US&amp;offset=0&amp;query=any,contains,991005124579702656","Catalog Record")</f>
        <v/>
      </c>
      <c r="AT1567">
        <f>HYPERLINK("http://www.worldcat.org/oclc/7552446","WorldCat Record")</f>
        <v/>
      </c>
      <c r="AU1567" t="inlineStr">
        <is>
          <t>445887:eng</t>
        </is>
      </c>
      <c r="AV1567" t="inlineStr">
        <is>
          <t>7552446</t>
        </is>
      </c>
      <c r="AW1567" t="inlineStr">
        <is>
          <t>991005124579702656</t>
        </is>
      </c>
      <c r="AX1567" t="inlineStr">
        <is>
          <t>991005124579702656</t>
        </is>
      </c>
      <c r="AY1567" t="inlineStr">
        <is>
          <t>2263015320002656</t>
        </is>
      </c>
      <c r="AZ1567" t="inlineStr">
        <is>
          <t>BOOK</t>
        </is>
      </c>
      <c r="BB1567" t="inlineStr">
        <is>
          <t>9780313214585</t>
        </is>
      </c>
      <c r="BC1567" t="inlineStr">
        <is>
          <t>32285001551208</t>
        </is>
      </c>
      <c r="BD1567" t="inlineStr">
        <is>
          <t>893230245</t>
        </is>
      </c>
    </row>
    <row r="1568">
      <c r="A1568" t="inlineStr">
        <is>
          <t>No</t>
        </is>
      </c>
      <c r="B1568" t="inlineStr">
        <is>
          <t>QH76 .B44 1997</t>
        </is>
      </c>
      <c r="C1568" t="inlineStr">
        <is>
          <t>0                      QH 0076000B  44          1997</t>
        </is>
      </c>
      <c r="D1568" t="inlineStr">
        <is>
          <t>Behavioral approaches to conservation in the wild / edited by Janine R. Clemmons and Richard Buchholz.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L1568" t="inlineStr">
        <is>
          <t>Cambridge ; New York : Cambridge University Press, 1997.</t>
        </is>
      </c>
      <c r="M1568" t="inlineStr">
        <is>
          <t>1997</t>
        </is>
      </c>
      <c r="O1568" t="inlineStr">
        <is>
          <t>eng</t>
        </is>
      </c>
      <c r="P1568" t="inlineStr">
        <is>
          <t>enk</t>
        </is>
      </c>
      <c r="R1568" t="inlineStr">
        <is>
          <t xml:space="preserve">QH </t>
        </is>
      </c>
      <c r="S1568" t="n">
        <v>7</v>
      </c>
      <c r="T1568" t="n">
        <v>7</v>
      </c>
      <c r="U1568" t="inlineStr">
        <is>
          <t>2003-04-15</t>
        </is>
      </c>
      <c r="V1568" t="inlineStr">
        <is>
          <t>2003-04-15</t>
        </is>
      </c>
      <c r="W1568" t="inlineStr">
        <is>
          <t>1997-09-08</t>
        </is>
      </c>
      <c r="X1568" t="inlineStr">
        <is>
          <t>1997-09-08</t>
        </is>
      </c>
      <c r="Y1568" t="n">
        <v>389</v>
      </c>
      <c r="Z1568" t="n">
        <v>275</v>
      </c>
      <c r="AA1568" t="n">
        <v>280</v>
      </c>
      <c r="AB1568" t="n">
        <v>3</v>
      </c>
      <c r="AC1568" t="n">
        <v>3</v>
      </c>
      <c r="AD1568" t="n">
        <v>13</v>
      </c>
      <c r="AE1568" t="n">
        <v>13</v>
      </c>
      <c r="AF1568" t="n">
        <v>5</v>
      </c>
      <c r="AG1568" t="n">
        <v>5</v>
      </c>
      <c r="AH1568" t="n">
        <v>5</v>
      </c>
      <c r="AI1568" t="n">
        <v>5</v>
      </c>
      <c r="AJ1568" t="n">
        <v>4</v>
      </c>
      <c r="AK1568" t="n">
        <v>4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No</t>
        </is>
      </c>
      <c r="AS1568">
        <f>HYPERLINK("https://creighton-primo.hosted.exlibrisgroup.com/primo-explore/search?tab=default_tab&amp;search_scope=EVERYTHING&amp;vid=01CRU&amp;lang=en_US&amp;offset=0&amp;query=any,contains,991002682009702656","Catalog Record")</f>
        <v/>
      </c>
      <c r="AT1568">
        <f>HYPERLINK("http://www.worldcat.org/oclc/35043367","WorldCat Record")</f>
        <v/>
      </c>
      <c r="AU1568" t="inlineStr">
        <is>
          <t>180574735:eng</t>
        </is>
      </c>
      <c r="AV1568" t="inlineStr">
        <is>
          <t>35043367</t>
        </is>
      </c>
      <c r="AW1568" t="inlineStr">
        <is>
          <t>991002682009702656</t>
        </is>
      </c>
      <c r="AX1568" t="inlineStr">
        <is>
          <t>991002682009702656</t>
        </is>
      </c>
      <c r="AY1568" t="inlineStr">
        <is>
          <t>2257296450002656</t>
        </is>
      </c>
      <c r="AZ1568" t="inlineStr">
        <is>
          <t>BOOK</t>
        </is>
      </c>
      <c r="BB1568" t="inlineStr">
        <is>
          <t>9780521580540</t>
        </is>
      </c>
      <c r="BC1568" t="inlineStr">
        <is>
          <t>32285003003984</t>
        </is>
      </c>
      <c r="BD1568" t="inlineStr">
        <is>
          <t>893627257</t>
        </is>
      </c>
    </row>
    <row r="1569">
      <c r="A1569" t="inlineStr">
        <is>
          <t>No</t>
        </is>
      </c>
      <c r="B1569" t="inlineStr">
        <is>
          <t>QH76 .D58 1993</t>
        </is>
      </c>
      <c r="C1569" t="inlineStr">
        <is>
          <t>0                      QH 0076000D  58          1993</t>
        </is>
      </c>
      <c r="D1569" t="inlineStr">
        <is>
          <t>Reclaiming the last wild places : a new agenda for biodiversity / by Roger L. DiSilvestro.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DiSilvestro, Roger L.</t>
        </is>
      </c>
      <c r="L1569" t="inlineStr">
        <is>
          <t>New York : Wiley, c1993.</t>
        </is>
      </c>
      <c r="M1569" t="inlineStr">
        <is>
          <t>1993</t>
        </is>
      </c>
      <c r="O1569" t="inlineStr">
        <is>
          <t>eng</t>
        </is>
      </c>
      <c r="P1569" t="inlineStr">
        <is>
          <t>nyu</t>
        </is>
      </c>
      <c r="Q1569" t="inlineStr">
        <is>
          <t>Wiley science editions</t>
        </is>
      </c>
      <c r="R1569" t="inlineStr">
        <is>
          <t xml:space="preserve">QH </t>
        </is>
      </c>
      <c r="S1569" t="n">
        <v>3</v>
      </c>
      <c r="T1569" t="n">
        <v>3</v>
      </c>
      <c r="U1569" t="inlineStr">
        <is>
          <t>1996-10-06</t>
        </is>
      </c>
      <c r="V1569" t="inlineStr">
        <is>
          <t>1996-10-06</t>
        </is>
      </c>
      <c r="W1569" t="inlineStr">
        <is>
          <t>1993-08-24</t>
        </is>
      </c>
      <c r="X1569" t="inlineStr">
        <is>
          <t>1993-08-24</t>
        </is>
      </c>
      <c r="Y1569" t="n">
        <v>752</v>
      </c>
      <c r="Z1569" t="n">
        <v>671</v>
      </c>
      <c r="AA1569" t="n">
        <v>677</v>
      </c>
      <c r="AB1569" t="n">
        <v>5</v>
      </c>
      <c r="AC1569" t="n">
        <v>5</v>
      </c>
      <c r="AD1569" t="n">
        <v>21</v>
      </c>
      <c r="AE1569" t="n">
        <v>21</v>
      </c>
      <c r="AF1569" t="n">
        <v>5</v>
      </c>
      <c r="AG1569" t="n">
        <v>5</v>
      </c>
      <c r="AH1569" t="n">
        <v>4</v>
      </c>
      <c r="AI1569" t="n">
        <v>4</v>
      </c>
      <c r="AJ1569" t="n">
        <v>12</v>
      </c>
      <c r="AK1569" t="n">
        <v>12</v>
      </c>
      <c r="AL1569" t="n">
        <v>4</v>
      </c>
      <c r="AM1569" t="n">
        <v>4</v>
      </c>
      <c r="AN1569" t="n">
        <v>1</v>
      </c>
      <c r="AO1569" t="n">
        <v>1</v>
      </c>
      <c r="AP1569" t="inlineStr">
        <is>
          <t>No</t>
        </is>
      </c>
      <c r="AQ1569" t="inlineStr">
        <is>
          <t>Yes</t>
        </is>
      </c>
      <c r="AR1569">
        <f>HYPERLINK("http://catalog.hathitrust.org/Record/002650382","HathiTrust Record")</f>
        <v/>
      </c>
      <c r="AS1569">
        <f>HYPERLINK("https://creighton-primo.hosted.exlibrisgroup.com/primo-explore/search?tab=default_tab&amp;search_scope=EVERYTHING&amp;vid=01CRU&amp;lang=en_US&amp;offset=0&amp;query=any,contains,991002130169702656","Catalog Record")</f>
        <v/>
      </c>
      <c r="AT1569">
        <f>HYPERLINK("http://www.worldcat.org/oclc/27266947","WorldCat Record")</f>
        <v/>
      </c>
      <c r="AU1569" t="inlineStr">
        <is>
          <t>340398:eng</t>
        </is>
      </c>
      <c r="AV1569" t="inlineStr">
        <is>
          <t>27266947</t>
        </is>
      </c>
      <c r="AW1569" t="inlineStr">
        <is>
          <t>991002130169702656</t>
        </is>
      </c>
      <c r="AX1569" t="inlineStr">
        <is>
          <t>991002130169702656</t>
        </is>
      </c>
      <c r="AY1569" t="inlineStr">
        <is>
          <t>2269271820002656</t>
        </is>
      </c>
      <c r="AZ1569" t="inlineStr">
        <is>
          <t>BOOK</t>
        </is>
      </c>
      <c r="BB1569" t="inlineStr">
        <is>
          <t>9780471572442</t>
        </is>
      </c>
      <c r="BC1569" t="inlineStr">
        <is>
          <t>32285001728061</t>
        </is>
      </c>
      <c r="BD1569" t="inlineStr">
        <is>
          <t>893873137</t>
        </is>
      </c>
    </row>
    <row r="1570">
      <c r="A1570" t="inlineStr">
        <is>
          <t>No</t>
        </is>
      </c>
      <c r="B1570" t="inlineStr">
        <is>
          <t>QH76 .E336 1996</t>
        </is>
      </c>
      <c r="C1570" t="inlineStr">
        <is>
          <t>0                      QH 0076000E  336         1996</t>
        </is>
      </c>
      <c r="D1570" t="inlineStr">
        <is>
          <t>Ecosystem management in the United States : an assessment of current experience / Steven L. Yaffee ... [et al.].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L1570" t="inlineStr">
        <is>
          <t>Washington, D.C. : Island Press, c1996.</t>
        </is>
      </c>
      <c r="M1570" t="inlineStr">
        <is>
          <t>1996</t>
        </is>
      </c>
      <c r="O1570" t="inlineStr">
        <is>
          <t>eng</t>
        </is>
      </c>
      <c r="P1570" t="inlineStr">
        <is>
          <t>dcu</t>
        </is>
      </c>
      <c r="R1570" t="inlineStr">
        <is>
          <t xml:space="preserve">QH </t>
        </is>
      </c>
      <c r="S1570" t="n">
        <v>5</v>
      </c>
      <c r="T1570" t="n">
        <v>5</v>
      </c>
      <c r="U1570" t="inlineStr">
        <is>
          <t>2001-02-09</t>
        </is>
      </c>
      <c r="V1570" t="inlineStr">
        <is>
          <t>2001-02-09</t>
        </is>
      </c>
      <c r="W1570" t="inlineStr">
        <is>
          <t>1996-12-02</t>
        </is>
      </c>
      <c r="X1570" t="inlineStr">
        <is>
          <t>1996-12-02</t>
        </is>
      </c>
      <c r="Y1570" t="n">
        <v>537</v>
      </c>
      <c r="Z1570" t="n">
        <v>478</v>
      </c>
      <c r="AA1570" t="n">
        <v>480</v>
      </c>
      <c r="AB1570" t="n">
        <v>4</v>
      </c>
      <c r="AC1570" t="n">
        <v>4</v>
      </c>
      <c r="AD1570" t="n">
        <v>20</v>
      </c>
      <c r="AE1570" t="n">
        <v>20</v>
      </c>
      <c r="AF1570" t="n">
        <v>6</v>
      </c>
      <c r="AG1570" t="n">
        <v>6</v>
      </c>
      <c r="AH1570" t="n">
        <v>5</v>
      </c>
      <c r="AI1570" t="n">
        <v>5</v>
      </c>
      <c r="AJ1570" t="n">
        <v>10</v>
      </c>
      <c r="AK1570" t="n">
        <v>10</v>
      </c>
      <c r="AL1570" t="n">
        <v>3</v>
      </c>
      <c r="AM1570" t="n">
        <v>3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HYPERLINK("http://catalog.hathitrust.org/Record/003087471","HathiTrust Record")</f>
        <v/>
      </c>
      <c r="AS1570">
        <f>HYPERLINK("https://creighton-primo.hosted.exlibrisgroup.com/primo-explore/search?tab=default_tab&amp;search_scope=EVERYTHING&amp;vid=01CRU&amp;lang=en_US&amp;offset=0&amp;query=any,contains,991002656259702656","Catalog Record")</f>
        <v/>
      </c>
      <c r="AT1570">
        <f>HYPERLINK("http://www.worldcat.org/oclc/34731100","WorldCat Record")</f>
        <v/>
      </c>
      <c r="AU1570" t="inlineStr">
        <is>
          <t>138797829:eng</t>
        </is>
      </c>
      <c r="AV1570" t="inlineStr">
        <is>
          <t>34731100</t>
        </is>
      </c>
      <c r="AW1570" t="inlineStr">
        <is>
          <t>991002656259702656</t>
        </is>
      </c>
      <c r="AX1570" t="inlineStr">
        <is>
          <t>991002656259702656</t>
        </is>
      </c>
      <c r="AY1570" t="inlineStr">
        <is>
          <t>2268403510002656</t>
        </is>
      </c>
      <c r="AZ1570" t="inlineStr">
        <is>
          <t>BOOK</t>
        </is>
      </c>
      <c r="BB1570" t="inlineStr">
        <is>
          <t>9781559635028</t>
        </is>
      </c>
      <c r="BC1570" t="inlineStr">
        <is>
          <t>32285002387313</t>
        </is>
      </c>
      <c r="BD1570" t="inlineStr">
        <is>
          <t>893227124</t>
        </is>
      </c>
    </row>
    <row r="1571">
      <c r="A1571" t="inlineStr">
        <is>
          <t>No</t>
        </is>
      </c>
      <c r="B1571" t="inlineStr">
        <is>
          <t>QH76 .E86 2004</t>
        </is>
      </c>
      <c r="C1571" t="inlineStr">
        <is>
          <t>0                      QH 0076000E  86          2004</t>
        </is>
      </c>
      <c r="D1571" t="inlineStr">
        <is>
          <t>Estuarine research, monitoring, and resource protection / edited by Michael J. Kennish.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Boca Raton, Fla. : CRC Press, c2004.</t>
        </is>
      </c>
      <c r="M1571" t="inlineStr">
        <is>
          <t>2004</t>
        </is>
      </c>
      <c r="O1571" t="inlineStr">
        <is>
          <t>eng</t>
        </is>
      </c>
      <c r="P1571" t="inlineStr">
        <is>
          <t>flu</t>
        </is>
      </c>
      <c r="Q1571" t="inlineStr">
        <is>
          <t>Marine science series</t>
        </is>
      </c>
      <c r="R1571" t="inlineStr">
        <is>
          <t xml:space="preserve">QH </t>
        </is>
      </c>
      <c r="S1571" t="n">
        <v>1</v>
      </c>
      <c r="T1571" t="n">
        <v>1</v>
      </c>
      <c r="U1571" t="inlineStr">
        <is>
          <t>2004-04-26</t>
        </is>
      </c>
      <c r="V1571" t="inlineStr">
        <is>
          <t>2004-04-26</t>
        </is>
      </c>
      <c r="W1571" t="inlineStr">
        <is>
          <t>2004-04-26</t>
        </is>
      </c>
      <c r="X1571" t="inlineStr">
        <is>
          <t>2004-04-26</t>
        </is>
      </c>
      <c r="Y1571" t="n">
        <v>268</v>
      </c>
      <c r="Z1571" t="n">
        <v>188</v>
      </c>
      <c r="AA1571" t="n">
        <v>259</v>
      </c>
      <c r="AB1571" t="n">
        <v>1</v>
      </c>
      <c r="AC1571" t="n">
        <v>1</v>
      </c>
      <c r="AD1571" t="n">
        <v>7</v>
      </c>
      <c r="AE1571" t="n">
        <v>9</v>
      </c>
      <c r="AF1571" t="n">
        <v>4</v>
      </c>
      <c r="AG1571" t="n">
        <v>4</v>
      </c>
      <c r="AH1571" t="n">
        <v>2</v>
      </c>
      <c r="AI1571" t="n">
        <v>2</v>
      </c>
      <c r="AJ1571" t="n">
        <v>3</v>
      </c>
      <c r="AK1571" t="n">
        <v>5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No</t>
        </is>
      </c>
      <c r="AS1571">
        <f>HYPERLINK("https://creighton-primo.hosted.exlibrisgroup.com/primo-explore/search?tab=default_tab&amp;search_scope=EVERYTHING&amp;vid=01CRU&amp;lang=en_US&amp;offset=0&amp;query=any,contains,991004276179702656","Catalog Record")</f>
        <v/>
      </c>
      <c r="AT1571">
        <f>HYPERLINK("http://www.worldcat.org/oclc/52216291","WorldCat Record")</f>
        <v/>
      </c>
      <c r="AU1571" t="inlineStr">
        <is>
          <t>766866470:eng</t>
        </is>
      </c>
      <c r="AV1571" t="inlineStr">
        <is>
          <t>52216291</t>
        </is>
      </c>
      <c r="AW1571" t="inlineStr">
        <is>
          <t>991004276179702656</t>
        </is>
      </c>
      <c r="AX1571" t="inlineStr">
        <is>
          <t>991004276179702656</t>
        </is>
      </c>
      <c r="AY1571" t="inlineStr">
        <is>
          <t>2256997950002656</t>
        </is>
      </c>
      <c r="AZ1571" t="inlineStr">
        <is>
          <t>BOOK</t>
        </is>
      </c>
      <c r="BB1571" t="inlineStr">
        <is>
          <t>9780849319600</t>
        </is>
      </c>
      <c r="BC1571" t="inlineStr">
        <is>
          <t>32285004902598</t>
        </is>
      </c>
      <c r="BD1571" t="inlineStr">
        <is>
          <t>893532211</t>
        </is>
      </c>
    </row>
    <row r="1572">
      <c r="A1572" t="inlineStr">
        <is>
          <t>No</t>
        </is>
      </c>
      <c r="B1572" t="inlineStr">
        <is>
          <t>QH76 .M36 1995</t>
        </is>
      </c>
      <c r="C1572" t="inlineStr">
        <is>
          <t>0                      QH 0076000M  36          1995</t>
        </is>
      </c>
      <c r="D1572" t="inlineStr">
        <is>
          <t>Noah's choice : the future of endangered species / by Charles C. Mann and Mark L. Plummer.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Mann, Charles C.</t>
        </is>
      </c>
      <c r="L1572" t="inlineStr">
        <is>
          <t>New York : Knopf, 1995.</t>
        </is>
      </c>
      <c r="M1572" t="inlineStr">
        <is>
          <t>1995</t>
        </is>
      </c>
      <c r="N1572" t="inlineStr">
        <is>
          <t>1st ed.</t>
        </is>
      </c>
      <c r="O1572" t="inlineStr">
        <is>
          <t>eng</t>
        </is>
      </c>
      <c r="P1572" t="inlineStr">
        <is>
          <t>nyu</t>
        </is>
      </c>
      <c r="R1572" t="inlineStr">
        <is>
          <t xml:space="preserve">QH </t>
        </is>
      </c>
      <c r="S1572" t="n">
        <v>7</v>
      </c>
      <c r="T1572" t="n">
        <v>7</v>
      </c>
      <c r="U1572" t="inlineStr">
        <is>
          <t>1996-02-24</t>
        </is>
      </c>
      <c r="V1572" t="inlineStr">
        <is>
          <t>1996-02-24</t>
        </is>
      </c>
      <c r="W1572" t="inlineStr">
        <is>
          <t>1995-03-19</t>
        </is>
      </c>
      <c r="X1572" t="inlineStr">
        <is>
          <t>1995-03-19</t>
        </is>
      </c>
      <c r="Y1572" t="n">
        <v>1344</v>
      </c>
      <c r="Z1572" t="n">
        <v>1269</v>
      </c>
      <c r="AA1572" t="n">
        <v>1289</v>
      </c>
      <c r="AB1572" t="n">
        <v>7</v>
      </c>
      <c r="AC1572" t="n">
        <v>7</v>
      </c>
      <c r="AD1572" t="n">
        <v>39</v>
      </c>
      <c r="AE1572" t="n">
        <v>40</v>
      </c>
      <c r="AF1572" t="n">
        <v>13</v>
      </c>
      <c r="AG1572" t="n">
        <v>14</v>
      </c>
      <c r="AH1572" t="n">
        <v>8</v>
      </c>
      <c r="AI1572" t="n">
        <v>8</v>
      </c>
      <c r="AJ1572" t="n">
        <v>18</v>
      </c>
      <c r="AK1572" t="n">
        <v>18</v>
      </c>
      <c r="AL1572" t="n">
        <v>4</v>
      </c>
      <c r="AM1572" t="n">
        <v>4</v>
      </c>
      <c r="AN1572" t="n">
        <v>5</v>
      </c>
      <c r="AO1572" t="n">
        <v>5</v>
      </c>
      <c r="AP1572" t="inlineStr">
        <is>
          <t>No</t>
        </is>
      </c>
      <c r="AQ1572" t="inlineStr">
        <is>
          <t>Yes</t>
        </is>
      </c>
      <c r="AR1572">
        <f>HYPERLINK("http://catalog.hathitrust.org/Record/002938342","HathiTrust Record")</f>
        <v/>
      </c>
      <c r="AS1572">
        <f>HYPERLINK("https://creighton-primo.hosted.exlibrisgroup.com/primo-explore/search?tab=default_tab&amp;search_scope=EVERYTHING&amp;vid=01CRU&amp;lang=en_US&amp;offset=0&amp;query=any,contains,991002357159702656","Catalog Record")</f>
        <v/>
      </c>
      <c r="AT1572">
        <f>HYPERLINK("http://www.worldcat.org/oclc/30667470","WorldCat Record")</f>
        <v/>
      </c>
      <c r="AU1572" t="inlineStr">
        <is>
          <t>196442608:eng</t>
        </is>
      </c>
      <c r="AV1572" t="inlineStr">
        <is>
          <t>30667470</t>
        </is>
      </c>
      <c r="AW1572" t="inlineStr">
        <is>
          <t>991002357159702656</t>
        </is>
      </c>
      <c r="AX1572" t="inlineStr">
        <is>
          <t>991002357159702656</t>
        </is>
      </c>
      <c r="AY1572" t="inlineStr">
        <is>
          <t>2268192790002656</t>
        </is>
      </c>
      <c r="AZ1572" t="inlineStr">
        <is>
          <t>BOOK</t>
        </is>
      </c>
      <c r="BB1572" t="inlineStr">
        <is>
          <t>9780679420026</t>
        </is>
      </c>
      <c r="BC1572" t="inlineStr">
        <is>
          <t>32285002003241</t>
        </is>
      </c>
      <c r="BD1572" t="inlineStr">
        <is>
          <t>893779717</t>
        </is>
      </c>
    </row>
    <row r="1573">
      <c r="A1573" t="inlineStr">
        <is>
          <t>No</t>
        </is>
      </c>
      <c r="B1573" t="inlineStr">
        <is>
          <t>QH76 .W39 2004</t>
        </is>
      </c>
      <c r="C1573" t="inlineStr">
        <is>
          <t>0                      QH 0076000W  39          2004</t>
        </is>
      </c>
      <c r="D1573" t="inlineStr">
        <is>
          <t>Your land and mine : evolution of a conservationist / Edgar Wayburn with Allison Alsup.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K1573" t="inlineStr">
        <is>
          <t>Wayburn, Edgar.</t>
        </is>
      </c>
      <c r="L1573" t="inlineStr">
        <is>
          <t>San Francisco : Sierra Club Books ; Berkeley, Calif. : Distributed by University of California Press, c2004.</t>
        </is>
      </c>
      <c r="M1573" t="inlineStr">
        <is>
          <t>2004</t>
        </is>
      </c>
      <c r="O1573" t="inlineStr">
        <is>
          <t>eng</t>
        </is>
      </c>
      <c r="P1573" t="inlineStr">
        <is>
          <t>cau</t>
        </is>
      </c>
      <c r="R1573" t="inlineStr">
        <is>
          <t xml:space="preserve">QH </t>
        </is>
      </c>
      <c r="S1573" t="n">
        <v>1</v>
      </c>
      <c r="T1573" t="n">
        <v>1</v>
      </c>
      <c r="U1573" t="inlineStr">
        <is>
          <t>2004-06-27</t>
        </is>
      </c>
      <c r="V1573" t="inlineStr">
        <is>
          <t>2004-06-27</t>
        </is>
      </c>
      <c r="W1573" t="inlineStr">
        <is>
          <t>2004-06-27</t>
        </is>
      </c>
      <c r="X1573" t="inlineStr">
        <is>
          <t>2004-06-27</t>
        </is>
      </c>
      <c r="Y1573" t="n">
        <v>389</v>
      </c>
      <c r="Z1573" t="n">
        <v>368</v>
      </c>
      <c r="AA1573" t="n">
        <v>376</v>
      </c>
      <c r="AB1573" t="n">
        <v>5</v>
      </c>
      <c r="AC1573" t="n">
        <v>5</v>
      </c>
      <c r="AD1573" t="n">
        <v>15</v>
      </c>
      <c r="AE1573" t="n">
        <v>15</v>
      </c>
      <c r="AF1573" t="n">
        <v>3</v>
      </c>
      <c r="AG1573" t="n">
        <v>3</v>
      </c>
      <c r="AH1573" t="n">
        <v>2</v>
      </c>
      <c r="AI1573" t="n">
        <v>2</v>
      </c>
      <c r="AJ1573" t="n">
        <v>6</v>
      </c>
      <c r="AK1573" t="n">
        <v>6</v>
      </c>
      <c r="AL1573" t="n">
        <v>3</v>
      </c>
      <c r="AM1573" t="n">
        <v>3</v>
      </c>
      <c r="AN1573" t="n">
        <v>2</v>
      </c>
      <c r="AO1573" t="n">
        <v>2</v>
      </c>
      <c r="AP1573" t="inlineStr">
        <is>
          <t>No</t>
        </is>
      </c>
      <c r="AQ1573" t="inlineStr">
        <is>
          <t>Yes</t>
        </is>
      </c>
      <c r="AR1573">
        <f>HYPERLINK("http://catalog.hathitrust.org/Record/004966974","HathiTrust Record")</f>
        <v/>
      </c>
      <c r="AS1573">
        <f>HYPERLINK("https://creighton-primo.hosted.exlibrisgroup.com/primo-explore/search?tab=default_tab&amp;search_scope=EVERYTHING&amp;vid=01CRU&amp;lang=en_US&amp;offset=0&amp;query=any,contains,991004300759702656","Catalog Record")</f>
        <v/>
      </c>
      <c r="AT1573">
        <f>HYPERLINK("http://www.worldcat.org/oclc/54024246","WorldCat Record")</f>
        <v/>
      </c>
      <c r="AU1573" t="inlineStr">
        <is>
          <t>12770970:eng</t>
        </is>
      </c>
      <c r="AV1573" t="inlineStr">
        <is>
          <t>54024246</t>
        </is>
      </c>
      <c r="AW1573" t="inlineStr">
        <is>
          <t>991004300759702656</t>
        </is>
      </c>
      <c r="AX1573" t="inlineStr">
        <is>
          <t>991004300759702656</t>
        </is>
      </c>
      <c r="AY1573" t="inlineStr">
        <is>
          <t>2269090220002656</t>
        </is>
      </c>
      <c r="AZ1573" t="inlineStr">
        <is>
          <t>BOOK</t>
        </is>
      </c>
      <c r="BB1573" t="inlineStr">
        <is>
          <t>9781578050901</t>
        </is>
      </c>
      <c r="BC1573" t="inlineStr">
        <is>
          <t>32285004921374</t>
        </is>
      </c>
      <c r="BD1573" t="inlineStr">
        <is>
          <t>893869560</t>
        </is>
      </c>
    </row>
    <row r="1574">
      <c r="A1574" t="inlineStr">
        <is>
          <t>No</t>
        </is>
      </c>
      <c r="B1574" t="inlineStr">
        <is>
          <t>QH76.5.N97 B37 1993</t>
        </is>
      </c>
      <c r="C1574" t="inlineStr">
        <is>
          <t>0                      QH 0076500N  97                 B  37          1993</t>
        </is>
      </c>
      <c r="D1574" t="inlineStr">
        <is>
          <t>Saving all the parts : reconciling economics and the Endangered Species Act / Rocky Barker.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Barker, Rocky.</t>
        </is>
      </c>
      <c r="L1574" t="inlineStr">
        <is>
          <t>Washington, D.C. : Island Press, c1993.</t>
        </is>
      </c>
      <c r="M1574" t="inlineStr">
        <is>
          <t>1993</t>
        </is>
      </c>
      <c r="O1574" t="inlineStr">
        <is>
          <t>eng</t>
        </is>
      </c>
      <c r="P1574" t="inlineStr">
        <is>
          <t>dcu</t>
        </is>
      </c>
      <c r="R1574" t="inlineStr">
        <is>
          <t xml:space="preserve">QH </t>
        </is>
      </c>
      <c r="S1574" t="n">
        <v>15</v>
      </c>
      <c r="T1574" t="n">
        <v>15</v>
      </c>
      <c r="U1574" t="inlineStr">
        <is>
          <t>2001-11-12</t>
        </is>
      </c>
      <c r="V1574" t="inlineStr">
        <is>
          <t>2001-11-12</t>
        </is>
      </c>
      <c r="W1574" t="inlineStr">
        <is>
          <t>1994-05-11</t>
        </is>
      </c>
      <c r="X1574" t="inlineStr">
        <is>
          <t>1994-05-11</t>
        </is>
      </c>
      <c r="Y1574" t="n">
        <v>663</v>
      </c>
      <c r="Z1574" t="n">
        <v>625</v>
      </c>
      <c r="AA1574" t="n">
        <v>1129</v>
      </c>
      <c r="AB1574" t="n">
        <v>4</v>
      </c>
      <c r="AC1574" t="n">
        <v>15</v>
      </c>
      <c r="AD1574" t="n">
        <v>28</v>
      </c>
      <c r="AE1574" t="n">
        <v>47</v>
      </c>
      <c r="AF1574" t="n">
        <v>9</v>
      </c>
      <c r="AG1574" t="n">
        <v>14</v>
      </c>
      <c r="AH1574" t="n">
        <v>6</v>
      </c>
      <c r="AI1574" t="n">
        <v>8</v>
      </c>
      <c r="AJ1574" t="n">
        <v>12</v>
      </c>
      <c r="AK1574" t="n">
        <v>15</v>
      </c>
      <c r="AL1574" t="n">
        <v>3</v>
      </c>
      <c r="AM1574" t="n">
        <v>13</v>
      </c>
      <c r="AN1574" t="n">
        <v>5</v>
      </c>
      <c r="AO1574" t="n">
        <v>6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HYPERLINK("https://creighton-primo.hosted.exlibrisgroup.com/primo-explore/search?tab=default_tab&amp;search_scope=EVERYTHING&amp;vid=01CRU&amp;lang=en_US&amp;offset=0&amp;query=any,contains,991002186969702656","Catalog Record")</f>
        <v/>
      </c>
      <c r="AT1574">
        <f>HYPERLINK("http://www.worldcat.org/oclc/28149538","WorldCat Record")</f>
        <v/>
      </c>
      <c r="AU1574" t="inlineStr">
        <is>
          <t>815050712:eng</t>
        </is>
      </c>
      <c r="AV1574" t="inlineStr">
        <is>
          <t>28149538</t>
        </is>
      </c>
      <c r="AW1574" t="inlineStr">
        <is>
          <t>991002186969702656</t>
        </is>
      </c>
      <c r="AX1574" t="inlineStr">
        <is>
          <t>991002186969702656</t>
        </is>
      </c>
      <c r="AY1574" t="inlineStr">
        <is>
          <t>2271487670002656</t>
        </is>
      </c>
      <c r="AZ1574" t="inlineStr">
        <is>
          <t>BOOK</t>
        </is>
      </c>
      <c r="BB1574" t="inlineStr">
        <is>
          <t>9781559632010</t>
        </is>
      </c>
      <c r="BC1574" t="inlineStr">
        <is>
          <t>32285001895282</t>
        </is>
      </c>
      <c r="BD1574" t="inlineStr">
        <is>
          <t>893408791</t>
        </is>
      </c>
    </row>
    <row r="1575">
      <c r="A1575" t="inlineStr">
        <is>
          <t>No</t>
        </is>
      </c>
      <c r="B1575" t="inlineStr">
        <is>
          <t>QH76.5.Y45 C47 1986</t>
        </is>
      </c>
      <c r="C1575" t="inlineStr">
        <is>
          <t>0                      QH 0076500Y  45                 C  47          1986</t>
        </is>
      </c>
      <c r="D1575" t="inlineStr">
        <is>
          <t>Playing God in Yellowstone : the destruction of America's first National Park / by Alston Chase.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Chase, Alston.</t>
        </is>
      </c>
      <c r="L1575" t="inlineStr">
        <is>
          <t>Boston : Atlantic Monthly Press, c1986.</t>
        </is>
      </c>
      <c r="M1575" t="inlineStr">
        <is>
          <t>1986</t>
        </is>
      </c>
      <c r="N1575" t="inlineStr">
        <is>
          <t>1st ed.</t>
        </is>
      </c>
      <c r="O1575" t="inlineStr">
        <is>
          <t>eng</t>
        </is>
      </c>
      <c r="P1575" t="inlineStr">
        <is>
          <t>mau</t>
        </is>
      </c>
      <c r="R1575" t="inlineStr">
        <is>
          <t xml:space="preserve">QH </t>
        </is>
      </c>
      <c r="S1575" t="n">
        <v>9</v>
      </c>
      <c r="T1575" t="n">
        <v>9</v>
      </c>
      <c r="U1575" t="inlineStr">
        <is>
          <t>2003-08-22</t>
        </is>
      </c>
      <c r="V1575" t="inlineStr">
        <is>
          <t>2003-08-22</t>
        </is>
      </c>
      <c r="W1575" t="inlineStr">
        <is>
          <t>1992-12-01</t>
        </is>
      </c>
      <c r="X1575" t="inlineStr">
        <is>
          <t>1992-12-01</t>
        </is>
      </c>
      <c r="Y1575" t="n">
        <v>941</v>
      </c>
      <c r="Z1575" t="n">
        <v>902</v>
      </c>
      <c r="AA1575" t="n">
        <v>1170</v>
      </c>
      <c r="AB1575" t="n">
        <v>6</v>
      </c>
      <c r="AC1575" t="n">
        <v>9</v>
      </c>
      <c r="AD1575" t="n">
        <v>16</v>
      </c>
      <c r="AE1575" t="n">
        <v>28</v>
      </c>
      <c r="AF1575" t="n">
        <v>1</v>
      </c>
      <c r="AG1575" t="n">
        <v>8</v>
      </c>
      <c r="AH1575" t="n">
        <v>3</v>
      </c>
      <c r="AI1575" t="n">
        <v>4</v>
      </c>
      <c r="AJ1575" t="n">
        <v>6</v>
      </c>
      <c r="AK1575" t="n">
        <v>12</v>
      </c>
      <c r="AL1575" t="n">
        <v>3</v>
      </c>
      <c r="AM1575" t="n">
        <v>5</v>
      </c>
      <c r="AN1575" t="n">
        <v>3</v>
      </c>
      <c r="AO1575" t="n">
        <v>3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HYPERLINK("https://creighton-primo.hosted.exlibrisgroup.com/primo-explore/search?tab=default_tab&amp;search_scope=EVERYTHING&amp;vid=01CRU&amp;lang=en_US&amp;offset=0&amp;query=any,contains,991000780569702656","Catalog Record")</f>
        <v/>
      </c>
      <c r="AT1575">
        <f>HYPERLINK("http://www.worldcat.org/oclc/13095393","WorldCat Record")</f>
        <v/>
      </c>
      <c r="AU1575" t="inlineStr">
        <is>
          <t>912995334:eng</t>
        </is>
      </c>
      <c r="AV1575" t="inlineStr">
        <is>
          <t>13095393</t>
        </is>
      </c>
      <c r="AW1575" t="inlineStr">
        <is>
          <t>991000780569702656</t>
        </is>
      </c>
      <c r="AX1575" t="inlineStr">
        <is>
          <t>991000780569702656</t>
        </is>
      </c>
      <c r="AY1575" t="inlineStr">
        <is>
          <t>2255617770002656</t>
        </is>
      </c>
      <c r="AZ1575" t="inlineStr">
        <is>
          <t>BOOK</t>
        </is>
      </c>
      <c r="BB1575" t="inlineStr">
        <is>
          <t>9780871130259</t>
        </is>
      </c>
      <c r="BC1575" t="inlineStr">
        <is>
          <t>32285001410801</t>
        </is>
      </c>
      <c r="BD1575" t="inlineStr">
        <is>
          <t>893714895</t>
        </is>
      </c>
    </row>
    <row r="1576">
      <c r="A1576" t="inlineStr">
        <is>
          <t>No</t>
        </is>
      </c>
      <c r="B1576" t="inlineStr">
        <is>
          <t>QH77.A356 B56 1989</t>
        </is>
      </c>
      <c r="C1576" t="inlineStr">
        <is>
          <t>0                      QH 0077000A  356                B  56          1989</t>
        </is>
      </c>
      <c r="D1576" t="inlineStr">
        <is>
          <t>Biotic diversity in Southern Africa : concepts and conservation / edited by B.J. Huntley.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L1576" t="inlineStr">
        <is>
          <t>Cape Town : Oxford University Press, 1989.</t>
        </is>
      </c>
      <c r="M1576" t="inlineStr">
        <is>
          <t>1989</t>
        </is>
      </c>
      <c r="O1576" t="inlineStr">
        <is>
          <t>eng</t>
        </is>
      </c>
      <c r="P1576" t="inlineStr">
        <is>
          <t xml:space="preserve">sa </t>
        </is>
      </c>
      <c r="R1576" t="inlineStr">
        <is>
          <t xml:space="preserve">QH </t>
        </is>
      </c>
      <c r="S1576" t="n">
        <v>5</v>
      </c>
      <c r="T1576" t="n">
        <v>5</v>
      </c>
      <c r="U1576" t="inlineStr">
        <is>
          <t>1996-10-02</t>
        </is>
      </c>
      <c r="V1576" t="inlineStr">
        <is>
          <t>1996-10-02</t>
        </is>
      </c>
      <c r="W1576" t="inlineStr">
        <is>
          <t>1992-04-08</t>
        </is>
      </c>
      <c r="X1576" t="inlineStr">
        <is>
          <t>1992-04-08</t>
        </is>
      </c>
      <c r="Y1576" t="n">
        <v>247</v>
      </c>
      <c r="Z1576" t="n">
        <v>141</v>
      </c>
      <c r="AA1576" t="n">
        <v>142</v>
      </c>
      <c r="AB1576" t="n">
        <v>1</v>
      </c>
      <c r="AC1576" t="n">
        <v>1</v>
      </c>
      <c r="AD1576" t="n">
        <v>4</v>
      </c>
      <c r="AE1576" t="n">
        <v>4</v>
      </c>
      <c r="AF1576" t="n">
        <v>1</v>
      </c>
      <c r="AG1576" t="n">
        <v>1</v>
      </c>
      <c r="AH1576" t="n">
        <v>1</v>
      </c>
      <c r="AI1576" t="n">
        <v>1</v>
      </c>
      <c r="AJ1576" t="n">
        <v>2</v>
      </c>
      <c r="AK1576" t="n">
        <v>2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HYPERLINK("http://catalog.hathitrust.org/Record/002548060","HathiTrust Record")</f>
        <v/>
      </c>
      <c r="AS1576">
        <f>HYPERLINK("https://creighton-primo.hosted.exlibrisgroup.com/primo-explore/search?tab=default_tab&amp;search_scope=EVERYTHING&amp;vid=01CRU&amp;lang=en_US&amp;offset=0&amp;query=any,contains,991001682379702656","Catalog Record")</f>
        <v/>
      </c>
      <c r="AT1576">
        <f>HYPERLINK("http://www.worldcat.org/oclc/21373041","WorldCat Record")</f>
        <v/>
      </c>
      <c r="AU1576" t="inlineStr">
        <is>
          <t>836996172:eng</t>
        </is>
      </c>
      <c r="AV1576" t="inlineStr">
        <is>
          <t>21373041</t>
        </is>
      </c>
      <c r="AW1576" t="inlineStr">
        <is>
          <t>991001682379702656</t>
        </is>
      </c>
      <c r="AX1576" t="inlineStr">
        <is>
          <t>991001682379702656</t>
        </is>
      </c>
      <c r="AY1576" t="inlineStr">
        <is>
          <t>2265927910002656</t>
        </is>
      </c>
      <c r="AZ1576" t="inlineStr">
        <is>
          <t>BOOK</t>
        </is>
      </c>
      <c r="BB1576" t="inlineStr">
        <is>
          <t>9780195705492</t>
        </is>
      </c>
      <c r="BC1576" t="inlineStr">
        <is>
          <t>32285001008670</t>
        </is>
      </c>
      <c r="BD1576" t="inlineStr">
        <is>
          <t>893703227</t>
        </is>
      </c>
    </row>
    <row r="1577">
      <c r="A1577" t="inlineStr">
        <is>
          <t>No</t>
        </is>
      </c>
      <c r="B1577" t="inlineStr">
        <is>
          <t>QH77.C36 J64 1988</t>
        </is>
      </c>
      <c r="C1577" t="inlineStr">
        <is>
          <t>0                      QH 0077000C  36                 J  64          1988</t>
        </is>
      </c>
      <c r="D1577" t="inlineStr">
        <is>
          <t>Biodiversity and conservation in the Caribbean : profiles of selected islands / by Timothy H. Johnson.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Johnson, Timothy H. (Timothy Hugh), 1956-</t>
        </is>
      </c>
      <c r="L1577" t="inlineStr">
        <is>
          <t>Cambridge, UK : International Council for Bird Preservation, c1988.</t>
        </is>
      </c>
      <c r="M1577" t="inlineStr">
        <is>
          <t>1988</t>
        </is>
      </c>
      <c r="O1577" t="inlineStr">
        <is>
          <t>eng</t>
        </is>
      </c>
      <c r="P1577" t="inlineStr">
        <is>
          <t>enk</t>
        </is>
      </c>
      <c r="Q1577" t="inlineStr">
        <is>
          <t>ICBP monograph ; no. 1</t>
        </is>
      </c>
      <c r="R1577" t="inlineStr">
        <is>
          <t xml:space="preserve">QH </t>
        </is>
      </c>
      <c r="S1577" t="n">
        <v>5</v>
      </c>
      <c r="T1577" t="n">
        <v>5</v>
      </c>
      <c r="U1577" t="inlineStr">
        <is>
          <t>2000-09-14</t>
        </is>
      </c>
      <c r="V1577" t="inlineStr">
        <is>
          <t>2000-09-14</t>
        </is>
      </c>
      <c r="W1577" t="inlineStr">
        <is>
          <t>1992-08-05</t>
        </is>
      </c>
      <c r="X1577" t="inlineStr">
        <is>
          <t>1992-08-05</t>
        </is>
      </c>
      <c r="Y1577" t="n">
        <v>68</v>
      </c>
      <c r="Z1577" t="n">
        <v>37</v>
      </c>
      <c r="AA1577" t="n">
        <v>58</v>
      </c>
      <c r="AB1577" t="n">
        <v>1</v>
      </c>
      <c r="AC1577" t="n">
        <v>1</v>
      </c>
      <c r="AD1577" t="n">
        <v>1</v>
      </c>
      <c r="AE1577" t="n">
        <v>2</v>
      </c>
      <c r="AF1577" t="n">
        <v>0</v>
      </c>
      <c r="AG1577" t="n">
        <v>0</v>
      </c>
      <c r="AH1577" t="n">
        <v>0</v>
      </c>
      <c r="AI1577" t="n">
        <v>1</v>
      </c>
      <c r="AJ1577" t="n">
        <v>1</v>
      </c>
      <c r="AK1577" t="n">
        <v>1</v>
      </c>
      <c r="AL1577" t="n">
        <v>0</v>
      </c>
      <c r="AM1577" t="n">
        <v>0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Yes</t>
        </is>
      </c>
      <c r="AR1577">
        <f>HYPERLINK("http://catalog.hathitrust.org/Record/002229687","HathiTrust Record")</f>
        <v/>
      </c>
      <c r="AS1577">
        <f>HYPERLINK("https://creighton-primo.hosted.exlibrisgroup.com/primo-explore/search?tab=default_tab&amp;search_scope=EVERYTHING&amp;vid=01CRU&amp;lang=en_US&amp;offset=0&amp;query=any,contains,991001953229702656","Catalog Record")</f>
        <v/>
      </c>
      <c r="AT1577">
        <f>HYPERLINK("http://www.worldcat.org/oclc/24697665","WorldCat Record")</f>
        <v/>
      </c>
      <c r="AU1577" t="inlineStr">
        <is>
          <t>890248225:eng</t>
        </is>
      </c>
      <c r="AV1577" t="inlineStr">
        <is>
          <t>24697665</t>
        </is>
      </c>
      <c r="AW1577" t="inlineStr">
        <is>
          <t>991001953229702656</t>
        </is>
      </c>
      <c r="AX1577" t="inlineStr">
        <is>
          <t>991001953229702656</t>
        </is>
      </c>
      <c r="AY1577" t="inlineStr">
        <is>
          <t>2264445850002656</t>
        </is>
      </c>
      <c r="AZ1577" t="inlineStr">
        <is>
          <t>BOOK</t>
        </is>
      </c>
      <c r="BB1577" t="inlineStr">
        <is>
          <t>9780946888146</t>
        </is>
      </c>
      <c r="BC1577" t="inlineStr">
        <is>
          <t>32285001196632</t>
        </is>
      </c>
      <c r="BD1577" t="inlineStr">
        <is>
          <t>893256685</t>
        </is>
      </c>
    </row>
    <row r="1578">
      <c r="A1578" t="inlineStr">
        <is>
          <t>No</t>
        </is>
      </c>
      <c r="B1578" t="inlineStr">
        <is>
          <t>QH77.G7 B28</t>
        </is>
      </c>
      <c r="C1578" t="inlineStr">
        <is>
          <t>0                      QH 0077000G  7                  B  28</t>
        </is>
      </c>
      <c r="D1578" t="inlineStr">
        <is>
          <t>Nature conservation : a practical handbook / [by] W. M. M. Baron.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K1578" t="inlineStr">
        <is>
          <t>Baron, W. M. M. (William Michael Muir)</t>
        </is>
      </c>
      <c r="L1578" t="inlineStr">
        <is>
          <t>London : Methuen Educational, [1971]</t>
        </is>
      </c>
      <c r="M1578" t="inlineStr">
        <is>
          <t>1971</t>
        </is>
      </c>
      <c r="O1578" t="inlineStr">
        <is>
          <t>eng</t>
        </is>
      </c>
      <c r="P1578" t="inlineStr">
        <is>
          <t>enk</t>
        </is>
      </c>
      <c r="Q1578" t="inlineStr">
        <is>
          <t>Methuen studies in sciences</t>
        </is>
      </c>
      <c r="R1578" t="inlineStr">
        <is>
          <t xml:space="preserve">QH </t>
        </is>
      </c>
      <c r="S1578" t="n">
        <v>3</v>
      </c>
      <c r="T1578" t="n">
        <v>3</v>
      </c>
      <c r="U1578" t="inlineStr">
        <is>
          <t>1997-02-22</t>
        </is>
      </c>
      <c r="V1578" t="inlineStr">
        <is>
          <t>1997-02-22</t>
        </is>
      </c>
      <c r="W1578" t="inlineStr">
        <is>
          <t>1994-05-06</t>
        </is>
      </c>
      <c r="X1578" t="inlineStr">
        <is>
          <t>1994-05-06</t>
        </is>
      </c>
      <c r="Y1578" t="n">
        <v>170</v>
      </c>
      <c r="Z1578" t="n">
        <v>107</v>
      </c>
      <c r="AA1578" t="n">
        <v>115</v>
      </c>
      <c r="AB1578" t="n">
        <v>2</v>
      </c>
      <c r="AC1578" t="n">
        <v>2</v>
      </c>
      <c r="AD1578" t="n">
        <v>5</v>
      </c>
      <c r="AE1578" t="n">
        <v>5</v>
      </c>
      <c r="AF1578" t="n">
        <v>2</v>
      </c>
      <c r="AG1578" t="n">
        <v>2</v>
      </c>
      <c r="AH1578" t="n">
        <v>0</v>
      </c>
      <c r="AI1578" t="n">
        <v>0</v>
      </c>
      <c r="AJ1578" t="n">
        <v>3</v>
      </c>
      <c r="AK1578" t="n">
        <v>3</v>
      </c>
      <c r="AL1578" t="n">
        <v>1</v>
      </c>
      <c r="AM1578" t="n">
        <v>1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HYPERLINK("http://catalog.hathitrust.org/Record/007973249","HathiTrust Record")</f>
        <v/>
      </c>
      <c r="AS1578">
        <f>HYPERLINK("https://creighton-primo.hosted.exlibrisgroup.com/primo-explore/search?tab=default_tab&amp;search_scope=EVERYTHING&amp;vid=01CRU&amp;lang=en_US&amp;offset=0&amp;query=any,contains,991002294819702656","Catalog Record")</f>
        <v/>
      </c>
      <c r="AT1578">
        <f>HYPERLINK("http://www.worldcat.org/oclc/314817","WorldCat Record")</f>
        <v/>
      </c>
      <c r="AU1578" t="inlineStr">
        <is>
          <t>908268912:eng</t>
        </is>
      </c>
      <c r="AV1578" t="inlineStr">
        <is>
          <t>314817</t>
        </is>
      </c>
      <c r="AW1578" t="inlineStr">
        <is>
          <t>991002294819702656</t>
        </is>
      </c>
      <c r="AX1578" t="inlineStr">
        <is>
          <t>991002294819702656</t>
        </is>
      </c>
      <c r="AY1578" t="inlineStr">
        <is>
          <t>2271870880002656</t>
        </is>
      </c>
      <c r="AZ1578" t="inlineStr">
        <is>
          <t>BOOK</t>
        </is>
      </c>
      <c r="BB1578" t="inlineStr">
        <is>
          <t>9780423799606</t>
        </is>
      </c>
      <c r="BC1578" t="inlineStr">
        <is>
          <t>32285001907210</t>
        </is>
      </c>
      <c r="BD1578" t="inlineStr">
        <is>
          <t>893615950</t>
        </is>
      </c>
    </row>
    <row r="1579">
      <c r="A1579" t="inlineStr">
        <is>
          <t>No</t>
        </is>
      </c>
      <c r="B1579" t="inlineStr">
        <is>
          <t>QH77.L25 T73 1996</t>
        </is>
      </c>
      <c r="C1579" t="inlineStr">
        <is>
          <t>0                      QH 0077000L  25                 T  73          1996</t>
        </is>
      </c>
      <c r="D1579" t="inlineStr">
        <is>
          <t>Traditional peoples and biodiversity conservation in large tropical landscapes / edited by Kent H. Redford and Jane A. Mansour.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Arlington, VA : Nature Conservancy, 1996.</t>
        </is>
      </c>
      <c r="M1579" t="inlineStr">
        <is>
          <t>1996</t>
        </is>
      </c>
      <c r="N1579" t="inlineStr">
        <is>
          <t>1st ed.</t>
        </is>
      </c>
      <c r="O1579" t="inlineStr">
        <is>
          <t>eng</t>
        </is>
      </c>
      <c r="P1579" t="inlineStr">
        <is>
          <t>vau</t>
        </is>
      </c>
      <c r="Q1579" t="inlineStr">
        <is>
          <t>America Verde</t>
        </is>
      </c>
      <c r="R1579" t="inlineStr">
        <is>
          <t xml:space="preserve">QH </t>
        </is>
      </c>
      <c r="S1579" t="n">
        <v>3</v>
      </c>
      <c r="T1579" t="n">
        <v>3</v>
      </c>
      <c r="U1579" t="inlineStr">
        <is>
          <t>2001-04-22</t>
        </is>
      </c>
      <c r="V1579" t="inlineStr">
        <is>
          <t>2001-04-22</t>
        </is>
      </c>
      <c r="W1579" t="inlineStr">
        <is>
          <t>1998-11-16</t>
        </is>
      </c>
      <c r="X1579" t="inlineStr">
        <is>
          <t>1998-11-16</t>
        </is>
      </c>
      <c r="Y1579" t="n">
        <v>140</v>
      </c>
      <c r="Z1579" t="n">
        <v>121</v>
      </c>
      <c r="AA1579" t="n">
        <v>123</v>
      </c>
      <c r="AB1579" t="n">
        <v>1</v>
      </c>
      <c r="AC1579" t="n">
        <v>1</v>
      </c>
      <c r="AD1579" t="n">
        <v>5</v>
      </c>
      <c r="AE1579" t="n">
        <v>5</v>
      </c>
      <c r="AF1579" t="n">
        <v>2</v>
      </c>
      <c r="AG1579" t="n">
        <v>2</v>
      </c>
      <c r="AH1579" t="n">
        <v>2</v>
      </c>
      <c r="AI1579" t="n">
        <v>2</v>
      </c>
      <c r="AJ1579" t="n">
        <v>3</v>
      </c>
      <c r="AK1579" t="n">
        <v>3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Yes</t>
        </is>
      </c>
      <c r="AR1579">
        <f>HYPERLINK("http://catalog.hathitrust.org/Record/009547321","HathiTrust Record")</f>
        <v/>
      </c>
      <c r="AS1579">
        <f>HYPERLINK("https://creighton-primo.hosted.exlibrisgroup.com/primo-explore/search?tab=default_tab&amp;search_scope=EVERYTHING&amp;vid=01CRU&amp;lang=en_US&amp;offset=0&amp;query=any,contains,991002775289702656","Catalog Record")</f>
        <v/>
      </c>
      <c r="AT1579">
        <f>HYPERLINK("http://www.worldcat.org/oclc/36444182","WorldCat Record")</f>
        <v/>
      </c>
      <c r="AU1579" t="inlineStr">
        <is>
          <t>46005007:eng</t>
        </is>
      </c>
      <c r="AV1579" t="inlineStr">
        <is>
          <t>36444182</t>
        </is>
      </c>
      <c r="AW1579" t="inlineStr">
        <is>
          <t>991002775289702656</t>
        </is>
      </c>
      <c r="AX1579" t="inlineStr">
        <is>
          <t>991002775289702656</t>
        </is>
      </c>
      <c r="AY1579" t="inlineStr">
        <is>
          <t>2270851490002656</t>
        </is>
      </c>
      <c r="AZ1579" t="inlineStr">
        <is>
          <t>BOOK</t>
        </is>
      </c>
      <c r="BB1579" t="inlineStr">
        <is>
          <t>9781886765030</t>
        </is>
      </c>
      <c r="BC1579" t="inlineStr">
        <is>
          <t>32285003488854</t>
        </is>
      </c>
      <c r="BD1579" t="inlineStr">
        <is>
          <t>893774009</t>
        </is>
      </c>
    </row>
    <row r="1580">
      <c r="A1580" t="inlineStr">
        <is>
          <t>No</t>
        </is>
      </c>
      <c r="B1580" t="inlineStr">
        <is>
          <t>QH77.M28 J64</t>
        </is>
      </c>
      <c r="C1580" t="inlineStr">
        <is>
          <t>0                      QH 0077000M  28                 J  64</t>
        </is>
      </c>
      <c r="D1580" t="inlineStr">
        <is>
          <t>A world like our own : man and nature in Madagascar / Alison Jolly.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K1580" t="inlineStr">
        <is>
          <t>Jolly, Alison.</t>
        </is>
      </c>
      <c r="L1580" t="inlineStr">
        <is>
          <t>New Haven : Yale University Press, 1980.</t>
        </is>
      </c>
      <c r="M1580" t="inlineStr">
        <is>
          <t>1980</t>
        </is>
      </c>
      <c r="O1580" t="inlineStr">
        <is>
          <t>eng</t>
        </is>
      </c>
      <c r="P1580" t="inlineStr">
        <is>
          <t>ctu</t>
        </is>
      </c>
      <c r="R1580" t="inlineStr">
        <is>
          <t xml:space="preserve">QH </t>
        </is>
      </c>
      <c r="S1580" t="n">
        <v>2</v>
      </c>
      <c r="T1580" t="n">
        <v>2</v>
      </c>
      <c r="U1580" t="inlineStr">
        <is>
          <t>1994-10-25</t>
        </is>
      </c>
      <c r="V1580" t="inlineStr">
        <is>
          <t>1994-10-25</t>
        </is>
      </c>
      <c r="W1580" t="inlineStr">
        <is>
          <t>1993-03-05</t>
        </is>
      </c>
      <c r="X1580" t="inlineStr">
        <is>
          <t>1993-03-05</t>
        </is>
      </c>
      <c r="Y1580" t="n">
        <v>476</v>
      </c>
      <c r="Z1580" t="n">
        <v>374</v>
      </c>
      <c r="AA1580" t="n">
        <v>375</v>
      </c>
      <c r="AB1580" t="n">
        <v>3</v>
      </c>
      <c r="AC1580" t="n">
        <v>3</v>
      </c>
      <c r="AD1580" t="n">
        <v>8</v>
      </c>
      <c r="AE1580" t="n">
        <v>8</v>
      </c>
      <c r="AF1580" t="n">
        <v>2</v>
      </c>
      <c r="AG1580" t="n">
        <v>2</v>
      </c>
      <c r="AH1580" t="n">
        <v>3</v>
      </c>
      <c r="AI1580" t="n">
        <v>3</v>
      </c>
      <c r="AJ1580" t="n">
        <v>2</v>
      </c>
      <c r="AK1580" t="n">
        <v>2</v>
      </c>
      <c r="AL1580" t="n">
        <v>2</v>
      </c>
      <c r="AM1580" t="n">
        <v>2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No</t>
        </is>
      </c>
      <c r="AS1580">
        <f>HYPERLINK("https://creighton-primo.hosted.exlibrisgroup.com/primo-explore/search?tab=default_tab&amp;search_scope=EVERYTHING&amp;vid=01CRU&amp;lang=en_US&amp;offset=0&amp;query=any,contains,991004926409702656","Catalog Record")</f>
        <v/>
      </c>
      <c r="AT1580">
        <f>HYPERLINK("http://www.worldcat.org/oclc/6086375","WorldCat Record")</f>
        <v/>
      </c>
      <c r="AU1580" t="inlineStr">
        <is>
          <t>502151587:eng</t>
        </is>
      </c>
      <c r="AV1580" t="inlineStr">
        <is>
          <t>6086375</t>
        </is>
      </c>
      <c r="AW1580" t="inlineStr">
        <is>
          <t>991004926409702656</t>
        </is>
      </c>
      <c r="AX1580" t="inlineStr">
        <is>
          <t>991004926409702656</t>
        </is>
      </c>
      <c r="AY1580" t="inlineStr">
        <is>
          <t>2257638660002656</t>
        </is>
      </c>
      <c r="AZ1580" t="inlineStr">
        <is>
          <t>BOOK</t>
        </is>
      </c>
      <c r="BB1580" t="inlineStr">
        <is>
          <t>9780300024784</t>
        </is>
      </c>
      <c r="BC1580" t="inlineStr">
        <is>
          <t>32285001551257</t>
        </is>
      </c>
      <c r="BD1580" t="inlineStr">
        <is>
          <t>893350513</t>
        </is>
      </c>
    </row>
    <row r="1581">
      <c r="A1581" t="inlineStr">
        <is>
          <t>No</t>
        </is>
      </c>
      <c r="B1581" t="inlineStr">
        <is>
          <t>QH77.N56 F69 2000</t>
        </is>
      </c>
      <c r="C1581" t="inlineStr">
        <is>
          <t>0                      QH 0077000N  56                 F  69          2000</t>
        </is>
      </c>
      <c r="D1581" t="inlineStr">
        <is>
          <t>Freshwater ecoregions of North America : a conservation assessment / Robin A. Abell ... [et al.].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Island Press, c2000.</t>
        </is>
      </c>
      <c r="M1581" t="inlineStr">
        <is>
          <t>2000</t>
        </is>
      </c>
      <c r="O1581" t="inlineStr">
        <is>
          <t>eng</t>
        </is>
      </c>
      <c r="P1581" t="inlineStr">
        <is>
          <t>dcu</t>
        </is>
      </c>
      <c r="R1581" t="inlineStr">
        <is>
          <t xml:space="preserve">QH </t>
        </is>
      </c>
      <c r="S1581" t="n">
        <v>1</v>
      </c>
      <c r="T1581" t="n">
        <v>1</v>
      </c>
      <c r="U1581" t="inlineStr">
        <is>
          <t>2010-02-23</t>
        </is>
      </c>
      <c r="V1581" t="inlineStr">
        <is>
          <t>2010-02-23</t>
        </is>
      </c>
      <c r="W1581" t="inlineStr">
        <is>
          <t>2000-04-11</t>
        </is>
      </c>
      <c r="X1581" t="inlineStr">
        <is>
          <t>2000-04-11</t>
        </is>
      </c>
      <c r="Y1581" t="n">
        <v>884</v>
      </c>
      <c r="Z1581" t="n">
        <v>808</v>
      </c>
      <c r="AA1581" t="n">
        <v>814</v>
      </c>
      <c r="AB1581" t="n">
        <v>7</v>
      </c>
      <c r="AC1581" t="n">
        <v>7</v>
      </c>
      <c r="AD1581" t="n">
        <v>41</v>
      </c>
      <c r="AE1581" t="n">
        <v>41</v>
      </c>
      <c r="AF1581" t="n">
        <v>18</v>
      </c>
      <c r="AG1581" t="n">
        <v>18</v>
      </c>
      <c r="AH1581" t="n">
        <v>6</v>
      </c>
      <c r="AI1581" t="n">
        <v>6</v>
      </c>
      <c r="AJ1581" t="n">
        <v>19</v>
      </c>
      <c r="AK1581" t="n">
        <v>19</v>
      </c>
      <c r="AL1581" t="n">
        <v>6</v>
      </c>
      <c r="AM1581" t="n">
        <v>6</v>
      </c>
      <c r="AN1581" t="n">
        <v>1</v>
      </c>
      <c r="AO1581" t="n">
        <v>1</v>
      </c>
      <c r="AP1581" t="inlineStr">
        <is>
          <t>No</t>
        </is>
      </c>
      <c r="AQ1581" t="inlineStr">
        <is>
          <t>No</t>
        </is>
      </c>
      <c r="AS1581">
        <f>HYPERLINK("https://creighton-primo.hosted.exlibrisgroup.com/primo-explore/search?tab=default_tab&amp;search_scope=EVERYTHING&amp;vid=01CRU&amp;lang=en_US&amp;offset=0&amp;query=any,contains,991003032029702656","Catalog Record")</f>
        <v/>
      </c>
      <c r="AT1581">
        <f>HYPERLINK("http://www.worldcat.org/oclc/41548306","WorldCat Record")</f>
        <v/>
      </c>
      <c r="AU1581" t="inlineStr">
        <is>
          <t>364047511:eng</t>
        </is>
      </c>
      <c r="AV1581" t="inlineStr">
        <is>
          <t>41548306</t>
        </is>
      </c>
      <c r="AW1581" t="inlineStr">
        <is>
          <t>991003032029702656</t>
        </is>
      </c>
      <c r="AX1581" t="inlineStr">
        <is>
          <t>991003032029702656</t>
        </is>
      </c>
      <c r="AY1581" t="inlineStr">
        <is>
          <t>2257484070002656</t>
        </is>
      </c>
      <c r="AZ1581" t="inlineStr">
        <is>
          <t>BOOK</t>
        </is>
      </c>
      <c r="BB1581" t="inlineStr">
        <is>
          <t>9781559637343</t>
        </is>
      </c>
      <c r="BC1581" t="inlineStr">
        <is>
          <t>32285003676086</t>
        </is>
      </c>
      <c r="BD1581" t="inlineStr">
        <is>
          <t>893627423</t>
        </is>
      </c>
    </row>
    <row r="1582">
      <c r="A1582" t="inlineStr">
        <is>
          <t>No</t>
        </is>
      </c>
      <c r="B1582" t="inlineStr">
        <is>
          <t>QH77.N56 T47 1999</t>
        </is>
      </c>
      <c r="C1582" t="inlineStr">
        <is>
          <t>0                      QH 0077000N  56                 T  47          1999</t>
        </is>
      </c>
      <c r="D1582" t="inlineStr">
        <is>
          <t>Terrestrial ecoregions of North America : a conservation assessment / Taylor H. Ricketts ... [et al.].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L1582" t="inlineStr">
        <is>
          <t>Washington, D.C. : Island Press, c1999.</t>
        </is>
      </c>
      <c r="M1582" t="inlineStr">
        <is>
          <t>1999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QH </t>
        </is>
      </c>
      <c r="S1582" t="n">
        <v>3</v>
      </c>
      <c r="T1582" t="n">
        <v>3</v>
      </c>
      <c r="U1582" t="inlineStr">
        <is>
          <t>2008-10-15</t>
        </is>
      </c>
      <c r="V1582" t="inlineStr">
        <is>
          <t>2008-10-15</t>
        </is>
      </c>
      <c r="W1582" t="inlineStr">
        <is>
          <t>2000-01-31</t>
        </is>
      </c>
      <c r="X1582" t="inlineStr">
        <is>
          <t>2000-01-31</t>
        </is>
      </c>
      <c r="Y1582" t="n">
        <v>745</v>
      </c>
      <c r="Z1582" t="n">
        <v>665</v>
      </c>
      <c r="AA1582" t="n">
        <v>670</v>
      </c>
      <c r="AB1582" t="n">
        <v>8</v>
      </c>
      <c r="AC1582" t="n">
        <v>8</v>
      </c>
      <c r="AD1582" t="n">
        <v>34</v>
      </c>
      <c r="AE1582" t="n">
        <v>34</v>
      </c>
      <c r="AF1582" t="n">
        <v>16</v>
      </c>
      <c r="AG1582" t="n">
        <v>16</v>
      </c>
      <c r="AH1582" t="n">
        <v>8</v>
      </c>
      <c r="AI1582" t="n">
        <v>8</v>
      </c>
      <c r="AJ1582" t="n">
        <v>11</v>
      </c>
      <c r="AK1582" t="n">
        <v>11</v>
      </c>
      <c r="AL1582" t="n">
        <v>7</v>
      </c>
      <c r="AM1582" t="n">
        <v>7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Yes</t>
        </is>
      </c>
      <c r="AR1582">
        <f>HYPERLINK("http://catalog.hathitrust.org/Record/004023936","HathiTrust Record")</f>
        <v/>
      </c>
      <c r="AS1582">
        <f>HYPERLINK("https://creighton-primo.hosted.exlibrisgroup.com/primo-explore/search?tab=default_tab&amp;search_scope=EVERYTHING&amp;vid=01CRU&amp;lang=en_US&amp;offset=0&amp;query=any,contains,991003010319702656","Catalog Record")</f>
        <v/>
      </c>
      <c r="AT1582">
        <f>HYPERLINK("http://www.worldcat.org/oclc/40856986","WorldCat Record")</f>
        <v/>
      </c>
      <c r="AU1582" t="inlineStr">
        <is>
          <t>890328340:eng</t>
        </is>
      </c>
      <c r="AV1582" t="inlineStr">
        <is>
          <t>40856986</t>
        </is>
      </c>
      <c r="AW1582" t="inlineStr">
        <is>
          <t>991003010319702656</t>
        </is>
      </c>
      <c r="AX1582" t="inlineStr">
        <is>
          <t>991003010319702656</t>
        </is>
      </c>
      <c r="AY1582" t="inlineStr">
        <is>
          <t>2257525510002656</t>
        </is>
      </c>
      <c r="AZ1582" t="inlineStr">
        <is>
          <t>BOOK</t>
        </is>
      </c>
      <c r="BB1582" t="inlineStr">
        <is>
          <t>9781559637220</t>
        </is>
      </c>
      <c r="BC1582" t="inlineStr">
        <is>
          <t>32285003656666</t>
        </is>
      </c>
      <c r="BD1582" t="inlineStr">
        <is>
          <t>893415929</t>
        </is>
      </c>
    </row>
    <row r="1583">
      <c r="A1583" t="inlineStr">
        <is>
          <t>No</t>
        </is>
      </c>
      <c r="B1583" t="inlineStr">
        <is>
          <t>QH77.N8 N67 2004</t>
        </is>
      </c>
      <c r="C1583" t="inlineStr">
        <is>
          <t>0                      QH 0077000N  8                  N  67          2004</t>
        </is>
      </c>
      <c r="D1583" t="inlineStr">
        <is>
          <t>The Norwegian Sea ecosystem / editor, Hein Rune Skjoldal ; co-editors, Roald Saetre ... [et al.].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L1583" t="inlineStr">
        <is>
          <t>Trondheim : Tapir Academic Press, c2004.</t>
        </is>
      </c>
      <c r="M1583" t="inlineStr">
        <is>
          <t>2004</t>
        </is>
      </c>
      <c r="O1583" t="inlineStr">
        <is>
          <t>eng</t>
        </is>
      </c>
      <c r="P1583" t="inlineStr">
        <is>
          <t xml:space="preserve">no </t>
        </is>
      </c>
      <c r="R1583" t="inlineStr">
        <is>
          <t xml:space="preserve">QH </t>
        </is>
      </c>
      <c r="S1583" t="n">
        <v>1</v>
      </c>
      <c r="T1583" t="n">
        <v>1</v>
      </c>
      <c r="U1583" t="inlineStr">
        <is>
          <t>2006-07-24</t>
        </is>
      </c>
      <c r="V1583" t="inlineStr">
        <is>
          <t>2006-07-24</t>
        </is>
      </c>
      <c r="W1583" t="inlineStr">
        <is>
          <t>2006-07-24</t>
        </is>
      </c>
      <c r="X1583" t="inlineStr">
        <is>
          <t>2006-07-24</t>
        </is>
      </c>
      <c r="Y1583" t="n">
        <v>130</v>
      </c>
      <c r="Z1583" t="n">
        <v>109</v>
      </c>
      <c r="AA1583" t="n">
        <v>114</v>
      </c>
      <c r="AB1583" t="n">
        <v>3</v>
      </c>
      <c r="AC1583" t="n">
        <v>3</v>
      </c>
      <c r="AD1583" t="n">
        <v>5</v>
      </c>
      <c r="AE1583" t="n">
        <v>5</v>
      </c>
      <c r="AF1583" t="n">
        <v>2</v>
      </c>
      <c r="AG1583" t="n">
        <v>2</v>
      </c>
      <c r="AH1583" t="n">
        <v>0</v>
      </c>
      <c r="AI1583" t="n">
        <v>0</v>
      </c>
      <c r="AJ1583" t="n">
        <v>2</v>
      </c>
      <c r="AK1583" t="n">
        <v>2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HYPERLINK("http://catalog.hathitrust.org/Record/004952405","HathiTrust Record")</f>
        <v/>
      </c>
      <c r="AS1583">
        <f>HYPERLINK("https://creighton-primo.hosted.exlibrisgroup.com/primo-explore/search?tab=default_tab&amp;search_scope=EVERYTHING&amp;vid=01CRU&amp;lang=en_US&amp;offset=0&amp;query=any,contains,991004853529702656","Catalog Record")</f>
        <v/>
      </c>
      <c r="AT1583">
        <f>HYPERLINK("http://www.worldcat.org/oclc/53122695","WorldCat Record")</f>
        <v/>
      </c>
      <c r="AU1583" t="inlineStr">
        <is>
          <t>56957540:eng</t>
        </is>
      </c>
      <c r="AV1583" t="inlineStr">
        <is>
          <t>53122695</t>
        </is>
      </c>
      <c r="AW1583" t="inlineStr">
        <is>
          <t>991004853529702656</t>
        </is>
      </c>
      <c r="AX1583" t="inlineStr">
        <is>
          <t>991004853529702656</t>
        </is>
      </c>
      <c r="AY1583" t="inlineStr">
        <is>
          <t>2266393600002656</t>
        </is>
      </c>
      <c r="AZ1583" t="inlineStr">
        <is>
          <t>BOOK</t>
        </is>
      </c>
      <c r="BB1583" t="inlineStr">
        <is>
          <t>9788251918411</t>
        </is>
      </c>
      <c r="BC1583" t="inlineStr">
        <is>
          <t>32285005197511</t>
        </is>
      </c>
      <c r="BD1583" t="inlineStr">
        <is>
          <t>893889372</t>
        </is>
      </c>
    </row>
    <row r="1584">
      <c r="A1584" t="inlineStr">
        <is>
          <t>No</t>
        </is>
      </c>
      <c r="B1584" t="inlineStr">
        <is>
          <t>QH77.S62 S69 1987</t>
        </is>
      </c>
      <c r="C1584" t="inlineStr">
        <is>
          <t>0                      QH 0077000S  62                 S  69          1987</t>
        </is>
      </c>
      <c r="D1584" t="inlineStr">
        <is>
          <t>South African pasage : diaries of the Wilderness Leadership School / preface by Laurens van der Post ; introduction by Ian Player ; edited by Elizabeth Darby Junkin.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Golden, Colo. : Fulcrum, 1987.</t>
        </is>
      </c>
      <c r="M1584" t="inlineStr">
        <is>
          <t>1987</t>
        </is>
      </c>
      <c r="O1584" t="inlineStr">
        <is>
          <t>eng</t>
        </is>
      </c>
      <c r="P1584" t="inlineStr">
        <is>
          <t>cou</t>
        </is>
      </c>
      <c r="R1584" t="inlineStr">
        <is>
          <t xml:space="preserve">QH </t>
        </is>
      </c>
      <c r="S1584" t="n">
        <v>1</v>
      </c>
      <c r="T1584" t="n">
        <v>1</v>
      </c>
      <c r="U1584" t="inlineStr">
        <is>
          <t>2003-09-09</t>
        </is>
      </c>
      <c r="V1584" t="inlineStr">
        <is>
          <t>2003-09-09</t>
        </is>
      </c>
      <c r="W1584" t="inlineStr">
        <is>
          <t>2003-09-09</t>
        </is>
      </c>
      <c r="X1584" t="inlineStr">
        <is>
          <t>2003-09-09</t>
        </is>
      </c>
      <c r="Y1584" t="n">
        <v>52</v>
      </c>
      <c r="Z1584" t="n">
        <v>42</v>
      </c>
      <c r="AA1584" t="n">
        <v>42</v>
      </c>
      <c r="AB1584" t="n">
        <v>1</v>
      </c>
      <c r="AC1584" t="n">
        <v>1</v>
      </c>
      <c r="AD1584" t="n">
        <v>0</v>
      </c>
      <c r="AE1584" t="n">
        <v>0</v>
      </c>
      <c r="AF1584" t="n">
        <v>0</v>
      </c>
      <c r="AG1584" t="n">
        <v>0</v>
      </c>
      <c r="AH1584" t="n">
        <v>0</v>
      </c>
      <c r="AI1584" t="n">
        <v>0</v>
      </c>
      <c r="AJ1584" t="n">
        <v>0</v>
      </c>
      <c r="AK1584" t="n">
        <v>0</v>
      </c>
      <c r="AL1584" t="n">
        <v>0</v>
      </c>
      <c r="AM1584" t="n">
        <v>0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No</t>
        </is>
      </c>
      <c r="AS1584">
        <f>HYPERLINK("https://creighton-primo.hosted.exlibrisgroup.com/primo-explore/search?tab=default_tab&amp;search_scope=EVERYTHING&amp;vid=01CRU&amp;lang=en_US&amp;offset=0&amp;query=any,contains,991004117379702656","Catalog Record")</f>
        <v/>
      </c>
      <c r="AT1584">
        <f>HYPERLINK("http://www.worldcat.org/oclc/14413395","WorldCat Record")</f>
        <v/>
      </c>
      <c r="AU1584" t="inlineStr">
        <is>
          <t>8367665:eng</t>
        </is>
      </c>
      <c r="AV1584" t="inlineStr">
        <is>
          <t>14413395</t>
        </is>
      </c>
      <c r="AW1584" t="inlineStr">
        <is>
          <t>991004117379702656</t>
        </is>
      </c>
      <c r="AX1584" t="inlineStr">
        <is>
          <t>991004117379702656</t>
        </is>
      </c>
      <c r="AY1584" t="inlineStr">
        <is>
          <t>2264290570002656</t>
        </is>
      </c>
      <c r="AZ1584" t="inlineStr">
        <is>
          <t>BOOK</t>
        </is>
      </c>
      <c r="BB1584" t="inlineStr">
        <is>
          <t>9781555910099</t>
        </is>
      </c>
      <c r="BC1584" t="inlineStr">
        <is>
          <t>32285004781604</t>
        </is>
      </c>
      <c r="BD1584" t="inlineStr">
        <is>
          <t>893500131</t>
        </is>
      </c>
    </row>
    <row r="1585">
      <c r="A1585" t="inlineStr">
        <is>
          <t>No</t>
        </is>
      </c>
      <c r="B1585" t="inlineStr">
        <is>
          <t>QH78 .E95 1995</t>
        </is>
      </c>
      <c r="C1585" t="inlineStr">
        <is>
          <t>0                      QH 0078000E  95          1995</t>
        </is>
      </c>
      <c r="D1585" t="inlineStr">
        <is>
          <t>Extinction rates / edited by John H. Lawton and Robert M. May.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L1585" t="inlineStr">
        <is>
          <t>Oxford ; New York : Oxford University Press, 1995.</t>
        </is>
      </c>
      <c r="M1585" t="inlineStr">
        <is>
          <t>1995</t>
        </is>
      </c>
      <c r="O1585" t="inlineStr">
        <is>
          <t>eng</t>
        </is>
      </c>
      <c r="P1585" t="inlineStr">
        <is>
          <t>enk</t>
        </is>
      </c>
      <c r="R1585" t="inlineStr">
        <is>
          <t xml:space="preserve">QH </t>
        </is>
      </c>
      <c r="S1585" t="n">
        <v>13</v>
      </c>
      <c r="T1585" t="n">
        <v>13</v>
      </c>
      <c r="U1585" t="inlineStr">
        <is>
          <t>1997-06-22</t>
        </is>
      </c>
      <c r="V1585" t="inlineStr">
        <is>
          <t>1997-06-22</t>
        </is>
      </c>
      <c r="W1585" t="inlineStr">
        <is>
          <t>1995-12-05</t>
        </is>
      </c>
      <c r="X1585" t="inlineStr">
        <is>
          <t>1995-12-05</t>
        </is>
      </c>
      <c r="Y1585" t="n">
        <v>691</v>
      </c>
      <c r="Z1585" t="n">
        <v>513</v>
      </c>
      <c r="AA1585" t="n">
        <v>519</v>
      </c>
      <c r="AB1585" t="n">
        <v>4</v>
      </c>
      <c r="AC1585" t="n">
        <v>4</v>
      </c>
      <c r="AD1585" t="n">
        <v>24</v>
      </c>
      <c r="AE1585" t="n">
        <v>24</v>
      </c>
      <c r="AF1585" t="n">
        <v>8</v>
      </c>
      <c r="AG1585" t="n">
        <v>8</v>
      </c>
      <c r="AH1585" t="n">
        <v>6</v>
      </c>
      <c r="AI1585" t="n">
        <v>6</v>
      </c>
      <c r="AJ1585" t="n">
        <v>13</v>
      </c>
      <c r="AK1585" t="n">
        <v>13</v>
      </c>
      <c r="AL1585" t="n">
        <v>3</v>
      </c>
      <c r="AM1585" t="n">
        <v>3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HYPERLINK("https://creighton-primo.hosted.exlibrisgroup.com/primo-explore/search?tab=default_tab&amp;search_scope=EVERYTHING&amp;vid=01CRU&amp;lang=en_US&amp;offset=0&amp;query=any,contains,991002463809702656","Catalog Record")</f>
        <v/>
      </c>
      <c r="AT1585">
        <f>HYPERLINK("http://www.worldcat.org/oclc/32101494","WorldCat Record")</f>
        <v/>
      </c>
      <c r="AU1585" t="inlineStr">
        <is>
          <t>361058081:eng</t>
        </is>
      </c>
      <c r="AV1585" t="inlineStr">
        <is>
          <t>32101494</t>
        </is>
      </c>
      <c r="AW1585" t="inlineStr">
        <is>
          <t>991002463809702656</t>
        </is>
      </c>
      <c r="AX1585" t="inlineStr">
        <is>
          <t>991002463809702656</t>
        </is>
      </c>
      <c r="AY1585" t="inlineStr">
        <is>
          <t>2258882490002656</t>
        </is>
      </c>
      <c r="AZ1585" t="inlineStr">
        <is>
          <t>BOOK</t>
        </is>
      </c>
      <c r="BB1585" t="inlineStr">
        <is>
          <t>9780198548294</t>
        </is>
      </c>
      <c r="BC1585" t="inlineStr">
        <is>
          <t>32285002108131</t>
        </is>
      </c>
      <c r="BD1585" t="inlineStr">
        <is>
          <t>893721483</t>
        </is>
      </c>
    </row>
    <row r="1586">
      <c r="A1586" t="inlineStr">
        <is>
          <t>No</t>
        </is>
      </c>
      <c r="B1586" t="inlineStr">
        <is>
          <t>QH78 .R38 1991</t>
        </is>
      </c>
      <c r="C1586" t="inlineStr">
        <is>
          <t>0                      QH 0078000R  38          1991</t>
        </is>
      </c>
      <c r="D1586" t="inlineStr">
        <is>
          <t>Extinction : bad genes or bad luck? / David M. Raup.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Raup, David M.</t>
        </is>
      </c>
      <c r="L1586" t="inlineStr">
        <is>
          <t>New York : W.W. Norton, c1991.</t>
        </is>
      </c>
      <c r="M1586" t="inlineStr">
        <is>
          <t>1991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QH </t>
        </is>
      </c>
      <c r="S1586" t="n">
        <v>24</v>
      </c>
      <c r="T1586" t="n">
        <v>24</v>
      </c>
      <c r="U1586" t="inlineStr">
        <is>
          <t>1997-02-07</t>
        </is>
      </c>
      <c r="V1586" t="inlineStr">
        <is>
          <t>1997-02-07</t>
        </is>
      </c>
      <c r="W1586" t="inlineStr">
        <is>
          <t>1992-06-22</t>
        </is>
      </c>
      <c r="X1586" t="inlineStr">
        <is>
          <t>1992-06-22</t>
        </is>
      </c>
      <c r="Y1586" t="n">
        <v>1096</v>
      </c>
      <c r="Z1586" t="n">
        <v>952</v>
      </c>
      <c r="AA1586" t="n">
        <v>1055</v>
      </c>
      <c r="AB1586" t="n">
        <v>8</v>
      </c>
      <c r="AC1586" t="n">
        <v>9</v>
      </c>
      <c r="AD1586" t="n">
        <v>35</v>
      </c>
      <c r="AE1586" t="n">
        <v>37</v>
      </c>
      <c r="AF1586" t="n">
        <v>13</v>
      </c>
      <c r="AG1586" t="n">
        <v>14</v>
      </c>
      <c r="AH1586" t="n">
        <v>7</v>
      </c>
      <c r="AI1586" t="n">
        <v>7</v>
      </c>
      <c r="AJ1586" t="n">
        <v>17</v>
      </c>
      <c r="AK1586" t="n">
        <v>17</v>
      </c>
      <c r="AL1586" t="n">
        <v>6</v>
      </c>
      <c r="AM1586" t="n">
        <v>7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HYPERLINK("https://creighton-primo.hosted.exlibrisgroup.com/primo-explore/search?tab=default_tab&amp;search_scope=EVERYTHING&amp;vid=01CRU&amp;lang=en_US&amp;offset=0&amp;query=any,contains,991001822689702656","Catalog Record")</f>
        <v/>
      </c>
      <c r="AT1586">
        <f>HYPERLINK("http://www.worldcat.org/oclc/22906345","WorldCat Record")</f>
        <v/>
      </c>
      <c r="AU1586" t="inlineStr">
        <is>
          <t>24011640:eng</t>
        </is>
      </c>
      <c r="AV1586" t="inlineStr">
        <is>
          <t>22906345</t>
        </is>
      </c>
      <c r="AW1586" t="inlineStr">
        <is>
          <t>991001822689702656</t>
        </is>
      </c>
      <c r="AX1586" t="inlineStr">
        <is>
          <t>991001822689702656</t>
        </is>
      </c>
      <c r="AY1586" t="inlineStr">
        <is>
          <t>2262115940002656</t>
        </is>
      </c>
      <c r="AZ1586" t="inlineStr">
        <is>
          <t>BOOK</t>
        </is>
      </c>
      <c r="BB1586" t="inlineStr">
        <is>
          <t>9780393030082</t>
        </is>
      </c>
      <c r="BC1586" t="inlineStr">
        <is>
          <t>32285001129914</t>
        </is>
      </c>
      <c r="BD1586" t="inlineStr">
        <is>
          <t>893609174</t>
        </is>
      </c>
    </row>
    <row r="1587">
      <c r="A1587" t="inlineStr">
        <is>
          <t>No</t>
        </is>
      </c>
      <c r="B1587" t="inlineStr">
        <is>
          <t>QH81 .E59 1987</t>
        </is>
      </c>
      <c r="C1587" t="inlineStr">
        <is>
          <t>0                      QH 0081000E  59          1987</t>
        </is>
      </c>
      <c r="D1587" t="inlineStr">
        <is>
          <t>The lost notebooks of Loren Eiseley / edited and with a reminiscence by Kenneth Heuer ; sketches by Leslie Morrill.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Eiseley, Loren C., 1907-1977.</t>
        </is>
      </c>
      <c r="L1587" t="inlineStr">
        <is>
          <t>Boston : Little, Brown, c1987.</t>
        </is>
      </c>
      <c r="M1587" t="inlineStr">
        <is>
          <t>1987</t>
        </is>
      </c>
      <c r="N1587" t="inlineStr">
        <is>
          <t>1st ed.</t>
        </is>
      </c>
      <c r="O1587" t="inlineStr">
        <is>
          <t>eng</t>
        </is>
      </c>
      <c r="P1587" t="inlineStr">
        <is>
          <t>mau</t>
        </is>
      </c>
      <c r="R1587" t="inlineStr">
        <is>
          <t xml:space="preserve">QH </t>
        </is>
      </c>
      <c r="S1587" t="n">
        <v>2</v>
      </c>
      <c r="T1587" t="n">
        <v>2</v>
      </c>
      <c r="U1587" t="inlineStr">
        <is>
          <t>1998-02-07</t>
        </is>
      </c>
      <c r="V1587" t="inlineStr">
        <is>
          <t>1998-02-07</t>
        </is>
      </c>
      <c r="W1587" t="inlineStr">
        <is>
          <t>1992-04-06</t>
        </is>
      </c>
      <c r="X1587" t="inlineStr">
        <is>
          <t>1992-04-06</t>
        </is>
      </c>
      <c r="Y1587" t="n">
        <v>726</v>
      </c>
      <c r="Z1587" t="n">
        <v>691</v>
      </c>
      <c r="AA1587" t="n">
        <v>724</v>
      </c>
      <c r="AB1587" t="n">
        <v>20</v>
      </c>
      <c r="AC1587" t="n">
        <v>23</v>
      </c>
      <c r="AD1587" t="n">
        <v>27</v>
      </c>
      <c r="AE1587" t="n">
        <v>29</v>
      </c>
      <c r="AF1587" t="n">
        <v>6</v>
      </c>
      <c r="AG1587" t="n">
        <v>7</v>
      </c>
      <c r="AH1587" t="n">
        <v>5</v>
      </c>
      <c r="AI1587" t="n">
        <v>5</v>
      </c>
      <c r="AJ1587" t="n">
        <v>12</v>
      </c>
      <c r="AK1587" t="n">
        <v>12</v>
      </c>
      <c r="AL1587" t="n">
        <v>10</v>
      </c>
      <c r="AM1587" t="n">
        <v>11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No</t>
        </is>
      </c>
      <c r="AS1587">
        <f>HYPERLINK("https://creighton-primo.hosted.exlibrisgroup.com/primo-explore/search?tab=default_tab&amp;search_scope=EVERYTHING&amp;vid=01CRU&amp;lang=en_US&amp;offset=0&amp;query=any,contains,991000946209702656","Catalog Record")</f>
        <v/>
      </c>
      <c r="AT1587">
        <f>HYPERLINK("http://www.worldcat.org/oclc/14585973","WorldCat Record")</f>
        <v/>
      </c>
      <c r="AU1587" t="inlineStr">
        <is>
          <t>9004575:eng</t>
        </is>
      </c>
      <c r="AV1587" t="inlineStr">
        <is>
          <t>14585973</t>
        </is>
      </c>
      <c r="AW1587" t="inlineStr">
        <is>
          <t>991000946209702656</t>
        </is>
      </c>
      <c r="AX1587" t="inlineStr">
        <is>
          <t>991000946209702656</t>
        </is>
      </c>
      <c r="AY1587" t="inlineStr">
        <is>
          <t>2272105480002656</t>
        </is>
      </c>
      <c r="AZ1587" t="inlineStr">
        <is>
          <t>BOOK</t>
        </is>
      </c>
      <c r="BB1587" t="inlineStr">
        <is>
          <t>9780316359214</t>
        </is>
      </c>
      <c r="BC1587" t="inlineStr">
        <is>
          <t>32285001051068</t>
        </is>
      </c>
      <c r="BD1587" t="inlineStr">
        <is>
          <t>893626522</t>
        </is>
      </c>
    </row>
    <row r="1588">
      <c r="A1588" t="inlineStr">
        <is>
          <t>No</t>
        </is>
      </c>
      <c r="B1588" t="inlineStr">
        <is>
          <t>QH81 .E6</t>
        </is>
      </c>
      <c r="C1588" t="inlineStr">
        <is>
          <t>0                      QH 0081000E  6</t>
        </is>
      </c>
      <c r="D1588" t="inlineStr">
        <is>
          <t>The night country / [by] Loren Eiseley. Illus. by Leonard Everett Fisher.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Eiseley, Loren C., 1907-1977.</t>
        </is>
      </c>
      <c r="L1588" t="inlineStr">
        <is>
          <t>New York : Scribner, [1971]</t>
        </is>
      </c>
      <c r="M1588" t="inlineStr">
        <is>
          <t>1971</t>
        </is>
      </c>
      <c r="O1588" t="inlineStr">
        <is>
          <t>eng</t>
        </is>
      </c>
      <c r="P1588" t="inlineStr">
        <is>
          <t>nyu</t>
        </is>
      </c>
      <c r="R1588" t="inlineStr">
        <is>
          <t xml:space="preserve">QH </t>
        </is>
      </c>
      <c r="S1588" t="n">
        <v>4</v>
      </c>
      <c r="T1588" t="n">
        <v>4</v>
      </c>
      <c r="U1588" t="inlineStr">
        <is>
          <t>1995-09-15</t>
        </is>
      </c>
      <c r="V1588" t="inlineStr">
        <is>
          <t>1995-09-15</t>
        </is>
      </c>
      <c r="W1588" t="inlineStr">
        <is>
          <t>1990-04-18</t>
        </is>
      </c>
      <c r="X1588" t="inlineStr">
        <is>
          <t>1990-04-18</t>
        </is>
      </c>
      <c r="Y1588" t="n">
        <v>1216</v>
      </c>
      <c r="Z1588" t="n">
        <v>1167</v>
      </c>
      <c r="AA1588" t="n">
        <v>1320</v>
      </c>
      <c r="AB1588" t="n">
        <v>26</v>
      </c>
      <c r="AC1588" t="n">
        <v>33</v>
      </c>
      <c r="AD1588" t="n">
        <v>37</v>
      </c>
      <c r="AE1588" t="n">
        <v>42</v>
      </c>
      <c r="AF1588" t="n">
        <v>12</v>
      </c>
      <c r="AG1588" t="n">
        <v>15</v>
      </c>
      <c r="AH1588" t="n">
        <v>9</v>
      </c>
      <c r="AI1588" t="n">
        <v>9</v>
      </c>
      <c r="AJ1588" t="n">
        <v>16</v>
      </c>
      <c r="AK1588" t="n">
        <v>19</v>
      </c>
      <c r="AL1588" t="n">
        <v>8</v>
      </c>
      <c r="AM1588" t="n">
        <v>9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HYPERLINK("https://creighton-primo.hosted.exlibrisgroup.com/primo-explore/search?tab=default_tab&amp;search_scope=EVERYTHING&amp;vid=01CRU&amp;lang=en_US&amp;offset=0&amp;query=any,contains,991001248659702656","Catalog Record")</f>
        <v/>
      </c>
      <c r="AT1588">
        <f>HYPERLINK("http://www.worldcat.org/oclc/208432","WorldCat Record")</f>
        <v/>
      </c>
      <c r="AU1588" t="inlineStr">
        <is>
          <t>577198:eng</t>
        </is>
      </c>
      <c r="AV1588" t="inlineStr">
        <is>
          <t>208432</t>
        </is>
      </c>
      <c r="AW1588" t="inlineStr">
        <is>
          <t>991001248659702656</t>
        </is>
      </c>
      <c r="AX1588" t="inlineStr">
        <is>
          <t>991001248659702656</t>
        </is>
      </c>
      <c r="AY1588" t="inlineStr">
        <is>
          <t>2270054410002656</t>
        </is>
      </c>
      <c r="AZ1588" t="inlineStr">
        <is>
          <t>BOOK</t>
        </is>
      </c>
      <c r="BB1588" t="inlineStr">
        <is>
          <t>9780684125688</t>
        </is>
      </c>
      <c r="BC1588" t="inlineStr">
        <is>
          <t>32285000116821</t>
        </is>
      </c>
      <c r="BD1588" t="inlineStr">
        <is>
          <t>893809007</t>
        </is>
      </c>
    </row>
    <row r="1589">
      <c r="A1589" t="inlineStr">
        <is>
          <t>No</t>
        </is>
      </c>
      <c r="B1589" t="inlineStr">
        <is>
          <t>QH81 .F88 1996</t>
        </is>
      </c>
      <c r="C1589" t="inlineStr">
        <is>
          <t>0                      QH 0081000F  88          1996</t>
        </is>
      </c>
      <c r="D1589" t="inlineStr">
        <is>
          <t>FutureNatural : nature, science, culture / edited by George Robertson ... [et al.].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L1589" t="inlineStr">
        <is>
          <t>London ; New York : Routledge, 1996.</t>
        </is>
      </c>
      <c r="M1589" t="inlineStr">
        <is>
          <t>1996</t>
        </is>
      </c>
      <c r="O1589" t="inlineStr">
        <is>
          <t>eng</t>
        </is>
      </c>
      <c r="P1589" t="inlineStr">
        <is>
          <t>enk</t>
        </is>
      </c>
      <c r="Q1589" t="inlineStr">
        <is>
          <t>Futures, new perspectives for cultural analysis</t>
        </is>
      </c>
      <c r="R1589" t="inlineStr">
        <is>
          <t xml:space="preserve">QH </t>
        </is>
      </c>
      <c r="S1589" t="n">
        <v>11</v>
      </c>
      <c r="T1589" t="n">
        <v>11</v>
      </c>
      <c r="U1589" t="inlineStr">
        <is>
          <t>2007-08-22</t>
        </is>
      </c>
      <c r="V1589" t="inlineStr">
        <is>
          <t>2007-08-22</t>
        </is>
      </c>
      <c r="W1589" t="inlineStr">
        <is>
          <t>1997-03-14</t>
        </is>
      </c>
      <c r="X1589" t="inlineStr">
        <is>
          <t>1997-03-14</t>
        </is>
      </c>
      <c r="Y1589" t="n">
        <v>389</v>
      </c>
      <c r="Z1589" t="n">
        <v>232</v>
      </c>
      <c r="AA1589" t="n">
        <v>259</v>
      </c>
      <c r="AB1589" t="n">
        <v>1</v>
      </c>
      <c r="AC1589" t="n">
        <v>1</v>
      </c>
      <c r="AD1589" t="n">
        <v>13</v>
      </c>
      <c r="AE1589" t="n">
        <v>13</v>
      </c>
      <c r="AF1589" t="n">
        <v>4</v>
      </c>
      <c r="AG1589" t="n">
        <v>4</v>
      </c>
      <c r="AH1589" t="n">
        <v>5</v>
      </c>
      <c r="AI1589" t="n">
        <v>5</v>
      </c>
      <c r="AJ1589" t="n">
        <v>6</v>
      </c>
      <c r="AK1589" t="n">
        <v>6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No</t>
        </is>
      </c>
      <c r="AS1589">
        <f>HYPERLINK("https://creighton-primo.hosted.exlibrisgroup.com/primo-explore/search?tab=default_tab&amp;search_scope=EVERYTHING&amp;vid=01CRU&amp;lang=en_US&amp;offset=0&amp;query=any,contains,991002569559702656","Catalog Record")</f>
        <v/>
      </c>
      <c r="AT1589">
        <f>HYPERLINK("http://www.worldcat.org/oclc/33403785","WorldCat Record")</f>
        <v/>
      </c>
      <c r="AU1589" t="inlineStr">
        <is>
          <t>794984498:eng</t>
        </is>
      </c>
      <c r="AV1589" t="inlineStr">
        <is>
          <t>33403785</t>
        </is>
      </c>
      <c r="AW1589" t="inlineStr">
        <is>
          <t>991002569559702656</t>
        </is>
      </c>
      <c r="AX1589" t="inlineStr">
        <is>
          <t>991002569559702656</t>
        </is>
      </c>
      <c r="AY1589" t="inlineStr">
        <is>
          <t>2270542500002656</t>
        </is>
      </c>
      <c r="AZ1589" t="inlineStr">
        <is>
          <t>BOOK</t>
        </is>
      </c>
      <c r="BB1589" t="inlineStr">
        <is>
          <t>9780415070133</t>
        </is>
      </c>
      <c r="BC1589" t="inlineStr">
        <is>
          <t>32285002443082</t>
        </is>
      </c>
      <c r="BD1589" t="inlineStr">
        <is>
          <t>893867399</t>
        </is>
      </c>
    </row>
    <row r="1590">
      <c r="A1590" t="inlineStr">
        <is>
          <t>No</t>
        </is>
      </c>
      <c r="B1590" t="inlineStr">
        <is>
          <t>QH81 .G673 1985</t>
        </is>
      </c>
      <c r="C1590" t="inlineStr">
        <is>
          <t>0                      QH 0081000G  673         1985</t>
        </is>
      </c>
      <c r="D1590" t="inlineStr">
        <is>
          <t>The flamingo's smile : reflections in natural history / by Stephen Jay Gould.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Gould, Stephen Jay.</t>
        </is>
      </c>
      <c r="L1590" t="inlineStr">
        <is>
          <t>New York : Norton, c1985.</t>
        </is>
      </c>
      <c r="M1590" t="inlineStr">
        <is>
          <t>1985</t>
        </is>
      </c>
      <c r="N1590" t="inlineStr">
        <is>
          <t>1st ed.</t>
        </is>
      </c>
      <c r="O1590" t="inlineStr">
        <is>
          <t>eng</t>
        </is>
      </c>
      <c r="P1590" t="inlineStr">
        <is>
          <t>nyu</t>
        </is>
      </c>
      <c r="R1590" t="inlineStr">
        <is>
          <t xml:space="preserve">QH </t>
        </is>
      </c>
      <c r="S1590" t="n">
        <v>21</v>
      </c>
      <c r="T1590" t="n">
        <v>21</v>
      </c>
      <c r="U1590" t="inlineStr">
        <is>
          <t>2002-08-13</t>
        </is>
      </c>
      <c r="V1590" t="inlineStr">
        <is>
          <t>2002-08-13</t>
        </is>
      </c>
      <c r="W1590" t="inlineStr">
        <is>
          <t>1992-02-27</t>
        </is>
      </c>
      <c r="X1590" t="inlineStr">
        <is>
          <t>1992-02-27</t>
        </is>
      </c>
      <c r="Y1590" t="n">
        <v>1814</v>
      </c>
      <c r="Z1590" t="n">
        <v>1641</v>
      </c>
      <c r="AA1590" t="n">
        <v>1817</v>
      </c>
      <c r="AB1590" t="n">
        <v>13</v>
      </c>
      <c r="AC1590" t="n">
        <v>13</v>
      </c>
      <c r="AD1590" t="n">
        <v>49</v>
      </c>
      <c r="AE1590" t="n">
        <v>50</v>
      </c>
      <c r="AF1590" t="n">
        <v>21</v>
      </c>
      <c r="AG1590" t="n">
        <v>22</v>
      </c>
      <c r="AH1590" t="n">
        <v>9</v>
      </c>
      <c r="AI1590" t="n">
        <v>9</v>
      </c>
      <c r="AJ1590" t="n">
        <v>23</v>
      </c>
      <c r="AK1590" t="n">
        <v>23</v>
      </c>
      <c r="AL1590" t="n">
        <v>8</v>
      </c>
      <c r="AM1590" t="n">
        <v>8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HYPERLINK("https://creighton-primo.hosted.exlibrisgroup.com/primo-explore/search?tab=default_tab&amp;search_scope=EVERYTHING&amp;vid=01CRU&amp;lang=en_US&amp;offset=0&amp;query=any,contains,991000597549702656","Catalog Record")</f>
        <v/>
      </c>
      <c r="AT1590">
        <f>HYPERLINK("http://www.worldcat.org/oclc/11814391","WorldCat Record")</f>
        <v/>
      </c>
      <c r="AU1590" t="inlineStr">
        <is>
          <t>795556805:eng</t>
        </is>
      </c>
      <c r="AV1590" t="inlineStr">
        <is>
          <t>11814391</t>
        </is>
      </c>
      <c r="AW1590" t="inlineStr">
        <is>
          <t>991000597549702656</t>
        </is>
      </c>
      <c r="AX1590" t="inlineStr">
        <is>
          <t>991000597549702656</t>
        </is>
      </c>
      <c r="AY1590" t="inlineStr">
        <is>
          <t>2261204550002656</t>
        </is>
      </c>
      <c r="AZ1590" t="inlineStr">
        <is>
          <t>BOOK</t>
        </is>
      </c>
      <c r="BC1590" t="inlineStr">
        <is>
          <t>32285000978451</t>
        </is>
      </c>
      <c r="BD1590" t="inlineStr">
        <is>
          <t>893534229</t>
        </is>
      </c>
    </row>
    <row r="1591">
      <c r="A1591" t="inlineStr">
        <is>
          <t>No</t>
        </is>
      </c>
      <c r="B1591" t="inlineStr">
        <is>
          <t>QH81 .M698</t>
        </is>
      </c>
      <c r="C1591" t="inlineStr">
        <is>
          <t>0                      QH 0081000M  698</t>
        </is>
      </c>
      <c r="D1591" t="inlineStr">
        <is>
          <t>The world of night / by Lorus J. Milne and Margery J. Milne. Illus. by T. M. Shortt.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Milne, Lorus Johnson, 1910-1987.</t>
        </is>
      </c>
      <c r="L1591" t="inlineStr">
        <is>
          <t>New York : Harper, [1956]</t>
        </is>
      </c>
      <c r="M1591" t="inlineStr">
        <is>
          <t>1956</t>
        </is>
      </c>
      <c r="O1591" t="inlineStr">
        <is>
          <t>eng</t>
        </is>
      </c>
      <c r="P1591" t="inlineStr">
        <is>
          <t>nyu</t>
        </is>
      </c>
      <c r="R1591" t="inlineStr">
        <is>
          <t xml:space="preserve">QH </t>
        </is>
      </c>
      <c r="S1591" t="n">
        <v>7</v>
      </c>
      <c r="T1591" t="n">
        <v>7</v>
      </c>
      <c r="U1591" t="inlineStr">
        <is>
          <t>1995-09-15</t>
        </is>
      </c>
      <c r="V1591" t="inlineStr">
        <is>
          <t>1995-09-15</t>
        </is>
      </c>
      <c r="W1591" t="inlineStr">
        <is>
          <t>1992-03-30</t>
        </is>
      </c>
      <c r="X1591" t="inlineStr">
        <is>
          <t>1992-03-30</t>
        </is>
      </c>
      <c r="Y1591" t="n">
        <v>467</v>
      </c>
      <c r="Z1591" t="n">
        <v>445</v>
      </c>
      <c r="AA1591" t="n">
        <v>501</v>
      </c>
      <c r="AB1591" t="n">
        <v>3</v>
      </c>
      <c r="AC1591" t="n">
        <v>3</v>
      </c>
      <c r="AD1591" t="n">
        <v>9</v>
      </c>
      <c r="AE1591" t="n">
        <v>11</v>
      </c>
      <c r="AF1591" t="n">
        <v>5</v>
      </c>
      <c r="AG1591" t="n">
        <v>5</v>
      </c>
      <c r="AH1591" t="n">
        <v>1</v>
      </c>
      <c r="AI1591" t="n">
        <v>1</v>
      </c>
      <c r="AJ1591" t="n">
        <v>3</v>
      </c>
      <c r="AK1591" t="n">
        <v>5</v>
      </c>
      <c r="AL1591" t="n">
        <v>1</v>
      </c>
      <c r="AM1591" t="n">
        <v>1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HYPERLINK("http://catalog.hathitrust.org/Record/001490323","HathiTrust Record")</f>
        <v/>
      </c>
      <c r="AS1591">
        <f>HYPERLINK("https://creighton-primo.hosted.exlibrisgroup.com/primo-explore/search?tab=default_tab&amp;search_scope=EVERYTHING&amp;vid=01CRU&amp;lang=en_US&amp;offset=0&amp;query=any,contains,991002742109702656","Catalog Record")</f>
        <v/>
      </c>
      <c r="AT1591">
        <f>HYPERLINK("http://www.worldcat.org/oclc/421468","WorldCat Record")</f>
        <v/>
      </c>
      <c r="AU1591" t="inlineStr">
        <is>
          <t>404004:eng</t>
        </is>
      </c>
      <c r="AV1591" t="inlineStr">
        <is>
          <t>421468</t>
        </is>
      </c>
      <c r="AW1591" t="inlineStr">
        <is>
          <t>991002742109702656</t>
        </is>
      </c>
      <c r="AX1591" t="inlineStr">
        <is>
          <t>991002742109702656</t>
        </is>
      </c>
      <c r="AY1591" t="inlineStr">
        <is>
          <t>2270219410002656</t>
        </is>
      </c>
      <c r="AZ1591" t="inlineStr">
        <is>
          <t>BOOK</t>
        </is>
      </c>
      <c r="BC1591" t="inlineStr">
        <is>
          <t>32285001029403</t>
        </is>
      </c>
      <c r="BD1591" t="inlineStr">
        <is>
          <t>893329473</t>
        </is>
      </c>
    </row>
    <row r="1592">
      <c r="A1592" t="inlineStr">
        <is>
          <t>No</t>
        </is>
      </c>
      <c r="B1592" t="inlineStr">
        <is>
          <t>QH81 .N319 1997</t>
        </is>
      </c>
      <c r="C1592" t="inlineStr">
        <is>
          <t>0                      QH 0081000N  319         1997</t>
        </is>
      </c>
      <c r="D1592" t="inlineStr">
        <is>
          <t>Nature in Ireland : a scientific and cultural history / senior editor, John Wilson Foster ; associate editor, Helena C.G. Chesney.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L1592" t="inlineStr">
        <is>
          <t>Dublin : Lilliput Press, 1997.</t>
        </is>
      </c>
      <c r="M1592" t="inlineStr">
        <is>
          <t>1997</t>
        </is>
      </c>
      <c r="O1592" t="inlineStr">
        <is>
          <t>eng</t>
        </is>
      </c>
      <c r="P1592" t="inlineStr">
        <is>
          <t xml:space="preserve">ie </t>
        </is>
      </c>
      <c r="R1592" t="inlineStr">
        <is>
          <t xml:space="preserve">QH </t>
        </is>
      </c>
      <c r="S1592" t="n">
        <v>0</v>
      </c>
      <c r="T1592" t="n">
        <v>0</v>
      </c>
      <c r="U1592" t="inlineStr">
        <is>
          <t>2004-04-20</t>
        </is>
      </c>
      <c r="V1592" t="inlineStr">
        <is>
          <t>2004-04-20</t>
        </is>
      </c>
      <c r="W1592" t="inlineStr">
        <is>
          <t>1999-05-10</t>
        </is>
      </c>
      <c r="X1592" t="inlineStr">
        <is>
          <t>1999-05-10</t>
        </is>
      </c>
      <c r="Y1592" t="n">
        <v>199</v>
      </c>
      <c r="Z1592" t="n">
        <v>156</v>
      </c>
      <c r="AA1592" t="n">
        <v>240</v>
      </c>
      <c r="AB1592" t="n">
        <v>1</v>
      </c>
      <c r="AC1592" t="n">
        <v>2</v>
      </c>
      <c r="AD1592" t="n">
        <v>7</v>
      </c>
      <c r="AE1592" t="n">
        <v>12</v>
      </c>
      <c r="AF1592" t="n">
        <v>2</v>
      </c>
      <c r="AG1592" t="n">
        <v>5</v>
      </c>
      <c r="AH1592" t="n">
        <v>3</v>
      </c>
      <c r="AI1592" t="n">
        <v>3</v>
      </c>
      <c r="AJ1592" t="n">
        <v>3</v>
      </c>
      <c r="AK1592" t="n">
        <v>6</v>
      </c>
      <c r="AL1592" t="n">
        <v>0</v>
      </c>
      <c r="AM1592" t="n">
        <v>1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Yes</t>
        </is>
      </c>
      <c r="AR1592">
        <f>HYPERLINK("http://catalog.hathitrust.org/Record/003966737","HathiTrust Record")</f>
        <v/>
      </c>
      <c r="AS1592">
        <f>HYPERLINK("https://creighton-primo.hosted.exlibrisgroup.com/primo-explore/search?tab=default_tab&amp;search_scope=EVERYTHING&amp;vid=01CRU&amp;lang=en_US&amp;offset=0&amp;query=any,contains,991002899789702656","Catalog Record")</f>
        <v/>
      </c>
      <c r="AT1592">
        <f>HYPERLINK("http://www.worldcat.org/oclc/38221068","WorldCat Record")</f>
        <v/>
      </c>
      <c r="AU1592" t="inlineStr">
        <is>
          <t>837040187:eng</t>
        </is>
      </c>
      <c r="AV1592" t="inlineStr">
        <is>
          <t>38221068</t>
        </is>
      </c>
      <c r="AW1592" t="inlineStr">
        <is>
          <t>991002899789702656</t>
        </is>
      </c>
      <c r="AX1592" t="inlineStr">
        <is>
          <t>991002899789702656</t>
        </is>
      </c>
      <c r="AY1592" t="inlineStr">
        <is>
          <t>2270016650002656</t>
        </is>
      </c>
      <c r="AZ1592" t="inlineStr">
        <is>
          <t>BOOK</t>
        </is>
      </c>
      <c r="BB1592" t="inlineStr">
        <is>
          <t>9781874675297</t>
        </is>
      </c>
      <c r="BC1592" t="inlineStr">
        <is>
          <t>32285003559977</t>
        </is>
      </c>
      <c r="BD1592" t="inlineStr">
        <is>
          <t>893251754</t>
        </is>
      </c>
    </row>
    <row r="1593">
      <c r="A1593" t="inlineStr">
        <is>
          <t>No</t>
        </is>
      </c>
      <c r="B1593" t="inlineStr">
        <is>
          <t>QH81 .Q17 2000</t>
        </is>
      </c>
      <c r="C1593" t="inlineStr">
        <is>
          <t>0                      QH 0081000Q  17          2000</t>
        </is>
      </c>
      <c r="D1593" t="inlineStr">
        <is>
          <t>The boilerplate rhino : nature in the eye of the beholder / David Quammen.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Quammen, David, 1948-</t>
        </is>
      </c>
      <c r="L1593" t="inlineStr">
        <is>
          <t>New York : Scribner, c2000.</t>
        </is>
      </c>
      <c r="M1593" t="inlineStr">
        <is>
          <t>2000</t>
        </is>
      </c>
      <c r="O1593" t="inlineStr">
        <is>
          <t>eng</t>
        </is>
      </c>
      <c r="P1593" t="inlineStr">
        <is>
          <t>nyu</t>
        </is>
      </c>
      <c r="R1593" t="inlineStr">
        <is>
          <t xml:space="preserve">QH </t>
        </is>
      </c>
      <c r="S1593" t="n">
        <v>3</v>
      </c>
      <c r="T1593" t="n">
        <v>3</v>
      </c>
      <c r="U1593" t="inlineStr">
        <is>
          <t>2002-09-16</t>
        </is>
      </c>
      <c r="V1593" t="inlineStr">
        <is>
          <t>2002-09-16</t>
        </is>
      </c>
      <c r="W1593" t="inlineStr">
        <is>
          <t>2002-01-29</t>
        </is>
      </c>
      <c r="X1593" t="inlineStr">
        <is>
          <t>2002-01-29</t>
        </is>
      </c>
      <c r="Y1593" t="n">
        <v>434</v>
      </c>
      <c r="Z1593" t="n">
        <v>391</v>
      </c>
      <c r="AA1593" t="n">
        <v>492</v>
      </c>
      <c r="AB1593" t="n">
        <v>4</v>
      </c>
      <c r="AC1593" t="n">
        <v>5</v>
      </c>
      <c r="AD1593" t="n">
        <v>10</v>
      </c>
      <c r="AE1593" t="n">
        <v>13</v>
      </c>
      <c r="AF1593" t="n">
        <v>1</v>
      </c>
      <c r="AG1593" t="n">
        <v>3</v>
      </c>
      <c r="AH1593" t="n">
        <v>2</v>
      </c>
      <c r="AI1593" t="n">
        <v>2</v>
      </c>
      <c r="AJ1593" t="n">
        <v>9</v>
      </c>
      <c r="AK1593" t="n">
        <v>9</v>
      </c>
      <c r="AL1593" t="n">
        <v>1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HYPERLINK("http://catalog.hathitrust.org/Record/102009155","HathiTrust Record")</f>
        <v/>
      </c>
      <c r="AS1593">
        <f>HYPERLINK("https://creighton-primo.hosted.exlibrisgroup.com/primo-explore/search?tab=default_tab&amp;search_scope=EVERYTHING&amp;vid=01CRU&amp;lang=en_US&amp;offset=0&amp;query=any,contains,991003668029702656","Catalog Record")</f>
        <v/>
      </c>
      <c r="AT1593">
        <f>HYPERLINK("http://www.worldcat.org/oclc/42786284","WorldCat Record")</f>
        <v/>
      </c>
      <c r="AU1593" t="inlineStr">
        <is>
          <t>836996773:eng</t>
        </is>
      </c>
      <c r="AV1593" t="inlineStr">
        <is>
          <t>42786284</t>
        </is>
      </c>
      <c r="AW1593" t="inlineStr">
        <is>
          <t>991003668029702656</t>
        </is>
      </c>
      <c r="AX1593" t="inlineStr">
        <is>
          <t>991003668029702656</t>
        </is>
      </c>
      <c r="AY1593" t="inlineStr">
        <is>
          <t>2263217650002656</t>
        </is>
      </c>
      <c r="AZ1593" t="inlineStr">
        <is>
          <t>BOOK</t>
        </is>
      </c>
      <c r="BB1593" t="inlineStr">
        <is>
          <t>9780684837284</t>
        </is>
      </c>
      <c r="BC1593" t="inlineStr">
        <is>
          <t>32285004451075</t>
        </is>
      </c>
      <c r="BD1593" t="inlineStr">
        <is>
          <t>893348979</t>
        </is>
      </c>
    </row>
    <row r="1594">
      <c r="A1594" t="inlineStr">
        <is>
          <t>No</t>
        </is>
      </c>
      <c r="B1594" t="inlineStr">
        <is>
          <t>QH81 .S859</t>
        </is>
      </c>
      <c r="C1594" t="inlineStr">
        <is>
          <t>0                      QH 0081000S  859</t>
        </is>
      </c>
      <c r="D1594" t="inlineStr">
        <is>
          <t>Patterns in nature [by] Peter S. Stevens.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K1594" t="inlineStr">
        <is>
          <t>Stevens, Peter S.</t>
        </is>
      </c>
      <c r="L1594" t="inlineStr">
        <is>
          <t>Boston, Little, Brown [1974]</t>
        </is>
      </c>
      <c r="M1594" t="inlineStr">
        <is>
          <t>1974</t>
        </is>
      </c>
      <c r="N1594" t="inlineStr">
        <is>
          <t>[1st ed.]</t>
        </is>
      </c>
      <c r="O1594" t="inlineStr">
        <is>
          <t>eng</t>
        </is>
      </c>
      <c r="P1594" t="inlineStr">
        <is>
          <t>mau</t>
        </is>
      </c>
      <c r="R1594" t="inlineStr">
        <is>
          <t xml:space="preserve">QH </t>
        </is>
      </c>
      <c r="S1594" t="n">
        <v>0</v>
      </c>
      <c r="T1594" t="n">
        <v>0</v>
      </c>
      <c r="U1594" t="inlineStr">
        <is>
          <t>2008-10-01</t>
        </is>
      </c>
      <c r="V1594" t="inlineStr">
        <is>
          <t>2008-10-01</t>
        </is>
      </c>
      <c r="W1594" t="inlineStr">
        <is>
          <t>1997-06-27</t>
        </is>
      </c>
      <c r="X1594" t="inlineStr">
        <is>
          <t>1997-06-27</t>
        </is>
      </c>
      <c r="Y1594" t="n">
        <v>826</v>
      </c>
      <c r="Z1594" t="n">
        <v>710</v>
      </c>
      <c r="AA1594" t="n">
        <v>716</v>
      </c>
      <c r="AB1594" t="n">
        <v>3</v>
      </c>
      <c r="AC1594" t="n">
        <v>3</v>
      </c>
      <c r="AD1594" t="n">
        <v>18</v>
      </c>
      <c r="AE1594" t="n">
        <v>18</v>
      </c>
      <c r="AF1594" t="n">
        <v>8</v>
      </c>
      <c r="AG1594" t="n">
        <v>8</v>
      </c>
      <c r="AH1594" t="n">
        <v>4</v>
      </c>
      <c r="AI1594" t="n">
        <v>4</v>
      </c>
      <c r="AJ1594" t="n">
        <v>7</v>
      </c>
      <c r="AK1594" t="n">
        <v>7</v>
      </c>
      <c r="AL1594" t="n">
        <v>2</v>
      </c>
      <c r="AM1594" t="n">
        <v>2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No</t>
        </is>
      </c>
      <c r="AS1594">
        <f>HYPERLINK("https://creighton-primo.hosted.exlibrisgroup.com/primo-explore/search?tab=default_tab&amp;search_scope=EVERYTHING&amp;vid=01CRU&amp;lang=en_US&amp;offset=0&amp;query=any,contains,991003224819702656","Catalog Record")</f>
        <v/>
      </c>
      <c r="AT1594">
        <f>HYPERLINK("http://www.worldcat.org/oclc/749795","WorldCat Record")</f>
        <v/>
      </c>
      <c r="AU1594" t="inlineStr">
        <is>
          <t>148956:eng</t>
        </is>
      </c>
      <c r="AV1594" t="inlineStr">
        <is>
          <t>749795</t>
        </is>
      </c>
      <c r="AW1594" t="inlineStr">
        <is>
          <t>991003224819702656</t>
        </is>
      </c>
      <c r="AX1594" t="inlineStr">
        <is>
          <t>991003224819702656</t>
        </is>
      </c>
      <c r="AY1594" t="inlineStr">
        <is>
          <t>2255400510002656</t>
        </is>
      </c>
      <c r="AZ1594" t="inlineStr">
        <is>
          <t>BOOK</t>
        </is>
      </c>
      <c r="BB1594" t="inlineStr">
        <is>
          <t>9780316813280</t>
        </is>
      </c>
      <c r="BC1594" t="inlineStr">
        <is>
          <t>32285002865532</t>
        </is>
      </c>
      <c r="BD1594" t="inlineStr">
        <is>
          <t>893880939</t>
        </is>
      </c>
    </row>
    <row r="1595">
      <c r="A1595" t="inlineStr">
        <is>
          <t>No</t>
        </is>
      </c>
      <c r="B1595" t="inlineStr">
        <is>
          <t>QH81 .T61115 1993</t>
        </is>
      </c>
      <c r="C1595" t="inlineStr">
        <is>
          <t>0                      QH 0081000T  61115       1993</t>
        </is>
      </c>
      <c r="D1595" t="inlineStr">
        <is>
          <t>The common but less frequent loon and other essays / Keith Stewart Thomson ; illustrated by Linda Price Thomson.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K1595" t="inlineStr">
        <is>
          <t>Thomson, Keith Stewart.</t>
        </is>
      </c>
      <c r="L1595" t="inlineStr">
        <is>
          <t>New Haven : Yale University Press, c1993.</t>
        </is>
      </c>
      <c r="M1595" t="inlineStr">
        <is>
          <t>1993</t>
        </is>
      </c>
      <c r="O1595" t="inlineStr">
        <is>
          <t>eng</t>
        </is>
      </c>
      <c r="P1595" t="inlineStr">
        <is>
          <t>ctu</t>
        </is>
      </c>
      <c r="R1595" t="inlineStr">
        <is>
          <t xml:space="preserve">QH </t>
        </is>
      </c>
      <c r="S1595" t="n">
        <v>2</v>
      </c>
      <c r="T1595" t="n">
        <v>2</v>
      </c>
      <c r="U1595" t="inlineStr">
        <is>
          <t>2002-02-18</t>
        </is>
      </c>
      <c r="V1595" t="inlineStr">
        <is>
          <t>2002-02-18</t>
        </is>
      </c>
      <c r="W1595" t="inlineStr">
        <is>
          <t>1996-04-02</t>
        </is>
      </c>
      <c r="X1595" t="inlineStr">
        <is>
          <t>1996-04-02</t>
        </is>
      </c>
      <c r="Y1595" t="n">
        <v>351</v>
      </c>
      <c r="Z1595" t="n">
        <v>302</v>
      </c>
      <c r="AA1595" t="n">
        <v>303</v>
      </c>
      <c r="AB1595" t="n">
        <v>3</v>
      </c>
      <c r="AC1595" t="n">
        <v>3</v>
      </c>
      <c r="AD1595" t="n">
        <v>13</v>
      </c>
      <c r="AE1595" t="n">
        <v>13</v>
      </c>
      <c r="AF1595" t="n">
        <v>5</v>
      </c>
      <c r="AG1595" t="n">
        <v>5</v>
      </c>
      <c r="AH1595" t="n">
        <v>5</v>
      </c>
      <c r="AI1595" t="n">
        <v>5</v>
      </c>
      <c r="AJ1595" t="n">
        <v>6</v>
      </c>
      <c r="AK1595" t="n">
        <v>6</v>
      </c>
      <c r="AL1595" t="n">
        <v>2</v>
      </c>
      <c r="AM1595" t="n">
        <v>2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No</t>
        </is>
      </c>
      <c r="AS1595">
        <f>HYPERLINK("https://creighton-primo.hosted.exlibrisgroup.com/primo-explore/search?tab=default_tab&amp;search_scope=EVERYTHING&amp;vid=01CRU&amp;lang=en_US&amp;offset=0&amp;query=any,contains,991002172349702656","Catalog Record")</f>
        <v/>
      </c>
      <c r="AT1595">
        <f>HYPERLINK("http://www.worldcat.org/oclc/27973440","WorldCat Record")</f>
        <v/>
      </c>
      <c r="AU1595" t="inlineStr">
        <is>
          <t>329868:eng</t>
        </is>
      </c>
      <c r="AV1595" t="inlineStr">
        <is>
          <t>27973440</t>
        </is>
      </c>
      <c r="AW1595" t="inlineStr">
        <is>
          <t>991002172349702656</t>
        </is>
      </c>
      <c r="AX1595" t="inlineStr">
        <is>
          <t>991002172349702656</t>
        </is>
      </c>
      <c r="AY1595" t="inlineStr">
        <is>
          <t>2263857100002656</t>
        </is>
      </c>
      <c r="AZ1595" t="inlineStr">
        <is>
          <t>BOOK</t>
        </is>
      </c>
      <c r="BB1595" t="inlineStr">
        <is>
          <t>9780300056303</t>
        </is>
      </c>
      <c r="BC1595" t="inlineStr">
        <is>
          <t>32285002149408</t>
        </is>
      </c>
      <c r="BD1595" t="inlineStr">
        <is>
          <t>893445004</t>
        </is>
      </c>
    </row>
    <row r="1596">
      <c r="A1596" t="inlineStr">
        <is>
          <t>No</t>
        </is>
      </c>
      <c r="B1596" t="inlineStr">
        <is>
          <t>QH81 .W556 1994</t>
        </is>
      </c>
      <c r="C1596" t="inlineStr">
        <is>
          <t>0                      QH 0081000W  556         1994</t>
        </is>
      </c>
      <c r="D1596" t="inlineStr">
        <is>
          <t>Natural high / John P. Wiley, Jr.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K1596" t="inlineStr">
        <is>
          <t>Wiley, John P.</t>
        </is>
      </c>
      <c r="L1596" t="inlineStr">
        <is>
          <t>Hanover, NH : University Press of New England, 1994.</t>
        </is>
      </c>
      <c r="M1596" t="inlineStr">
        <is>
          <t>1994</t>
        </is>
      </c>
      <c r="O1596" t="inlineStr">
        <is>
          <t>eng</t>
        </is>
      </c>
      <c r="P1596" t="inlineStr">
        <is>
          <t>nhu</t>
        </is>
      </c>
      <c r="R1596" t="inlineStr">
        <is>
          <t xml:space="preserve">QH </t>
        </is>
      </c>
      <c r="S1596" t="n">
        <v>4</v>
      </c>
      <c r="T1596" t="n">
        <v>4</v>
      </c>
      <c r="U1596" t="inlineStr">
        <is>
          <t>2005-04-18</t>
        </is>
      </c>
      <c r="V1596" t="inlineStr">
        <is>
          <t>2005-04-18</t>
        </is>
      </c>
      <c r="W1596" t="inlineStr">
        <is>
          <t>1994-07-06</t>
        </is>
      </c>
      <c r="X1596" t="inlineStr">
        <is>
          <t>1994-07-06</t>
        </is>
      </c>
      <c r="Y1596" t="n">
        <v>124</v>
      </c>
      <c r="Z1596" t="n">
        <v>122</v>
      </c>
      <c r="AA1596" t="n">
        <v>462</v>
      </c>
      <c r="AB1596" t="n">
        <v>1</v>
      </c>
      <c r="AC1596" t="n">
        <v>2</v>
      </c>
      <c r="AD1596" t="n">
        <v>3</v>
      </c>
      <c r="AE1596" t="n">
        <v>8</v>
      </c>
      <c r="AF1596" t="n">
        <v>1</v>
      </c>
      <c r="AG1596" t="n">
        <v>5</v>
      </c>
      <c r="AH1596" t="n">
        <v>0</v>
      </c>
      <c r="AI1596" t="n">
        <v>0</v>
      </c>
      <c r="AJ1596" t="n">
        <v>3</v>
      </c>
      <c r="AK1596" t="n">
        <v>4</v>
      </c>
      <c r="AL1596" t="n">
        <v>0</v>
      </c>
      <c r="AM1596" t="n">
        <v>1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HYPERLINK("http://catalog.hathitrust.org/Record/002753192","HathiTrust Record")</f>
        <v/>
      </c>
      <c r="AS1596">
        <f>HYPERLINK("https://creighton-primo.hosted.exlibrisgroup.com/primo-explore/search?tab=default_tab&amp;search_scope=EVERYTHING&amp;vid=01CRU&amp;lang=en_US&amp;offset=0&amp;query=any,contains,991002171059702656","Catalog Record")</f>
        <v/>
      </c>
      <c r="AT1596">
        <f>HYPERLINK("http://www.worldcat.org/oclc/27936648","WorldCat Record")</f>
        <v/>
      </c>
      <c r="AU1596" t="inlineStr">
        <is>
          <t>375874:eng</t>
        </is>
      </c>
      <c r="AV1596" t="inlineStr">
        <is>
          <t>27936648</t>
        </is>
      </c>
      <c r="AW1596" t="inlineStr">
        <is>
          <t>991002171059702656</t>
        </is>
      </c>
      <c r="AX1596" t="inlineStr">
        <is>
          <t>991002171059702656</t>
        </is>
      </c>
      <c r="AY1596" t="inlineStr">
        <is>
          <t>2259316280002656</t>
        </is>
      </c>
      <c r="AZ1596" t="inlineStr">
        <is>
          <t>BOOK</t>
        </is>
      </c>
      <c r="BB1596" t="inlineStr">
        <is>
          <t>9780874516241</t>
        </is>
      </c>
      <c r="BC1596" t="inlineStr">
        <is>
          <t>32285001917847</t>
        </is>
      </c>
      <c r="BD1596" t="inlineStr">
        <is>
          <t>893798262</t>
        </is>
      </c>
    </row>
    <row r="1597">
      <c r="A1597" t="inlineStr">
        <is>
          <t>No</t>
        </is>
      </c>
      <c r="B1597" t="inlineStr">
        <is>
          <t>QH83 .A43</t>
        </is>
      </c>
      <c r="C1597" t="inlineStr">
        <is>
          <t>0                      QH 0083000A  43</t>
        </is>
      </c>
      <c r="D1597" t="inlineStr">
        <is>
          <t>Advances in cladistics : proceedings of the first meeting of the Willi Hennig Society / edited by V.A. Funk &amp; D.R. Brooks.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L1597" t="inlineStr">
        <is>
          <t>Bronx, New York : New York Botanical Garden, 1981.</t>
        </is>
      </c>
      <c r="M1597" t="inlineStr">
        <is>
          <t>1981</t>
        </is>
      </c>
      <c r="O1597" t="inlineStr">
        <is>
          <t>eng</t>
        </is>
      </c>
      <c r="P1597" t="inlineStr">
        <is>
          <t>nyu</t>
        </is>
      </c>
      <c r="R1597" t="inlineStr">
        <is>
          <t xml:space="preserve">QH </t>
        </is>
      </c>
      <c r="S1597" t="n">
        <v>1</v>
      </c>
      <c r="T1597" t="n">
        <v>1</v>
      </c>
      <c r="U1597" t="inlineStr">
        <is>
          <t>1993-07-22</t>
        </is>
      </c>
      <c r="V1597" t="inlineStr">
        <is>
          <t>1993-07-22</t>
        </is>
      </c>
      <c r="W1597" t="inlineStr">
        <is>
          <t>1993-03-05</t>
        </is>
      </c>
      <c r="X1597" t="inlineStr">
        <is>
          <t>1993-03-05</t>
        </is>
      </c>
      <c r="Y1597" t="n">
        <v>176</v>
      </c>
      <c r="Z1597" t="n">
        <v>125</v>
      </c>
      <c r="AA1597" t="n">
        <v>125</v>
      </c>
      <c r="AB1597" t="n">
        <v>2</v>
      </c>
      <c r="AC1597" t="n">
        <v>2</v>
      </c>
      <c r="AD1597" t="n">
        <v>2</v>
      </c>
      <c r="AE1597" t="n">
        <v>2</v>
      </c>
      <c r="AF1597" t="n">
        <v>0</v>
      </c>
      <c r="AG1597" t="n">
        <v>0</v>
      </c>
      <c r="AH1597" t="n">
        <v>0</v>
      </c>
      <c r="AI1597" t="n">
        <v>0</v>
      </c>
      <c r="AJ1597" t="n">
        <v>1</v>
      </c>
      <c r="AK1597" t="n">
        <v>1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No</t>
        </is>
      </c>
      <c r="AS1597">
        <f>HYPERLINK("https://creighton-primo.hosted.exlibrisgroup.com/primo-explore/search?tab=default_tab&amp;search_scope=EVERYTHING&amp;vid=01CRU&amp;lang=en_US&amp;offset=0&amp;query=any,contains,991005193929702656","Catalog Record")</f>
        <v/>
      </c>
      <c r="AT1597">
        <f>HYPERLINK("http://www.worldcat.org/oclc/8032902","WorldCat Record")</f>
        <v/>
      </c>
      <c r="AU1597" t="inlineStr">
        <is>
          <t>9936797067:eng</t>
        </is>
      </c>
      <c r="AV1597" t="inlineStr">
        <is>
          <t>8032902</t>
        </is>
      </c>
      <c r="AW1597" t="inlineStr">
        <is>
          <t>991005193929702656</t>
        </is>
      </c>
      <c r="AX1597" t="inlineStr">
        <is>
          <t>991005193929702656</t>
        </is>
      </c>
      <c r="AY1597" t="inlineStr">
        <is>
          <t>2270846290002656</t>
        </is>
      </c>
      <c r="AZ1597" t="inlineStr">
        <is>
          <t>BOOK</t>
        </is>
      </c>
      <c r="BB1597" t="inlineStr">
        <is>
          <t>9780893272401</t>
        </is>
      </c>
      <c r="BC1597" t="inlineStr">
        <is>
          <t>32285001551331</t>
        </is>
      </c>
      <c r="BD1597" t="inlineStr">
        <is>
          <t>893606987</t>
        </is>
      </c>
    </row>
    <row r="1598">
      <c r="A1598" t="inlineStr">
        <is>
          <t>No</t>
        </is>
      </c>
      <c r="B1598" t="inlineStr">
        <is>
          <t>QH83 .A8 no.8</t>
        </is>
      </c>
      <c r="C1598" t="inlineStr">
        <is>
          <t>0                      QH 0083000A  8                                                       no.8</t>
        </is>
      </c>
      <c r="D1598" t="inlineStr">
        <is>
          <t>The Soil ecosystem: systematic aspects of the environment, organisms and communities: a symposium; edited for the Systematics Association by J. G. Sheals.</t>
        </is>
      </c>
      <c r="E1598" t="inlineStr">
        <is>
          <t>no.8*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L1598" t="inlineStr">
        <is>
          <t>London, Systematics Association, 1969.</t>
        </is>
      </c>
      <c r="M1598" t="inlineStr">
        <is>
          <t>1969</t>
        </is>
      </c>
      <c r="O1598" t="inlineStr">
        <is>
          <t>eng</t>
        </is>
      </c>
      <c r="P1598" t="inlineStr">
        <is>
          <t>enk</t>
        </is>
      </c>
      <c r="Q1598" t="inlineStr">
        <is>
          <t>Systematics Association. Publication no. 8</t>
        </is>
      </c>
      <c r="R1598" t="inlineStr">
        <is>
          <t xml:space="preserve">QH </t>
        </is>
      </c>
      <c r="S1598" t="n">
        <v>15</v>
      </c>
      <c r="T1598" t="n">
        <v>15</v>
      </c>
      <c r="U1598" t="inlineStr">
        <is>
          <t>2002-10-21</t>
        </is>
      </c>
      <c r="V1598" t="inlineStr">
        <is>
          <t>2002-10-21</t>
        </is>
      </c>
      <c r="W1598" t="inlineStr">
        <is>
          <t>1997-06-27</t>
        </is>
      </c>
      <c r="X1598" t="inlineStr">
        <is>
          <t>1997-06-27</t>
        </is>
      </c>
      <c r="Y1598" t="n">
        <v>254</v>
      </c>
      <c r="Z1598" t="n">
        <v>151</v>
      </c>
      <c r="AA1598" t="n">
        <v>152</v>
      </c>
      <c r="AB1598" t="n">
        <v>2</v>
      </c>
      <c r="AC1598" t="n">
        <v>2</v>
      </c>
      <c r="AD1598" t="n">
        <v>4</v>
      </c>
      <c r="AE1598" t="n">
        <v>4</v>
      </c>
      <c r="AF1598" t="n">
        <v>0</v>
      </c>
      <c r="AG1598" t="n">
        <v>0</v>
      </c>
      <c r="AH1598" t="n">
        <v>2</v>
      </c>
      <c r="AI1598" t="n">
        <v>2</v>
      </c>
      <c r="AJ1598" t="n">
        <v>2</v>
      </c>
      <c r="AK1598" t="n">
        <v>2</v>
      </c>
      <c r="AL1598" t="n">
        <v>1</v>
      </c>
      <c r="AM1598" t="n">
        <v>1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HYPERLINK("http://catalog.hathitrust.org/Record/001686315","HathiTrust Record")</f>
        <v/>
      </c>
      <c r="AS1598">
        <f>HYPERLINK("https://creighton-primo.hosted.exlibrisgroup.com/primo-explore/search?tab=default_tab&amp;search_scope=EVERYTHING&amp;vid=01CRU&amp;lang=en_US&amp;offset=0&amp;query=any,contains,991000654479702656","Catalog Record")</f>
        <v/>
      </c>
      <c r="AT1598">
        <f>HYPERLINK("http://www.worldcat.org/oclc/114504","WorldCat Record")</f>
        <v/>
      </c>
      <c r="AU1598" t="inlineStr">
        <is>
          <t>10792653955:eng</t>
        </is>
      </c>
      <c r="AV1598" t="inlineStr">
        <is>
          <t>114504</t>
        </is>
      </c>
      <c r="AW1598" t="inlineStr">
        <is>
          <t>991000654479702656</t>
        </is>
      </c>
      <c r="AX1598" t="inlineStr">
        <is>
          <t>991000654479702656</t>
        </is>
      </c>
      <c r="AY1598" t="inlineStr">
        <is>
          <t>2259800760002656</t>
        </is>
      </c>
      <c r="AZ1598" t="inlineStr">
        <is>
          <t>BOOK</t>
        </is>
      </c>
      <c r="BB1598" t="inlineStr">
        <is>
          <t>9780902551008</t>
        </is>
      </c>
      <c r="BC1598" t="inlineStr">
        <is>
          <t>32285002865565</t>
        </is>
      </c>
      <c r="BD1598" t="inlineStr">
        <is>
          <t>893333656</t>
        </is>
      </c>
    </row>
    <row r="1599">
      <c r="A1599" t="inlineStr">
        <is>
          <t>No</t>
        </is>
      </c>
      <c r="B1599" t="inlineStr">
        <is>
          <t>QH83 .C565</t>
        </is>
      </c>
      <c r="C1599" t="inlineStr">
        <is>
          <t>0                      QH 0083000C  565</t>
        </is>
      </c>
      <c r="D1599" t="inlineStr">
        <is>
          <t>An introduction to numerical classification / H. T. Clifford and W. Stephenson.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K1599" t="inlineStr">
        <is>
          <t>Clifford, H. T. (Harold Trevor)</t>
        </is>
      </c>
      <c r="L1599" t="inlineStr">
        <is>
          <t>New York : Academic Press, 1975.</t>
        </is>
      </c>
      <c r="M1599" t="inlineStr">
        <is>
          <t>1975</t>
        </is>
      </c>
      <c r="O1599" t="inlineStr">
        <is>
          <t>eng</t>
        </is>
      </c>
      <c r="P1599" t="inlineStr">
        <is>
          <t>nyu</t>
        </is>
      </c>
      <c r="R1599" t="inlineStr">
        <is>
          <t xml:space="preserve">QH </t>
        </is>
      </c>
      <c r="S1599" t="n">
        <v>4</v>
      </c>
      <c r="T1599" t="n">
        <v>4</v>
      </c>
      <c r="U1599" t="inlineStr">
        <is>
          <t>1996-02-11</t>
        </is>
      </c>
      <c r="V1599" t="inlineStr">
        <is>
          <t>1996-02-11</t>
        </is>
      </c>
      <c r="W1599" t="inlineStr">
        <is>
          <t>1995-03-23</t>
        </is>
      </c>
      <c r="X1599" t="inlineStr">
        <is>
          <t>1995-03-23</t>
        </is>
      </c>
      <c r="Y1599" t="n">
        <v>452</v>
      </c>
      <c r="Z1599" t="n">
        <v>291</v>
      </c>
      <c r="AA1599" t="n">
        <v>334</v>
      </c>
      <c r="AB1599" t="n">
        <v>4</v>
      </c>
      <c r="AC1599" t="n">
        <v>4</v>
      </c>
      <c r="AD1599" t="n">
        <v>12</v>
      </c>
      <c r="AE1599" t="n">
        <v>13</v>
      </c>
      <c r="AF1599" t="n">
        <v>2</v>
      </c>
      <c r="AG1599" t="n">
        <v>2</v>
      </c>
      <c r="AH1599" t="n">
        <v>2</v>
      </c>
      <c r="AI1599" t="n">
        <v>3</v>
      </c>
      <c r="AJ1599" t="n">
        <v>6</v>
      </c>
      <c r="AK1599" t="n">
        <v>6</v>
      </c>
      <c r="AL1599" t="n">
        <v>3</v>
      </c>
      <c r="AM1599" t="n">
        <v>3</v>
      </c>
      <c r="AN1599" t="n">
        <v>0</v>
      </c>
      <c r="AO1599" t="n">
        <v>0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HYPERLINK("http://catalog.hathitrust.org/Record/000035678","HathiTrust Record")</f>
        <v/>
      </c>
      <c r="AS1599">
        <f>HYPERLINK("https://creighton-primo.hosted.exlibrisgroup.com/primo-explore/search?tab=default_tab&amp;search_scope=EVERYTHING&amp;vid=01CRU&amp;lang=en_US&amp;offset=0&amp;query=any,contains,991003559949702656","Catalog Record")</f>
        <v/>
      </c>
      <c r="AT1599">
        <f>HYPERLINK("http://www.worldcat.org/oclc/1130001","WorldCat Record")</f>
        <v/>
      </c>
      <c r="AU1599" t="inlineStr">
        <is>
          <t>2043663:eng</t>
        </is>
      </c>
      <c r="AV1599" t="inlineStr">
        <is>
          <t>1130001</t>
        </is>
      </c>
      <c r="AW1599" t="inlineStr">
        <is>
          <t>991003559949702656</t>
        </is>
      </c>
      <c r="AX1599" t="inlineStr">
        <is>
          <t>991003559949702656</t>
        </is>
      </c>
      <c r="AY1599" t="inlineStr">
        <is>
          <t>2263062200002656</t>
        </is>
      </c>
      <c r="AZ1599" t="inlineStr">
        <is>
          <t>BOOK</t>
        </is>
      </c>
      <c r="BB1599" t="inlineStr">
        <is>
          <t>9780121767501</t>
        </is>
      </c>
      <c r="BC1599" t="inlineStr">
        <is>
          <t>32285002013588</t>
        </is>
      </c>
      <c r="BD1599" t="inlineStr">
        <is>
          <t>893499423</t>
        </is>
      </c>
    </row>
    <row r="1600">
      <c r="A1600" t="inlineStr">
        <is>
          <t>No</t>
        </is>
      </c>
      <c r="B1600" t="inlineStr">
        <is>
          <t>QH83 .C616 1976</t>
        </is>
      </c>
      <c r="C1600" t="inlineStr">
        <is>
          <t>0                      QH 0083000C  616         1976</t>
        </is>
      </c>
      <c r="D1600" t="inlineStr">
        <is>
          <t>Concepts of species / edited by C. N. Slobodchikoff.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L1600" t="inlineStr">
        <is>
          <t>Stroudsburg, Pa. : Dowden, Hutchinson &amp; Ross ; [New York] : distributed by Halsted Press, c1976.</t>
        </is>
      </c>
      <c r="M1600" t="inlineStr">
        <is>
          <t>1976</t>
        </is>
      </c>
      <c r="O1600" t="inlineStr">
        <is>
          <t>eng</t>
        </is>
      </c>
      <c r="P1600" t="inlineStr">
        <is>
          <t>pau</t>
        </is>
      </c>
      <c r="Q1600" t="inlineStr">
        <is>
          <t>Benchmark papers in systematic and evolutionary biology ; v. 3</t>
        </is>
      </c>
      <c r="R1600" t="inlineStr">
        <is>
          <t xml:space="preserve">QH </t>
        </is>
      </c>
      <c r="S1600" t="n">
        <v>2</v>
      </c>
      <c r="T1600" t="n">
        <v>2</v>
      </c>
      <c r="U1600" t="inlineStr">
        <is>
          <t>1996-02-13</t>
        </is>
      </c>
      <c r="V1600" t="inlineStr">
        <is>
          <t>1996-02-13</t>
        </is>
      </c>
      <c r="W1600" t="inlineStr">
        <is>
          <t>1995-03-23</t>
        </is>
      </c>
      <c r="X1600" t="inlineStr">
        <is>
          <t>1995-03-23</t>
        </is>
      </c>
      <c r="Y1600" t="n">
        <v>364</v>
      </c>
      <c r="Z1600" t="n">
        <v>272</v>
      </c>
      <c r="AA1600" t="n">
        <v>278</v>
      </c>
      <c r="AB1600" t="n">
        <v>5</v>
      </c>
      <c r="AC1600" t="n">
        <v>5</v>
      </c>
      <c r="AD1600" t="n">
        <v>10</v>
      </c>
      <c r="AE1600" t="n">
        <v>10</v>
      </c>
      <c r="AF1600" t="n">
        <v>2</v>
      </c>
      <c r="AG1600" t="n">
        <v>2</v>
      </c>
      <c r="AH1600" t="n">
        <v>2</v>
      </c>
      <c r="AI1600" t="n">
        <v>2</v>
      </c>
      <c r="AJ1600" t="n">
        <v>5</v>
      </c>
      <c r="AK1600" t="n">
        <v>5</v>
      </c>
      <c r="AL1600" t="n">
        <v>4</v>
      </c>
      <c r="AM1600" t="n">
        <v>4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HYPERLINK("http://catalog.hathitrust.org/Record/000085871","HathiTrust Record")</f>
        <v/>
      </c>
      <c r="AS1600">
        <f>HYPERLINK("https://creighton-primo.hosted.exlibrisgroup.com/primo-explore/search?tab=default_tab&amp;search_scope=EVERYTHING&amp;vid=01CRU&amp;lang=en_US&amp;offset=0&amp;query=any,contains,991004166989702656","Catalog Record")</f>
        <v/>
      </c>
      <c r="AT1600">
        <f>HYPERLINK("http://www.worldcat.org/oclc/2569837","WorldCat Record")</f>
        <v/>
      </c>
      <c r="AU1600" t="inlineStr">
        <is>
          <t>9658297862:eng</t>
        </is>
      </c>
      <c r="AV1600" t="inlineStr">
        <is>
          <t>2569837</t>
        </is>
      </c>
      <c r="AW1600" t="inlineStr">
        <is>
          <t>991004166989702656</t>
        </is>
      </c>
      <c r="AX1600" t="inlineStr">
        <is>
          <t>991004166989702656</t>
        </is>
      </c>
      <c r="AY1600" t="inlineStr">
        <is>
          <t>2268983470002656</t>
        </is>
      </c>
      <c r="AZ1600" t="inlineStr">
        <is>
          <t>BOOK</t>
        </is>
      </c>
      <c r="BB1600" t="inlineStr">
        <is>
          <t>9780879332242</t>
        </is>
      </c>
      <c r="BC1600" t="inlineStr">
        <is>
          <t>32285002013570</t>
        </is>
      </c>
      <c r="BD1600" t="inlineStr">
        <is>
          <t>893318877</t>
        </is>
      </c>
    </row>
    <row r="1601">
      <c r="A1601" t="inlineStr">
        <is>
          <t>No</t>
        </is>
      </c>
      <c r="B1601" t="inlineStr">
        <is>
          <t>QH83 .C75</t>
        </is>
      </c>
      <c r="C1601" t="inlineStr">
        <is>
          <t>0                      QH 0083000C  75</t>
        </is>
      </c>
      <c r="D1601" t="inlineStr">
        <is>
          <t>Classification and biology / [by] R. A. Crowson.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K1601" t="inlineStr">
        <is>
          <t>Crowson, R. A. (Roy Albert)</t>
        </is>
      </c>
      <c r="L1601" t="inlineStr">
        <is>
          <t>London : Heinemann Educational, 1970.</t>
        </is>
      </c>
      <c r="M1601" t="inlineStr">
        <is>
          <t>1970</t>
        </is>
      </c>
      <c r="O1601" t="inlineStr">
        <is>
          <t>eng</t>
        </is>
      </c>
      <c r="P1601" t="inlineStr">
        <is>
          <t>enk</t>
        </is>
      </c>
      <c r="R1601" t="inlineStr">
        <is>
          <t xml:space="preserve">QH </t>
        </is>
      </c>
      <c r="S1601" t="n">
        <v>5</v>
      </c>
      <c r="T1601" t="n">
        <v>5</v>
      </c>
      <c r="U1601" t="inlineStr">
        <is>
          <t>2000-03-23</t>
        </is>
      </c>
      <c r="V1601" t="inlineStr">
        <is>
          <t>2000-03-23</t>
        </is>
      </c>
      <c r="W1601" t="inlineStr">
        <is>
          <t>1995-03-23</t>
        </is>
      </c>
      <c r="X1601" t="inlineStr">
        <is>
          <t>1995-03-23</t>
        </is>
      </c>
      <c r="Y1601" t="n">
        <v>321</v>
      </c>
      <c r="Z1601" t="n">
        <v>152</v>
      </c>
      <c r="AA1601" t="n">
        <v>460</v>
      </c>
      <c r="AB1601" t="n">
        <v>3</v>
      </c>
      <c r="AC1601" t="n">
        <v>6</v>
      </c>
      <c r="AD1601" t="n">
        <v>5</v>
      </c>
      <c r="AE1601" t="n">
        <v>17</v>
      </c>
      <c r="AF1601" t="n">
        <v>2</v>
      </c>
      <c r="AG1601" t="n">
        <v>6</v>
      </c>
      <c r="AH1601" t="n">
        <v>1</v>
      </c>
      <c r="AI1601" t="n">
        <v>2</v>
      </c>
      <c r="AJ1601" t="n">
        <v>1</v>
      </c>
      <c r="AK1601" t="n">
        <v>7</v>
      </c>
      <c r="AL1601" t="n">
        <v>2</v>
      </c>
      <c r="AM1601" t="n">
        <v>5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HYPERLINK("http://catalog.hathitrust.org/Record/001490366","HathiTrust Record")</f>
        <v/>
      </c>
      <c r="AS1601">
        <f>HYPERLINK("https://creighton-primo.hosted.exlibrisgroup.com/primo-explore/search?tab=default_tab&amp;search_scope=EVERYTHING&amp;vid=01CRU&amp;lang=en_US&amp;offset=0&amp;query=any,contains,991000597819702656","Catalog Record")</f>
        <v/>
      </c>
      <c r="AT1601">
        <f>HYPERLINK("http://www.worldcat.org/oclc/97677","WorldCat Record")</f>
        <v/>
      </c>
      <c r="AU1601" t="inlineStr">
        <is>
          <t>1286557:eng</t>
        </is>
      </c>
      <c r="AV1601" t="inlineStr">
        <is>
          <t>97677</t>
        </is>
      </c>
      <c r="AW1601" t="inlineStr">
        <is>
          <t>991000597819702656</t>
        </is>
      </c>
      <c r="AX1601" t="inlineStr">
        <is>
          <t>991000597819702656</t>
        </is>
      </c>
      <c r="AY1601" t="inlineStr">
        <is>
          <t>2269722500002656</t>
        </is>
      </c>
      <c r="AZ1601" t="inlineStr">
        <is>
          <t>BOOK</t>
        </is>
      </c>
      <c r="BB1601" t="inlineStr">
        <is>
          <t>9780435629847</t>
        </is>
      </c>
      <c r="BC1601" t="inlineStr">
        <is>
          <t>32285002013562</t>
        </is>
      </c>
      <c r="BD1601" t="inlineStr">
        <is>
          <t>893601888</t>
        </is>
      </c>
    </row>
    <row r="1602">
      <c r="A1602" t="inlineStr">
        <is>
          <t>No</t>
        </is>
      </c>
      <c r="B1602" t="inlineStr">
        <is>
          <t>QH83 .M36 1982</t>
        </is>
      </c>
      <c r="C1602" t="inlineStr">
        <is>
          <t>0                      QH 0083000M  36          1982</t>
        </is>
      </c>
      <c r="D1602" t="inlineStr">
        <is>
          <t>Five kingdoms : an illustrated guide to the phyla of life on earth / Lynn Margulis, Karlene V. Schwartz.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Yes</t>
        </is>
      </c>
      <c r="J1602" t="inlineStr">
        <is>
          <t>0</t>
        </is>
      </c>
      <c r="K1602" t="inlineStr">
        <is>
          <t>Margulis, Lynn, 1938-2011.</t>
        </is>
      </c>
      <c r="L1602" t="inlineStr">
        <is>
          <t>San Francisco : W.H. Freeman, c1982.</t>
        </is>
      </c>
      <c r="M1602" t="inlineStr">
        <is>
          <t>1982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QH </t>
        </is>
      </c>
      <c r="S1602" t="n">
        <v>4</v>
      </c>
      <c r="T1602" t="n">
        <v>4</v>
      </c>
      <c r="U1602" t="inlineStr">
        <is>
          <t>2008-05-20</t>
        </is>
      </c>
      <c r="V1602" t="inlineStr">
        <is>
          <t>2008-05-20</t>
        </is>
      </c>
      <c r="W1602" t="inlineStr">
        <is>
          <t>1990-07-03</t>
        </is>
      </c>
      <c r="X1602" t="inlineStr">
        <is>
          <t>1990-07-03</t>
        </is>
      </c>
      <c r="Y1602" t="n">
        <v>913</v>
      </c>
      <c r="Z1602" t="n">
        <v>746</v>
      </c>
      <c r="AA1602" t="n">
        <v>2078</v>
      </c>
      <c r="AB1602" t="n">
        <v>3</v>
      </c>
      <c r="AC1602" t="n">
        <v>13</v>
      </c>
      <c r="AD1602" t="n">
        <v>16</v>
      </c>
      <c r="AE1602" t="n">
        <v>48</v>
      </c>
      <c r="AF1602" t="n">
        <v>7</v>
      </c>
      <c r="AG1602" t="n">
        <v>19</v>
      </c>
      <c r="AH1602" t="n">
        <v>2</v>
      </c>
      <c r="AI1602" t="n">
        <v>8</v>
      </c>
      <c r="AJ1602" t="n">
        <v>8</v>
      </c>
      <c r="AK1602" t="n">
        <v>23</v>
      </c>
      <c r="AL1602" t="n">
        <v>3</v>
      </c>
      <c r="AM1602" t="n">
        <v>9</v>
      </c>
      <c r="AN1602" t="n">
        <v>0</v>
      </c>
      <c r="AO1602" t="n">
        <v>0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HYPERLINK("https://creighton-primo.hosted.exlibrisgroup.com/primo-explore/search?tab=default_tab&amp;search_scope=EVERYTHING&amp;vid=01CRU&amp;lang=en_US&amp;offset=0&amp;query=any,contains,991005128489702656","Catalog Record")</f>
        <v/>
      </c>
      <c r="AT1602">
        <f>HYPERLINK("http://www.worldcat.org/oclc/7555185","WorldCat Record")</f>
        <v/>
      </c>
      <c r="AU1602" t="inlineStr">
        <is>
          <t>581055:eng</t>
        </is>
      </c>
      <c r="AV1602" t="inlineStr">
        <is>
          <t>7555185</t>
        </is>
      </c>
      <c r="AW1602" t="inlineStr">
        <is>
          <t>991005128489702656</t>
        </is>
      </c>
      <c r="AX1602" t="inlineStr">
        <is>
          <t>991005128489702656</t>
        </is>
      </c>
      <c r="AY1602" t="inlineStr">
        <is>
          <t>2266324220002656</t>
        </is>
      </c>
      <c r="AZ1602" t="inlineStr">
        <is>
          <t>BOOK</t>
        </is>
      </c>
      <c r="BB1602" t="inlineStr">
        <is>
          <t>9780716712121</t>
        </is>
      </c>
      <c r="BC1602" t="inlineStr">
        <is>
          <t>32285000225101</t>
        </is>
      </c>
      <c r="BD1602" t="inlineStr">
        <is>
          <t>893883375</t>
        </is>
      </c>
    </row>
    <row r="1603">
      <c r="A1603" t="inlineStr">
        <is>
          <t>No</t>
        </is>
      </c>
      <c r="B1603" t="inlineStr">
        <is>
          <t>QH83 .M62 1986</t>
        </is>
      </c>
      <c r="C1603" t="inlineStr">
        <is>
          <t>0                      QH 0083000M  62          1986</t>
        </is>
      </c>
      <c r="D1603" t="inlineStr">
        <is>
          <t>Modern aspects of species / edited by Kunio Iwatsuki, Peter H. Raven and Walter J. Bock.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L1603" t="inlineStr">
        <is>
          <t>[Tokyo] : University of Tokyo Press, c1986.</t>
        </is>
      </c>
      <c r="M1603" t="inlineStr">
        <is>
          <t>1986</t>
        </is>
      </c>
      <c r="O1603" t="inlineStr">
        <is>
          <t>eng</t>
        </is>
      </c>
      <c r="P1603" t="inlineStr">
        <is>
          <t xml:space="preserve">ja </t>
        </is>
      </c>
      <c r="R1603" t="inlineStr">
        <is>
          <t xml:space="preserve">QH </t>
        </is>
      </c>
      <c r="S1603" t="n">
        <v>2</v>
      </c>
      <c r="T1603" t="n">
        <v>2</v>
      </c>
      <c r="U1603" t="inlineStr">
        <is>
          <t>1995-02-23</t>
        </is>
      </c>
      <c r="V1603" t="inlineStr">
        <is>
          <t>1995-02-23</t>
        </is>
      </c>
      <c r="W1603" t="inlineStr">
        <is>
          <t>1993-03-05</t>
        </is>
      </c>
      <c r="X1603" t="inlineStr">
        <is>
          <t>1993-03-05</t>
        </is>
      </c>
      <c r="Y1603" t="n">
        <v>186</v>
      </c>
      <c r="Z1603" t="n">
        <v>135</v>
      </c>
      <c r="AA1603" t="n">
        <v>137</v>
      </c>
      <c r="AB1603" t="n">
        <v>1</v>
      </c>
      <c r="AC1603" t="n">
        <v>1</v>
      </c>
      <c r="AD1603" t="n">
        <v>3</v>
      </c>
      <c r="AE1603" t="n">
        <v>3</v>
      </c>
      <c r="AF1603" t="n">
        <v>0</v>
      </c>
      <c r="AG1603" t="n">
        <v>0</v>
      </c>
      <c r="AH1603" t="n">
        <v>1</v>
      </c>
      <c r="AI1603" t="n">
        <v>1</v>
      </c>
      <c r="AJ1603" t="n">
        <v>2</v>
      </c>
      <c r="AK1603" t="n">
        <v>2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No</t>
        </is>
      </c>
      <c r="AQ1603" t="inlineStr">
        <is>
          <t>Yes</t>
        </is>
      </c>
      <c r="AR1603">
        <f>HYPERLINK("http://catalog.hathitrust.org/Record/000842638","HathiTrust Record")</f>
        <v/>
      </c>
      <c r="AS1603">
        <f>HYPERLINK("https://creighton-primo.hosted.exlibrisgroup.com/primo-explore/search?tab=default_tab&amp;search_scope=EVERYTHING&amp;vid=01CRU&amp;lang=en_US&amp;offset=0&amp;query=any,contains,991001021889702656","Catalog Record")</f>
        <v/>
      </c>
      <c r="AT1603">
        <f>HYPERLINK("http://www.worldcat.org/oclc/15372932","WorldCat Record")</f>
        <v/>
      </c>
      <c r="AU1603" t="inlineStr">
        <is>
          <t>10231518:eng</t>
        </is>
      </c>
      <c r="AV1603" t="inlineStr">
        <is>
          <t>15372932</t>
        </is>
      </c>
      <c r="AW1603" t="inlineStr">
        <is>
          <t>991001021889702656</t>
        </is>
      </c>
      <c r="AX1603" t="inlineStr">
        <is>
          <t>991001021889702656</t>
        </is>
      </c>
      <c r="AY1603" t="inlineStr">
        <is>
          <t>2262936310002656</t>
        </is>
      </c>
      <c r="AZ1603" t="inlineStr">
        <is>
          <t>BOOK</t>
        </is>
      </c>
      <c r="BB1603" t="inlineStr">
        <is>
          <t>9780860084143</t>
        </is>
      </c>
      <c r="BC1603" t="inlineStr">
        <is>
          <t>32285001551372</t>
        </is>
      </c>
      <c r="BD1603" t="inlineStr">
        <is>
          <t>893515842</t>
        </is>
      </c>
    </row>
    <row r="1604">
      <c r="A1604" t="inlineStr">
        <is>
          <t>No</t>
        </is>
      </c>
      <c r="B1604" t="inlineStr">
        <is>
          <t>QH83 .M64 2004</t>
        </is>
      </c>
      <c r="C1604" t="inlineStr">
        <is>
          <t>0                      QH 0083000M  64          2004</t>
        </is>
      </c>
      <c r="D1604" t="inlineStr">
        <is>
          <t>Milestones in systematics / edited by David M. Williams, Peter L. Forey.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Boca Raton : CRC Press, c2004.</t>
        </is>
      </c>
      <c r="M1604" t="inlineStr">
        <is>
          <t>2004</t>
        </is>
      </c>
      <c r="O1604" t="inlineStr">
        <is>
          <t>eng</t>
        </is>
      </c>
      <c r="P1604" t="inlineStr">
        <is>
          <t>flu</t>
        </is>
      </c>
      <c r="Q1604" t="inlineStr">
        <is>
          <t>Systematics Association special volume ; no. 67</t>
        </is>
      </c>
      <c r="R1604" t="inlineStr">
        <is>
          <t xml:space="preserve">QH </t>
        </is>
      </c>
      <c r="S1604" t="n">
        <v>1</v>
      </c>
      <c r="T1604" t="n">
        <v>1</v>
      </c>
      <c r="U1604" t="inlineStr">
        <is>
          <t>2005-05-11</t>
        </is>
      </c>
      <c r="V1604" t="inlineStr">
        <is>
          <t>2005-05-11</t>
        </is>
      </c>
      <c r="W1604" t="inlineStr">
        <is>
          <t>2005-05-11</t>
        </is>
      </c>
      <c r="X1604" t="inlineStr">
        <is>
          <t>2005-05-11</t>
        </is>
      </c>
      <c r="Y1604" t="n">
        <v>267</v>
      </c>
      <c r="Z1604" t="n">
        <v>189</v>
      </c>
      <c r="AA1604" t="n">
        <v>221</v>
      </c>
      <c r="AB1604" t="n">
        <v>2</v>
      </c>
      <c r="AC1604" t="n">
        <v>2</v>
      </c>
      <c r="AD1604" t="n">
        <v>8</v>
      </c>
      <c r="AE1604" t="n">
        <v>8</v>
      </c>
      <c r="AF1604" t="n">
        <v>4</v>
      </c>
      <c r="AG1604" t="n">
        <v>4</v>
      </c>
      <c r="AH1604" t="n">
        <v>2</v>
      </c>
      <c r="AI1604" t="n">
        <v>2</v>
      </c>
      <c r="AJ1604" t="n">
        <v>4</v>
      </c>
      <c r="AK1604" t="n">
        <v>4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HYPERLINK("https://creighton-primo.hosted.exlibrisgroup.com/primo-explore/search?tab=default_tab&amp;search_scope=EVERYTHING&amp;vid=01CRU&amp;lang=en_US&amp;offset=0&amp;query=any,contains,991004518529702656","Catalog Record")</f>
        <v/>
      </c>
      <c r="AT1604">
        <f>HYPERLINK("http://www.worldcat.org/oclc/53896677","WorldCat Record")</f>
        <v/>
      </c>
      <c r="AU1604" t="inlineStr">
        <is>
          <t>907188611:eng</t>
        </is>
      </c>
      <c r="AV1604" t="inlineStr">
        <is>
          <t>53896677</t>
        </is>
      </c>
      <c r="AW1604" t="inlineStr">
        <is>
          <t>991004518529702656</t>
        </is>
      </c>
      <c r="AX1604" t="inlineStr">
        <is>
          <t>991004518529702656</t>
        </is>
      </c>
      <c r="AY1604" t="inlineStr">
        <is>
          <t>2272716800002656</t>
        </is>
      </c>
      <c r="AZ1604" t="inlineStr">
        <is>
          <t>BOOK</t>
        </is>
      </c>
      <c r="BB1604" t="inlineStr">
        <is>
          <t>9780415280327</t>
        </is>
      </c>
      <c r="BC1604" t="inlineStr">
        <is>
          <t>32285005037303</t>
        </is>
      </c>
      <c r="BD1604" t="inlineStr">
        <is>
          <t>893606131</t>
        </is>
      </c>
    </row>
    <row r="1605">
      <c r="A1605" t="inlineStr">
        <is>
          <t>No</t>
        </is>
      </c>
      <c r="B1605" t="inlineStr">
        <is>
          <t>QH83 .M665 1996</t>
        </is>
      </c>
      <c r="C1605" t="inlineStr">
        <is>
          <t>0                      QH 0083000M  665         1996</t>
        </is>
      </c>
      <c r="D1605" t="inlineStr">
        <is>
          <t>Molecular systematics / edited by David M. Hillis, Craig Moritz and Barbara K. Mable.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L1605" t="inlineStr">
        <is>
          <t>Sunderland, Mass. : Sinauer Associates, c1996.</t>
        </is>
      </c>
      <c r="M1605" t="inlineStr">
        <is>
          <t>1996</t>
        </is>
      </c>
      <c r="N1605" t="inlineStr">
        <is>
          <t>2nd ed.</t>
        </is>
      </c>
      <c r="O1605" t="inlineStr">
        <is>
          <t>eng</t>
        </is>
      </c>
      <c r="P1605" t="inlineStr">
        <is>
          <t>mau</t>
        </is>
      </c>
      <c r="R1605" t="inlineStr">
        <is>
          <t xml:space="preserve">QH </t>
        </is>
      </c>
      <c r="S1605" t="n">
        <v>3</v>
      </c>
      <c r="T1605" t="n">
        <v>3</v>
      </c>
      <c r="U1605" t="inlineStr">
        <is>
          <t>2008-09-29</t>
        </is>
      </c>
      <c r="V1605" t="inlineStr">
        <is>
          <t>2008-09-29</t>
        </is>
      </c>
      <c r="W1605" t="inlineStr">
        <is>
          <t>1998-03-19</t>
        </is>
      </c>
      <c r="X1605" t="inlineStr">
        <is>
          <t>1998-03-19</t>
        </is>
      </c>
      <c r="Y1605" t="n">
        <v>648</v>
      </c>
      <c r="Z1605" t="n">
        <v>461</v>
      </c>
      <c r="AA1605" t="n">
        <v>605</v>
      </c>
      <c r="AB1605" t="n">
        <v>5</v>
      </c>
      <c r="AC1605" t="n">
        <v>8</v>
      </c>
      <c r="AD1605" t="n">
        <v>25</v>
      </c>
      <c r="AE1605" t="n">
        <v>33</v>
      </c>
      <c r="AF1605" t="n">
        <v>10</v>
      </c>
      <c r="AG1605" t="n">
        <v>12</v>
      </c>
      <c r="AH1605" t="n">
        <v>6</v>
      </c>
      <c r="AI1605" t="n">
        <v>7</v>
      </c>
      <c r="AJ1605" t="n">
        <v>12</v>
      </c>
      <c r="AK1605" t="n">
        <v>15</v>
      </c>
      <c r="AL1605" t="n">
        <v>4</v>
      </c>
      <c r="AM1605" t="n">
        <v>7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Yes</t>
        </is>
      </c>
      <c r="AR1605">
        <f>HYPERLINK("http://catalog.hathitrust.org/Record/003062114","HathiTrust Record")</f>
        <v/>
      </c>
      <c r="AS1605">
        <f>HYPERLINK("https://creighton-primo.hosted.exlibrisgroup.com/primo-explore/search?tab=default_tab&amp;search_scope=EVERYTHING&amp;vid=01CRU&amp;lang=en_US&amp;offset=0&amp;query=any,contains,991002555249702656","Catalog Record")</f>
        <v/>
      </c>
      <c r="AT1605">
        <f>HYPERLINK("http://www.worldcat.org/oclc/33209413","WorldCat Record")</f>
        <v/>
      </c>
      <c r="AU1605" t="inlineStr">
        <is>
          <t>143814679:eng</t>
        </is>
      </c>
      <c r="AV1605" t="inlineStr">
        <is>
          <t>33209413</t>
        </is>
      </c>
      <c r="AW1605" t="inlineStr">
        <is>
          <t>991002555249702656</t>
        </is>
      </c>
      <c r="AX1605" t="inlineStr">
        <is>
          <t>991002555249702656</t>
        </is>
      </c>
      <c r="AY1605" t="inlineStr">
        <is>
          <t>2262257470002656</t>
        </is>
      </c>
      <c r="AZ1605" t="inlineStr">
        <is>
          <t>BOOK</t>
        </is>
      </c>
      <c r="BB1605" t="inlineStr">
        <is>
          <t>9780878932825</t>
        </is>
      </c>
      <c r="BC1605" t="inlineStr">
        <is>
          <t>32285003358859</t>
        </is>
      </c>
      <c r="BD1605" t="inlineStr">
        <is>
          <t>893710427</t>
        </is>
      </c>
    </row>
    <row r="1606">
      <c r="A1606" t="inlineStr">
        <is>
          <t>No</t>
        </is>
      </c>
      <c r="B1606" t="inlineStr">
        <is>
          <t>QH83 .M69 2004</t>
        </is>
      </c>
      <c r="C1606" t="inlineStr">
        <is>
          <t>0                      QH 0083000M  69          2004</t>
        </is>
      </c>
      <c r="D1606" t="inlineStr">
        <is>
          <t>This is not a weasel : a close look at nature's most confusing terms / Philip B. Mortenson.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Mortenson, Philip B.</t>
        </is>
      </c>
      <c r="L1606" t="inlineStr">
        <is>
          <t>Hoboken, N.J. : John Wiley &amp; Sons, c2004.</t>
        </is>
      </c>
      <c r="M1606" t="inlineStr">
        <is>
          <t>2004</t>
        </is>
      </c>
      <c r="O1606" t="inlineStr">
        <is>
          <t>eng</t>
        </is>
      </c>
      <c r="P1606" t="inlineStr">
        <is>
          <t>nju</t>
        </is>
      </c>
      <c r="R1606" t="inlineStr">
        <is>
          <t xml:space="preserve">QH </t>
        </is>
      </c>
      <c r="S1606" t="n">
        <v>1</v>
      </c>
      <c r="T1606" t="n">
        <v>1</v>
      </c>
      <c r="U1606" t="inlineStr">
        <is>
          <t>2004-03-24</t>
        </is>
      </c>
      <c r="V1606" t="inlineStr">
        <is>
          <t>2004-03-24</t>
        </is>
      </c>
      <c r="W1606" t="inlineStr">
        <is>
          <t>2004-03-24</t>
        </is>
      </c>
      <c r="X1606" t="inlineStr">
        <is>
          <t>2004-03-24</t>
        </is>
      </c>
      <c r="Y1606" t="n">
        <v>726</v>
      </c>
      <c r="Z1606" t="n">
        <v>651</v>
      </c>
      <c r="AA1606" t="n">
        <v>659</v>
      </c>
      <c r="AB1606" t="n">
        <v>3</v>
      </c>
      <c r="AC1606" t="n">
        <v>3</v>
      </c>
      <c r="AD1606" t="n">
        <v>11</v>
      </c>
      <c r="AE1606" t="n">
        <v>11</v>
      </c>
      <c r="AF1606" t="n">
        <v>2</v>
      </c>
      <c r="AG1606" t="n">
        <v>2</v>
      </c>
      <c r="AH1606" t="n">
        <v>4</v>
      </c>
      <c r="AI1606" t="n">
        <v>4</v>
      </c>
      <c r="AJ1606" t="n">
        <v>6</v>
      </c>
      <c r="AK1606" t="n">
        <v>6</v>
      </c>
      <c r="AL1606" t="n">
        <v>2</v>
      </c>
      <c r="AM1606" t="n">
        <v>2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HYPERLINK("http://catalog.hathitrust.org/Record/004348938","HathiTrust Record")</f>
        <v/>
      </c>
      <c r="AS1606">
        <f>HYPERLINK("https://creighton-primo.hosted.exlibrisgroup.com/primo-explore/search?tab=default_tab&amp;search_scope=EVERYTHING&amp;vid=01CRU&amp;lang=en_US&amp;offset=0&amp;query=any,contains,991004245349702656","Catalog Record")</f>
        <v/>
      </c>
      <c r="AT1606">
        <f>HYPERLINK("http://www.worldcat.org/oclc/51898756","WorldCat Record")</f>
        <v/>
      </c>
      <c r="AU1606" t="inlineStr">
        <is>
          <t>910025560:eng</t>
        </is>
      </c>
      <c r="AV1606" t="inlineStr">
        <is>
          <t>51898756</t>
        </is>
      </c>
      <c r="AW1606" t="inlineStr">
        <is>
          <t>991004245349702656</t>
        </is>
      </c>
      <c r="AX1606" t="inlineStr">
        <is>
          <t>991004245349702656</t>
        </is>
      </c>
      <c r="AY1606" t="inlineStr">
        <is>
          <t>2259225000002656</t>
        </is>
      </c>
      <c r="AZ1606" t="inlineStr">
        <is>
          <t>BOOK</t>
        </is>
      </c>
      <c r="BB1606" t="inlineStr">
        <is>
          <t>9780471273967</t>
        </is>
      </c>
      <c r="BC1606" t="inlineStr">
        <is>
          <t>32285004896725</t>
        </is>
      </c>
      <c r="BD1606" t="inlineStr">
        <is>
          <t>893712325</t>
        </is>
      </c>
    </row>
    <row r="1607">
      <c r="A1607" t="inlineStr">
        <is>
          <t>No</t>
        </is>
      </c>
      <c r="B1607" t="inlineStr">
        <is>
          <t>QH83 .P36 1978</t>
        </is>
      </c>
      <c r="C1607" t="inlineStr">
        <is>
          <t>0                      QH 0083000P  36          1978</t>
        </is>
      </c>
      <c r="D1607" t="inlineStr">
        <is>
          <t>Biological identification : the principles and practice of identification methods in biology / Richard J. Pankhurst.</t>
        </is>
      </c>
      <c r="F1607" t="inlineStr">
        <is>
          <t>No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K1607" t="inlineStr">
        <is>
          <t>Pankhurst, R. J.</t>
        </is>
      </c>
      <c r="L1607" t="inlineStr">
        <is>
          <t>Baltimore : University Park Press, 1978.</t>
        </is>
      </c>
      <c r="M1607" t="inlineStr">
        <is>
          <t>1978</t>
        </is>
      </c>
      <c r="O1607" t="inlineStr">
        <is>
          <t>eng</t>
        </is>
      </c>
      <c r="P1607" t="inlineStr">
        <is>
          <t>mdu</t>
        </is>
      </c>
      <c r="R1607" t="inlineStr">
        <is>
          <t xml:space="preserve">QH </t>
        </is>
      </c>
      <c r="S1607" t="n">
        <v>3</v>
      </c>
      <c r="T1607" t="n">
        <v>3</v>
      </c>
      <c r="U1607" t="inlineStr">
        <is>
          <t>1994-02-23</t>
        </is>
      </c>
      <c r="V1607" t="inlineStr">
        <is>
          <t>1994-02-23</t>
        </is>
      </c>
      <c r="W1607" t="inlineStr">
        <is>
          <t>1993-03-05</t>
        </is>
      </c>
      <c r="X1607" t="inlineStr">
        <is>
          <t>1993-03-05</t>
        </is>
      </c>
      <c r="Y1607" t="n">
        <v>337</v>
      </c>
      <c r="Z1607" t="n">
        <v>301</v>
      </c>
      <c r="AA1607" t="n">
        <v>340</v>
      </c>
      <c r="AB1607" t="n">
        <v>2</v>
      </c>
      <c r="AC1607" t="n">
        <v>3</v>
      </c>
      <c r="AD1607" t="n">
        <v>8</v>
      </c>
      <c r="AE1607" t="n">
        <v>9</v>
      </c>
      <c r="AF1607" t="n">
        <v>3</v>
      </c>
      <c r="AG1607" t="n">
        <v>3</v>
      </c>
      <c r="AH1607" t="n">
        <v>1</v>
      </c>
      <c r="AI1607" t="n">
        <v>1</v>
      </c>
      <c r="AJ1607" t="n">
        <v>5</v>
      </c>
      <c r="AK1607" t="n">
        <v>5</v>
      </c>
      <c r="AL1607" t="n">
        <v>1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Yes</t>
        </is>
      </c>
      <c r="AR1607">
        <f>HYPERLINK("http://catalog.hathitrust.org/Record/000256894","HathiTrust Record")</f>
        <v/>
      </c>
      <c r="AS1607">
        <f>HYPERLINK("https://creighton-primo.hosted.exlibrisgroup.com/primo-explore/search?tab=default_tab&amp;search_scope=EVERYTHING&amp;vid=01CRU&amp;lang=en_US&amp;offset=0&amp;query=any,contains,991004663699702656","Catalog Record")</f>
        <v/>
      </c>
      <c r="AT1607">
        <f>HYPERLINK("http://www.worldcat.org/oclc/4499142","WorldCat Record")</f>
        <v/>
      </c>
      <c r="AU1607" t="inlineStr">
        <is>
          <t>796129444:eng</t>
        </is>
      </c>
      <c r="AV1607" t="inlineStr">
        <is>
          <t>4499142</t>
        </is>
      </c>
      <c r="AW1607" t="inlineStr">
        <is>
          <t>991004663699702656</t>
        </is>
      </c>
      <c r="AX1607" t="inlineStr">
        <is>
          <t>991004663699702656</t>
        </is>
      </c>
      <c r="AY1607" t="inlineStr">
        <is>
          <t>2262801150002656</t>
        </is>
      </c>
      <c r="AZ1607" t="inlineStr">
        <is>
          <t>BOOK</t>
        </is>
      </c>
      <c r="BB1607" t="inlineStr">
        <is>
          <t>9780839113447</t>
        </is>
      </c>
      <c r="BC1607" t="inlineStr">
        <is>
          <t>32285001551398</t>
        </is>
      </c>
      <c r="BD1607" t="inlineStr">
        <is>
          <t>893606306</t>
        </is>
      </c>
    </row>
    <row r="1608">
      <c r="A1608" t="inlineStr">
        <is>
          <t>No</t>
        </is>
      </c>
      <c r="B1608" t="inlineStr">
        <is>
          <t>QH83 .P767 1988</t>
        </is>
      </c>
      <c r="C1608" t="inlineStr">
        <is>
          <t>0                      QH 0083000P  767         1988</t>
        </is>
      </c>
      <c r="D1608" t="inlineStr">
        <is>
          <t>Prospects in systematics / edited by D.L. Hawksworth.</t>
        </is>
      </c>
      <c r="F1608" t="inlineStr">
        <is>
          <t>No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: Published for the Systematics Association by Clarendon Press ; Oxford ; New York : Oxford University Press, 1988.</t>
        </is>
      </c>
      <c r="M1608" t="inlineStr">
        <is>
          <t>1988</t>
        </is>
      </c>
      <c r="O1608" t="inlineStr">
        <is>
          <t>eng</t>
        </is>
      </c>
      <c r="P1608" t="inlineStr">
        <is>
          <t>enk</t>
        </is>
      </c>
      <c r="Q1608" t="inlineStr">
        <is>
          <t>The Systematics Association special volume ; no. 36</t>
        </is>
      </c>
      <c r="R1608" t="inlineStr">
        <is>
          <t xml:space="preserve">QH </t>
        </is>
      </c>
      <c r="S1608" t="n">
        <v>6</v>
      </c>
      <c r="T1608" t="n">
        <v>6</v>
      </c>
      <c r="U1608" t="inlineStr">
        <is>
          <t>1995-09-30</t>
        </is>
      </c>
      <c r="V1608" t="inlineStr">
        <is>
          <t>1995-09-30</t>
        </is>
      </c>
      <c r="W1608" t="inlineStr">
        <is>
          <t>1993-02-24</t>
        </is>
      </c>
      <c r="X1608" t="inlineStr">
        <is>
          <t>1993-02-24</t>
        </is>
      </c>
      <c r="Y1608" t="n">
        <v>217</v>
      </c>
      <c r="Z1608" t="n">
        <v>138</v>
      </c>
      <c r="AA1608" t="n">
        <v>146</v>
      </c>
      <c r="AB1608" t="n">
        <v>2</v>
      </c>
      <c r="AC1608" t="n">
        <v>2</v>
      </c>
      <c r="AD1608" t="n">
        <v>4</v>
      </c>
      <c r="AE1608" t="n">
        <v>4</v>
      </c>
      <c r="AF1608" t="n">
        <v>0</v>
      </c>
      <c r="AG1608" t="n">
        <v>0</v>
      </c>
      <c r="AH1608" t="n">
        <v>1</v>
      </c>
      <c r="AI1608" t="n">
        <v>1</v>
      </c>
      <c r="AJ1608" t="n">
        <v>2</v>
      </c>
      <c r="AK1608" t="n">
        <v>2</v>
      </c>
      <c r="AL1608" t="n">
        <v>1</v>
      </c>
      <c r="AM1608" t="n">
        <v>1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Yes</t>
        </is>
      </c>
      <c r="AR1608">
        <f>HYPERLINK("http://catalog.hathitrust.org/Record/000945155","HathiTrust Record")</f>
        <v/>
      </c>
      <c r="AS1608">
        <f>HYPERLINK("https://creighton-primo.hosted.exlibrisgroup.com/primo-explore/search?tab=default_tab&amp;search_scope=EVERYTHING&amp;vid=01CRU&amp;lang=en_US&amp;offset=0&amp;query=any,contains,991001233009702656","Catalog Record")</f>
        <v/>
      </c>
      <c r="AT1608">
        <f>HYPERLINK("http://www.worldcat.org/oclc/17548693","WorldCat Record")</f>
        <v/>
      </c>
      <c r="AU1608" t="inlineStr">
        <is>
          <t>16173624:eng</t>
        </is>
      </c>
      <c r="AV1608" t="inlineStr">
        <is>
          <t>17548693</t>
        </is>
      </c>
      <c r="AW1608" t="inlineStr">
        <is>
          <t>991001233009702656</t>
        </is>
      </c>
      <c r="AX1608" t="inlineStr">
        <is>
          <t>991001233009702656</t>
        </is>
      </c>
      <c r="AY1608" t="inlineStr">
        <is>
          <t>2269261140002656</t>
        </is>
      </c>
      <c r="AZ1608" t="inlineStr">
        <is>
          <t>BOOK</t>
        </is>
      </c>
      <c r="BB1608" t="inlineStr">
        <is>
          <t>9780198577072</t>
        </is>
      </c>
      <c r="BC1608" t="inlineStr">
        <is>
          <t>32285001496834</t>
        </is>
      </c>
      <c r="BD1608" t="inlineStr">
        <is>
          <t>893327986</t>
        </is>
      </c>
    </row>
    <row r="1609">
      <c r="A1609" t="inlineStr">
        <is>
          <t>No</t>
        </is>
      </c>
      <c r="B1609" t="inlineStr">
        <is>
          <t>QH83 .Q53 1993</t>
        </is>
      </c>
      <c r="C1609" t="inlineStr">
        <is>
          <t>0                      QH 0083000Q  53          1993</t>
        </is>
      </c>
      <c r="D1609" t="inlineStr">
        <is>
          <t>Principles and techniques of contemporary taxonomy / Donald L.J. Quicke.</t>
        </is>
      </c>
      <c r="F1609" t="inlineStr">
        <is>
          <t>No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K1609" t="inlineStr">
        <is>
          <t>Quicke, Donald L. J.</t>
        </is>
      </c>
      <c r="L1609" t="inlineStr">
        <is>
          <t>London ; New York : Blackie Academic &amp; Professional, 1993.</t>
        </is>
      </c>
      <c r="M1609" t="inlineStr">
        <is>
          <t>1993</t>
        </is>
      </c>
      <c r="N1609" t="inlineStr">
        <is>
          <t>1st ed.</t>
        </is>
      </c>
      <c r="O1609" t="inlineStr">
        <is>
          <t>eng</t>
        </is>
      </c>
      <c r="P1609" t="inlineStr">
        <is>
          <t>enk</t>
        </is>
      </c>
      <c r="Q1609" t="inlineStr">
        <is>
          <t>Tertiary level biology</t>
        </is>
      </c>
      <c r="R1609" t="inlineStr">
        <is>
          <t xml:space="preserve">QH </t>
        </is>
      </c>
      <c r="S1609" t="n">
        <v>3</v>
      </c>
      <c r="T1609" t="n">
        <v>3</v>
      </c>
      <c r="U1609" t="inlineStr">
        <is>
          <t>2000-07-17</t>
        </is>
      </c>
      <c r="V1609" t="inlineStr">
        <is>
          <t>2000-07-17</t>
        </is>
      </c>
      <c r="W1609" t="inlineStr">
        <is>
          <t>1994-06-27</t>
        </is>
      </c>
      <c r="X1609" t="inlineStr">
        <is>
          <t>1994-06-27</t>
        </is>
      </c>
      <c r="Y1609" t="n">
        <v>353</v>
      </c>
      <c r="Z1609" t="n">
        <v>210</v>
      </c>
      <c r="AA1609" t="n">
        <v>254</v>
      </c>
      <c r="AB1609" t="n">
        <v>1</v>
      </c>
      <c r="AC1609" t="n">
        <v>1</v>
      </c>
      <c r="AD1609" t="n">
        <v>9</v>
      </c>
      <c r="AE1609" t="n">
        <v>9</v>
      </c>
      <c r="AF1609" t="n">
        <v>6</v>
      </c>
      <c r="AG1609" t="n">
        <v>6</v>
      </c>
      <c r="AH1609" t="n">
        <v>1</v>
      </c>
      <c r="AI1609" t="n">
        <v>1</v>
      </c>
      <c r="AJ1609" t="n">
        <v>5</v>
      </c>
      <c r="AK1609" t="n">
        <v>5</v>
      </c>
      <c r="AL1609" t="n">
        <v>0</v>
      </c>
      <c r="AM1609" t="n">
        <v>0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Yes</t>
        </is>
      </c>
      <c r="AR1609">
        <f>HYPERLINK("http://catalog.hathitrust.org/Record/002726501","HathiTrust Record")</f>
        <v/>
      </c>
      <c r="AS1609">
        <f>HYPERLINK("https://creighton-primo.hosted.exlibrisgroup.com/primo-explore/search?tab=default_tab&amp;search_scope=EVERYTHING&amp;vid=01CRU&amp;lang=en_US&amp;offset=0&amp;query=any,contains,991002170079702656","Catalog Record")</f>
        <v/>
      </c>
      <c r="AT1609">
        <f>HYPERLINK("http://www.worldcat.org/oclc/27935270","WorldCat Record")</f>
        <v/>
      </c>
      <c r="AU1609" t="inlineStr">
        <is>
          <t>349532:eng</t>
        </is>
      </c>
      <c r="AV1609" t="inlineStr">
        <is>
          <t>27935270</t>
        </is>
      </c>
      <c r="AW1609" t="inlineStr">
        <is>
          <t>991002170079702656</t>
        </is>
      </c>
      <c r="AX1609" t="inlineStr">
        <is>
          <t>991002170079702656</t>
        </is>
      </c>
      <c r="AY1609" t="inlineStr">
        <is>
          <t>2258780900002656</t>
        </is>
      </c>
      <c r="AZ1609" t="inlineStr">
        <is>
          <t>BOOK</t>
        </is>
      </c>
      <c r="BB1609" t="inlineStr">
        <is>
          <t>9780751400199</t>
        </is>
      </c>
      <c r="BC1609" t="inlineStr">
        <is>
          <t>32285001924694</t>
        </is>
      </c>
      <c r="BD1609" t="inlineStr">
        <is>
          <t>893798260</t>
        </is>
      </c>
    </row>
    <row r="1610">
      <c r="A1610" t="inlineStr">
        <is>
          <t>No</t>
        </is>
      </c>
      <c r="B1610" t="inlineStr">
        <is>
          <t>QH83 .S26 1985</t>
        </is>
      </c>
      <c r="C1610" t="inlineStr">
        <is>
          <t>0                      QH 0083000S  26          1985</t>
        </is>
      </c>
      <c r="D1610" t="inlineStr">
        <is>
          <t>Evolving hierarchical systems : their structure and representation / Stanley N. Salthe.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Salthe, Stanley N.</t>
        </is>
      </c>
      <c r="L1610" t="inlineStr">
        <is>
          <t>New York : Columbia University Press, 1985.</t>
        </is>
      </c>
      <c r="M1610" t="inlineStr">
        <is>
          <t>1985</t>
        </is>
      </c>
      <c r="O1610" t="inlineStr">
        <is>
          <t>eng</t>
        </is>
      </c>
      <c r="P1610" t="inlineStr">
        <is>
          <t>nyu</t>
        </is>
      </c>
      <c r="R1610" t="inlineStr">
        <is>
          <t xml:space="preserve">QH </t>
        </is>
      </c>
      <c r="S1610" t="n">
        <v>5</v>
      </c>
      <c r="T1610" t="n">
        <v>5</v>
      </c>
      <c r="U1610" t="inlineStr">
        <is>
          <t>1995-09-30</t>
        </is>
      </c>
      <c r="V1610" t="inlineStr">
        <is>
          <t>1995-09-30</t>
        </is>
      </c>
      <c r="W1610" t="inlineStr">
        <is>
          <t>1993-03-05</t>
        </is>
      </c>
      <c r="X1610" t="inlineStr">
        <is>
          <t>1993-03-05</t>
        </is>
      </c>
      <c r="Y1610" t="n">
        <v>366</v>
      </c>
      <c r="Z1610" t="n">
        <v>282</v>
      </c>
      <c r="AA1610" t="n">
        <v>286</v>
      </c>
      <c r="AB1610" t="n">
        <v>3</v>
      </c>
      <c r="AC1610" t="n">
        <v>3</v>
      </c>
      <c r="AD1610" t="n">
        <v>11</v>
      </c>
      <c r="AE1610" t="n">
        <v>11</v>
      </c>
      <c r="AF1610" t="n">
        <v>0</v>
      </c>
      <c r="AG1610" t="n">
        <v>0</v>
      </c>
      <c r="AH1610" t="n">
        <v>3</v>
      </c>
      <c r="AI1610" t="n">
        <v>3</v>
      </c>
      <c r="AJ1610" t="n">
        <v>8</v>
      </c>
      <c r="AK1610" t="n">
        <v>8</v>
      </c>
      <c r="AL1610" t="n">
        <v>2</v>
      </c>
      <c r="AM1610" t="n">
        <v>2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HYPERLINK("https://creighton-primo.hosted.exlibrisgroup.com/primo-explore/search?tab=default_tab&amp;search_scope=EVERYTHING&amp;vid=01CRU&amp;lang=en_US&amp;offset=0&amp;query=any,contains,991000574499702656","Catalog Record")</f>
        <v/>
      </c>
      <c r="AT1610">
        <f>HYPERLINK("http://www.worldcat.org/oclc/11676612","WorldCat Record")</f>
        <v/>
      </c>
      <c r="AU1610" t="inlineStr">
        <is>
          <t>836700448:eng</t>
        </is>
      </c>
      <c r="AV1610" t="inlineStr">
        <is>
          <t>11676612</t>
        </is>
      </c>
      <c r="AW1610" t="inlineStr">
        <is>
          <t>991000574499702656</t>
        </is>
      </c>
      <c r="AX1610" t="inlineStr">
        <is>
          <t>991000574499702656</t>
        </is>
      </c>
      <c r="AY1610" t="inlineStr">
        <is>
          <t>2256565340002656</t>
        </is>
      </c>
      <c r="AZ1610" t="inlineStr">
        <is>
          <t>BOOK</t>
        </is>
      </c>
      <c r="BB1610" t="inlineStr">
        <is>
          <t>9780231060165</t>
        </is>
      </c>
      <c r="BC1610" t="inlineStr">
        <is>
          <t>32285001551414</t>
        </is>
      </c>
      <c r="BD1610" t="inlineStr">
        <is>
          <t>893683551</t>
        </is>
      </c>
    </row>
    <row r="1611">
      <c r="A1611" t="inlineStr">
        <is>
          <t>No</t>
        </is>
      </c>
      <c r="B1611" t="inlineStr">
        <is>
          <t>QH83 .S32 1990</t>
        </is>
      </c>
      <c r="C1611" t="inlineStr">
        <is>
          <t>0                      QH 0083000S  32          1990</t>
        </is>
      </c>
      <c r="D1611" t="inlineStr">
        <is>
          <t>Scanning electron microscopy in taxonomy and functional morphology / edited by D. Claugher.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Oxford [England] : Published for the Systematics Association by Clarendon Press ; New York : Oxford University Press, 1990.</t>
        </is>
      </c>
      <c r="M1611" t="inlineStr">
        <is>
          <t>1990</t>
        </is>
      </c>
      <c r="O1611" t="inlineStr">
        <is>
          <t>eng</t>
        </is>
      </c>
      <c r="P1611" t="inlineStr">
        <is>
          <t>enk</t>
        </is>
      </c>
      <c r="Q1611" t="inlineStr">
        <is>
          <t>The Systematics Association special volume ; no. 41</t>
        </is>
      </c>
      <c r="R1611" t="inlineStr">
        <is>
          <t xml:space="preserve">QH </t>
        </is>
      </c>
      <c r="S1611" t="n">
        <v>3</v>
      </c>
      <c r="T1611" t="n">
        <v>3</v>
      </c>
      <c r="U1611" t="inlineStr">
        <is>
          <t>1993-08-06</t>
        </is>
      </c>
      <c r="V1611" t="inlineStr">
        <is>
          <t>1993-08-06</t>
        </is>
      </c>
      <c r="W1611" t="inlineStr">
        <is>
          <t>1991-07-25</t>
        </is>
      </c>
      <c r="X1611" t="inlineStr">
        <is>
          <t>1991-07-25</t>
        </is>
      </c>
      <c r="Y1611" t="n">
        <v>237</v>
      </c>
      <c r="Z1611" t="n">
        <v>153</v>
      </c>
      <c r="AA1611" t="n">
        <v>154</v>
      </c>
      <c r="AB1611" t="n">
        <v>2</v>
      </c>
      <c r="AC1611" t="n">
        <v>2</v>
      </c>
      <c r="AD1611" t="n">
        <v>4</v>
      </c>
      <c r="AE1611" t="n">
        <v>4</v>
      </c>
      <c r="AF1611" t="n">
        <v>0</v>
      </c>
      <c r="AG1611" t="n">
        <v>0</v>
      </c>
      <c r="AH1611" t="n">
        <v>3</v>
      </c>
      <c r="AI1611" t="n">
        <v>3</v>
      </c>
      <c r="AJ1611" t="n">
        <v>1</v>
      </c>
      <c r="AK1611" t="n">
        <v>1</v>
      </c>
      <c r="AL1611" t="n">
        <v>1</v>
      </c>
      <c r="AM1611" t="n">
        <v>1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Yes</t>
        </is>
      </c>
      <c r="AR1611">
        <f>HYPERLINK("http://catalog.hathitrust.org/Record/002227978","HathiTrust Record")</f>
        <v/>
      </c>
      <c r="AS1611">
        <f>HYPERLINK("https://creighton-primo.hosted.exlibrisgroup.com/primo-explore/search?tab=default_tab&amp;search_scope=EVERYTHING&amp;vid=01CRU&amp;lang=en_US&amp;offset=0&amp;query=any,contains,991001567859702656","Catalog Record")</f>
        <v/>
      </c>
      <c r="AT1611">
        <f>HYPERLINK("http://www.worldcat.org/oclc/20355652","WorldCat Record")</f>
        <v/>
      </c>
      <c r="AU1611" t="inlineStr">
        <is>
          <t>10141618243:eng</t>
        </is>
      </c>
      <c r="AV1611" t="inlineStr">
        <is>
          <t>20355652</t>
        </is>
      </c>
      <c r="AW1611" t="inlineStr">
        <is>
          <t>991001567859702656</t>
        </is>
      </c>
      <c r="AX1611" t="inlineStr">
        <is>
          <t>991001567859702656</t>
        </is>
      </c>
      <c r="AY1611" t="inlineStr">
        <is>
          <t>2269412260002656</t>
        </is>
      </c>
      <c r="AZ1611" t="inlineStr">
        <is>
          <t>BOOK</t>
        </is>
      </c>
      <c r="BB1611" t="inlineStr">
        <is>
          <t>9780198577140</t>
        </is>
      </c>
      <c r="BC1611" t="inlineStr">
        <is>
          <t>32285000662998</t>
        </is>
      </c>
      <c r="BD1611" t="inlineStr">
        <is>
          <t>893885373</t>
        </is>
      </c>
    </row>
    <row r="1612">
      <c r="A1612" t="inlineStr">
        <is>
          <t>No</t>
        </is>
      </c>
      <c r="B1612" t="inlineStr">
        <is>
          <t>QH83 .S58</t>
        </is>
      </c>
      <c r="C1612" t="inlineStr">
        <is>
          <t>0                      QH 0083000S  58</t>
        </is>
      </c>
      <c r="D1612" t="inlineStr">
        <is>
          <t>Numerical taxonomy : the principles and practice of numerical classification / [by] Peter H. A. Sneath [and] Robert R. Sokal.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Sneath, P. H. A. (Peter Henry Andrews), 1923-2011.</t>
        </is>
      </c>
      <c r="L1612" t="inlineStr">
        <is>
          <t>San Francisco : W. H. Freeman, [1973]</t>
        </is>
      </c>
      <c r="M1612" t="inlineStr">
        <is>
          <t>1973</t>
        </is>
      </c>
      <c r="O1612" t="inlineStr">
        <is>
          <t>eng</t>
        </is>
      </c>
      <c r="P1612" t="inlineStr">
        <is>
          <t>cau</t>
        </is>
      </c>
      <c r="Q1612" t="inlineStr">
        <is>
          <t>A Series of books in biology</t>
        </is>
      </c>
      <c r="R1612" t="inlineStr">
        <is>
          <t xml:space="preserve">QH </t>
        </is>
      </c>
      <c r="S1612" t="n">
        <v>6</v>
      </c>
      <c r="T1612" t="n">
        <v>6</v>
      </c>
      <c r="U1612" t="inlineStr">
        <is>
          <t>1994-09-29</t>
        </is>
      </c>
      <c r="V1612" t="inlineStr">
        <is>
          <t>1994-09-29</t>
        </is>
      </c>
      <c r="W1612" t="inlineStr">
        <is>
          <t>1991-12-23</t>
        </is>
      </c>
      <c r="X1612" t="inlineStr">
        <is>
          <t>1991-12-23</t>
        </is>
      </c>
      <c r="Y1612" t="n">
        <v>789</v>
      </c>
      <c r="Z1612" t="n">
        <v>551</v>
      </c>
      <c r="AA1612" t="n">
        <v>560</v>
      </c>
      <c r="AB1612" t="n">
        <v>9</v>
      </c>
      <c r="AC1612" t="n">
        <v>9</v>
      </c>
      <c r="AD1612" t="n">
        <v>24</v>
      </c>
      <c r="AE1612" t="n">
        <v>24</v>
      </c>
      <c r="AF1612" t="n">
        <v>7</v>
      </c>
      <c r="AG1612" t="n">
        <v>7</v>
      </c>
      <c r="AH1612" t="n">
        <v>7</v>
      </c>
      <c r="AI1612" t="n">
        <v>7</v>
      </c>
      <c r="AJ1612" t="n">
        <v>10</v>
      </c>
      <c r="AK1612" t="n">
        <v>10</v>
      </c>
      <c r="AL1612" t="n">
        <v>7</v>
      </c>
      <c r="AM1612" t="n">
        <v>7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HYPERLINK("https://creighton-primo.hosted.exlibrisgroup.com/primo-explore/search?tab=default_tab&amp;search_scope=EVERYTHING&amp;vid=01CRU&amp;lang=en_US&amp;offset=0&amp;query=any,contains,991002908569702656","Catalog Record")</f>
        <v/>
      </c>
      <c r="AT1612">
        <f>HYPERLINK("http://www.worldcat.org/oclc/520623","WorldCat Record")</f>
        <v/>
      </c>
      <c r="AU1612" t="inlineStr">
        <is>
          <t>1412376:eng</t>
        </is>
      </c>
      <c r="AV1612" t="inlineStr">
        <is>
          <t>520623</t>
        </is>
      </c>
      <c r="AW1612" t="inlineStr">
        <is>
          <t>991002908569702656</t>
        </is>
      </c>
      <c r="AX1612" t="inlineStr">
        <is>
          <t>991002908569702656</t>
        </is>
      </c>
      <c r="AY1612" t="inlineStr">
        <is>
          <t>2267984620002656</t>
        </is>
      </c>
      <c r="AZ1612" t="inlineStr">
        <is>
          <t>BOOK</t>
        </is>
      </c>
      <c r="BB1612" t="inlineStr">
        <is>
          <t>9780716706977</t>
        </is>
      </c>
      <c r="BC1612" t="inlineStr">
        <is>
          <t>32285000900067</t>
        </is>
      </c>
      <c r="BD1612" t="inlineStr">
        <is>
          <t>893524186</t>
        </is>
      </c>
    </row>
    <row r="1613">
      <c r="A1613" t="inlineStr">
        <is>
          <t>No</t>
        </is>
      </c>
      <c r="B1613" t="inlineStr">
        <is>
          <t>QH83 .S6</t>
        </is>
      </c>
      <c r="C1613" t="inlineStr">
        <is>
          <t>0                      QH 0083000S  6</t>
        </is>
      </c>
      <c r="D1613" t="inlineStr">
        <is>
          <t>Principles of numerical taxonomy / [by] Robert R. Sokal [and] Peter H. A. Sneath.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Sokal, Robert R.</t>
        </is>
      </c>
      <c r="L1613" t="inlineStr">
        <is>
          <t>San Francisco : W. H. Freeman, [1963]</t>
        </is>
      </c>
      <c r="M1613" t="inlineStr">
        <is>
          <t>1963</t>
        </is>
      </c>
      <c r="O1613" t="inlineStr">
        <is>
          <t>eng</t>
        </is>
      </c>
      <c r="P1613" t="inlineStr">
        <is>
          <t>cau</t>
        </is>
      </c>
      <c r="Q1613" t="inlineStr">
        <is>
          <t>A Series of books in biology</t>
        </is>
      </c>
      <c r="R1613" t="inlineStr">
        <is>
          <t xml:space="preserve">QH </t>
        </is>
      </c>
      <c r="S1613" t="n">
        <v>1</v>
      </c>
      <c r="T1613" t="n">
        <v>1</v>
      </c>
      <c r="U1613" t="inlineStr">
        <is>
          <t>1995-02-09</t>
        </is>
      </c>
      <c r="V1613" t="inlineStr">
        <is>
          <t>1995-02-09</t>
        </is>
      </c>
      <c r="W1613" t="inlineStr">
        <is>
          <t>1991-12-23</t>
        </is>
      </c>
      <c r="X1613" t="inlineStr">
        <is>
          <t>1991-12-23</t>
        </is>
      </c>
      <c r="Y1613" t="n">
        <v>829</v>
      </c>
      <c r="Z1613" t="n">
        <v>632</v>
      </c>
      <c r="AA1613" t="n">
        <v>638</v>
      </c>
      <c r="AB1613" t="n">
        <v>6</v>
      </c>
      <c r="AC1613" t="n">
        <v>6</v>
      </c>
      <c r="AD1613" t="n">
        <v>27</v>
      </c>
      <c r="AE1613" t="n">
        <v>27</v>
      </c>
      <c r="AF1613" t="n">
        <v>8</v>
      </c>
      <c r="AG1613" t="n">
        <v>8</v>
      </c>
      <c r="AH1613" t="n">
        <v>6</v>
      </c>
      <c r="AI1613" t="n">
        <v>6</v>
      </c>
      <c r="AJ1613" t="n">
        <v>13</v>
      </c>
      <c r="AK1613" t="n">
        <v>13</v>
      </c>
      <c r="AL1613" t="n">
        <v>5</v>
      </c>
      <c r="AM1613" t="n">
        <v>5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Yes</t>
        </is>
      </c>
      <c r="AR1613">
        <f>HYPERLINK("http://catalog.hathitrust.org/Record/001495794","HathiTrust Record")</f>
        <v/>
      </c>
      <c r="AS1613">
        <f>HYPERLINK("https://creighton-primo.hosted.exlibrisgroup.com/primo-explore/search?tab=default_tab&amp;search_scope=EVERYTHING&amp;vid=01CRU&amp;lang=en_US&amp;offset=0&amp;query=any,contains,991002348069702656","Catalog Record")</f>
        <v/>
      </c>
      <c r="AT1613">
        <f>HYPERLINK("http://www.worldcat.org/oclc/324922","WorldCat Record")</f>
        <v/>
      </c>
      <c r="AU1613" t="inlineStr">
        <is>
          <t>3769131355:eng</t>
        </is>
      </c>
      <c r="AV1613" t="inlineStr">
        <is>
          <t>324922</t>
        </is>
      </c>
      <c r="AW1613" t="inlineStr">
        <is>
          <t>991002348069702656</t>
        </is>
      </c>
      <c r="AX1613" t="inlineStr">
        <is>
          <t>991002348069702656</t>
        </is>
      </c>
      <c r="AY1613" t="inlineStr">
        <is>
          <t>2254700250002656</t>
        </is>
      </c>
      <c r="AZ1613" t="inlineStr">
        <is>
          <t>BOOK</t>
        </is>
      </c>
      <c r="BC1613" t="inlineStr">
        <is>
          <t>32285000900075</t>
        </is>
      </c>
      <c r="BD1613" t="inlineStr">
        <is>
          <t>893232852</t>
        </is>
      </c>
    </row>
    <row r="1614">
      <c r="A1614" t="inlineStr">
        <is>
          <t>No</t>
        </is>
      </c>
      <c r="B1614" t="inlineStr">
        <is>
          <t>QH83 .S685 1989</t>
        </is>
      </c>
      <c r="C1614" t="inlineStr">
        <is>
          <t>0                      QH 0083000S  685         1989</t>
        </is>
      </c>
      <c r="D1614" t="inlineStr">
        <is>
          <t>Speciation and its consequences / edited by Daniel Otte and John A. Endler.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L1614" t="inlineStr">
        <is>
          <t>Sunderland, Mass. : Sinauer Associates, 1989.</t>
        </is>
      </c>
      <c r="M1614" t="inlineStr">
        <is>
          <t>1989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QH </t>
        </is>
      </c>
      <c r="S1614" t="n">
        <v>3</v>
      </c>
      <c r="T1614" t="n">
        <v>3</v>
      </c>
      <c r="U1614" t="inlineStr">
        <is>
          <t>1996-02-20</t>
        </is>
      </c>
      <c r="V1614" t="inlineStr">
        <is>
          <t>1996-02-20</t>
        </is>
      </c>
      <c r="W1614" t="inlineStr">
        <is>
          <t>1990-03-01</t>
        </is>
      </c>
      <c r="X1614" t="inlineStr">
        <is>
          <t>1990-03-01</t>
        </is>
      </c>
      <c r="Y1614" t="n">
        <v>645</v>
      </c>
      <c r="Z1614" t="n">
        <v>467</v>
      </c>
      <c r="AA1614" t="n">
        <v>473</v>
      </c>
      <c r="AB1614" t="n">
        <v>6</v>
      </c>
      <c r="AC1614" t="n">
        <v>6</v>
      </c>
      <c r="AD1614" t="n">
        <v>27</v>
      </c>
      <c r="AE1614" t="n">
        <v>27</v>
      </c>
      <c r="AF1614" t="n">
        <v>12</v>
      </c>
      <c r="AG1614" t="n">
        <v>12</v>
      </c>
      <c r="AH1614" t="n">
        <v>5</v>
      </c>
      <c r="AI1614" t="n">
        <v>5</v>
      </c>
      <c r="AJ1614" t="n">
        <v>12</v>
      </c>
      <c r="AK1614" t="n">
        <v>12</v>
      </c>
      <c r="AL1614" t="n">
        <v>5</v>
      </c>
      <c r="AM1614" t="n">
        <v>5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HYPERLINK("http://catalog.hathitrust.org/Record/001296908","HathiTrust Record")</f>
        <v/>
      </c>
      <c r="AS1614">
        <f>HYPERLINK("https://creighton-primo.hosted.exlibrisgroup.com/primo-explore/search?tab=default_tab&amp;search_scope=EVERYTHING&amp;vid=01CRU&amp;lang=en_US&amp;offset=0&amp;query=any,contains,991001450829702656","Catalog Record")</f>
        <v/>
      </c>
      <c r="AT1614">
        <f>HYPERLINK("http://www.worldcat.org/oclc/19324707","WorldCat Record")</f>
        <v/>
      </c>
      <c r="AU1614" t="inlineStr">
        <is>
          <t>349745570:eng</t>
        </is>
      </c>
      <c r="AV1614" t="inlineStr">
        <is>
          <t>19324707</t>
        </is>
      </c>
      <c r="AW1614" t="inlineStr">
        <is>
          <t>991001450829702656</t>
        </is>
      </c>
      <c r="AX1614" t="inlineStr">
        <is>
          <t>991001450829702656</t>
        </is>
      </c>
      <c r="AY1614" t="inlineStr">
        <is>
          <t>2268181330002656</t>
        </is>
      </c>
      <c r="AZ1614" t="inlineStr">
        <is>
          <t>BOOK</t>
        </is>
      </c>
      <c r="BB1614" t="inlineStr">
        <is>
          <t>9780878936588</t>
        </is>
      </c>
      <c r="BC1614" t="inlineStr">
        <is>
          <t>32285000042803</t>
        </is>
      </c>
      <c r="BD1614" t="inlineStr">
        <is>
          <t>893503429</t>
        </is>
      </c>
    </row>
    <row r="1615">
      <c r="A1615" t="inlineStr">
        <is>
          <t>No</t>
        </is>
      </c>
      <c r="B1615" t="inlineStr">
        <is>
          <t>QH83 .S893 1984</t>
        </is>
      </c>
      <c r="C1615" t="inlineStr">
        <is>
          <t>0                      QH 0083000S  893         1984</t>
        </is>
      </c>
      <c r="D1615" t="inlineStr">
        <is>
          <t>A Synoptic classification of living organisms / edited by R.S.K. Barnes.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L1615" t="inlineStr">
        <is>
          <t>Sunderland, MA : Sinauer Associates,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mau</t>
        </is>
      </c>
      <c r="R1615" t="inlineStr">
        <is>
          <t xml:space="preserve">QH </t>
        </is>
      </c>
      <c r="S1615" t="n">
        <v>9</v>
      </c>
      <c r="T1615" t="n">
        <v>9</v>
      </c>
      <c r="U1615" t="inlineStr">
        <is>
          <t>1996-04-08</t>
        </is>
      </c>
      <c r="V1615" t="inlineStr">
        <is>
          <t>1996-04-08</t>
        </is>
      </c>
      <c r="W1615" t="inlineStr">
        <is>
          <t>1993-03-05</t>
        </is>
      </c>
      <c r="X1615" t="inlineStr">
        <is>
          <t>1993-03-05</t>
        </is>
      </c>
      <c r="Y1615" t="n">
        <v>224</v>
      </c>
      <c r="Z1615" t="n">
        <v>199</v>
      </c>
      <c r="AA1615" t="n">
        <v>284</v>
      </c>
      <c r="AB1615" t="n">
        <v>2</v>
      </c>
      <c r="AC1615" t="n">
        <v>3</v>
      </c>
      <c r="AD1615" t="n">
        <v>5</v>
      </c>
      <c r="AE1615" t="n">
        <v>6</v>
      </c>
      <c r="AF1615" t="n">
        <v>0</v>
      </c>
      <c r="AG1615" t="n">
        <v>0</v>
      </c>
      <c r="AH1615" t="n">
        <v>2</v>
      </c>
      <c r="AI1615" t="n">
        <v>2</v>
      </c>
      <c r="AJ1615" t="n">
        <v>4</v>
      </c>
      <c r="AK1615" t="n">
        <v>4</v>
      </c>
      <c r="AL1615" t="n">
        <v>1</v>
      </c>
      <c r="AM1615" t="n">
        <v>2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HYPERLINK("http://catalog.hathitrust.org/Record/000120645","HathiTrust Record")</f>
        <v/>
      </c>
      <c r="AS1615">
        <f>HYPERLINK("https://creighton-primo.hosted.exlibrisgroup.com/primo-explore/search?tab=default_tab&amp;search_scope=EVERYTHING&amp;vid=01CRU&amp;lang=en_US&amp;offset=0&amp;query=any,contains,991000358469702656","Catalog Record")</f>
        <v/>
      </c>
      <c r="AT1615">
        <f>HYPERLINK("http://www.worldcat.org/oclc/10348759","WorldCat Record")</f>
        <v/>
      </c>
      <c r="AU1615" t="inlineStr">
        <is>
          <t>54618725:eng</t>
        </is>
      </c>
      <c r="AV1615" t="inlineStr">
        <is>
          <t>10348759</t>
        </is>
      </c>
      <c r="AW1615" t="inlineStr">
        <is>
          <t>991000358469702656</t>
        </is>
      </c>
      <c r="AX1615" t="inlineStr">
        <is>
          <t>991000358469702656</t>
        </is>
      </c>
      <c r="AY1615" t="inlineStr">
        <is>
          <t>2264204550002656</t>
        </is>
      </c>
      <c r="AZ1615" t="inlineStr">
        <is>
          <t>BOOK</t>
        </is>
      </c>
      <c r="BB1615" t="inlineStr">
        <is>
          <t>9780878930487</t>
        </is>
      </c>
      <c r="BC1615" t="inlineStr">
        <is>
          <t>32285001551422</t>
        </is>
      </c>
      <c r="BD1615" t="inlineStr">
        <is>
          <t>893438183</t>
        </is>
      </c>
    </row>
    <row r="1616">
      <c r="A1616" t="inlineStr">
        <is>
          <t>No</t>
        </is>
      </c>
      <c r="B1616" t="inlineStr">
        <is>
          <t>QH83 .T84 2000</t>
        </is>
      </c>
      <c r="C1616" t="inlineStr">
        <is>
          <t>0                      QH 0083000T  84          2000</t>
        </is>
      </c>
      <c r="D1616" t="inlineStr">
        <is>
          <t>The variety of life : a survey and a celebration of all the creatures that have ever lived / Colin Tudge.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Tudge, Colin.</t>
        </is>
      </c>
      <c r="L1616" t="inlineStr">
        <is>
          <t>Oxford ; New York : Oxford University Press, 2000.</t>
        </is>
      </c>
      <c r="M1616" t="inlineStr">
        <is>
          <t>2000</t>
        </is>
      </c>
      <c r="O1616" t="inlineStr">
        <is>
          <t>eng</t>
        </is>
      </c>
      <c r="P1616" t="inlineStr">
        <is>
          <t>enk</t>
        </is>
      </c>
      <c r="R1616" t="inlineStr">
        <is>
          <t xml:space="preserve">QH </t>
        </is>
      </c>
      <c r="S1616" t="n">
        <v>1</v>
      </c>
      <c r="T1616" t="n">
        <v>1</v>
      </c>
      <c r="U1616" t="inlineStr">
        <is>
          <t>2000-09-18</t>
        </is>
      </c>
      <c r="V1616" t="inlineStr">
        <is>
          <t>2000-09-18</t>
        </is>
      </c>
      <c r="W1616" t="inlineStr">
        <is>
          <t>2000-09-18</t>
        </is>
      </c>
      <c r="X1616" t="inlineStr">
        <is>
          <t>2000-09-18</t>
        </is>
      </c>
      <c r="Y1616" t="n">
        <v>1581</v>
      </c>
      <c r="Z1616" t="n">
        <v>1407</v>
      </c>
      <c r="AA1616" t="n">
        <v>1475</v>
      </c>
      <c r="AB1616" t="n">
        <v>12</v>
      </c>
      <c r="AC1616" t="n">
        <v>12</v>
      </c>
      <c r="AD1616" t="n">
        <v>39</v>
      </c>
      <c r="AE1616" t="n">
        <v>40</v>
      </c>
      <c r="AF1616" t="n">
        <v>17</v>
      </c>
      <c r="AG1616" t="n">
        <v>18</v>
      </c>
      <c r="AH1616" t="n">
        <v>6</v>
      </c>
      <c r="AI1616" t="n">
        <v>6</v>
      </c>
      <c r="AJ1616" t="n">
        <v>17</v>
      </c>
      <c r="AK1616" t="n">
        <v>17</v>
      </c>
      <c r="AL1616" t="n">
        <v>7</v>
      </c>
      <c r="AM1616" t="n">
        <v>7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HYPERLINK("http://catalog.hathitrust.org/Record/004096174","HathiTrust Record")</f>
        <v/>
      </c>
      <c r="AS1616">
        <f>HYPERLINK("https://creighton-primo.hosted.exlibrisgroup.com/primo-explore/search?tab=default_tab&amp;search_scope=EVERYTHING&amp;vid=01CRU&amp;lang=en_US&amp;offset=0&amp;query=any,contains,991003262599702656","Catalog Record")</f>
        <v/>
      </c>
      <c r="AT1616">
        <f>HYPERLINK("http://www.worldcat.org/oclc/43185815","WorldCat Record")</f>
        <v/>
      </c>
      <c r="AU1616" t="inlineStr">
        <is>
          <t>988781:eng</t>
        </is>
      </c>
      <c r="AV1616" t="inlineStr">
        <is>
          <t>43185815</t>
        </is>
      </c>
      <c r="AW1616" t="inlineStr">
        <is>
          <t>991003262599702656</t>
        </is>
      </c>
      <c r="AX1616" t="inlineStr">
        <is>
          <t>991003262599702656</t>
        </is>
      </c>
      <c r="AY1616" t="inlineStr">
        <is>
          <t>2271103620002656</t>
        </is>
      </c>
      <c r="AZ1616" t="inlineStr">
        <is>
          <t>BOOK</t>
        </is>
      </c>
      <c r="BB1616" t="inlineStr">
        <is>
          <t>9780198503118</t>
        </is>
      </c>
      <c r="BC1616" t="inlineStr">
        <is>
          <t>32285003762639</t>
        </is>
      </c>
      <c r="BD1616" t="inlineStr">
        <is>
          <t>893623320</t>
        </is>
      </c>
    </row>
    <row r="1617">
      <c r="A1617" t="inlineStr">
        <is>
          <t>No</t>
        </is>
      </c>
      <c r="B1617" t="inlineStr">
        <is>
          <t>QH83 .W52</t>
        </is>
      </c>
      <c r="C1617" t="inlineStr">
        <is>
          <t>0                      QH 0083000W  52</t>
        </is>
      </c>
      <c r="D1617" t="inlineStr">
        <is>
          <t>Phylogenetics : the theory and practice of phylogenetic systematics / E.O. Wiley.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Wiley, E. O.</t>
        </is>
      </c>
      <c r="L1617" t="inlineStr">
        <is>
          <t>New York : Wiley, c1981.</t>
        </is>
      </c>
      <c r="M1617" t="inlineStr">
        <is>
          <t>1981</t>
        </is>
      </c>
      <c r="O1617" t="inlineStr">
        <is>
          <t>eng</t>
        </is>
      </c>
      <c r="P1617" t="inlineStr">
        <is>
          <t>nyu</t>
        </is>
      </c>
      <c r="R1617" t="inlineStr">
        <is>
          <t xml:space="preserve">QH </t>
        </is>
      </c>
      <c r="S1617" t="n">
        <v>8</v>
      </c>
      <c r="T1617" t="n">
        <v>8</v>
      </c>
      <c r="U1617" t="inlineStr">
        <is>
          <t>2000-04-24</t>
        </is>
      </c>
      <c r="V1617" t="inlineStr">
        <is>
          <t>2000-04-24</t>
        </is>
      </c>
      <c r="W1617" t="inlineStr">
        <is>
          <t>1993-03-05</t>
        </is>
      </c>
      <c r="X1617" t="inlineStr">
        <is>
          <t>1993-03-05</t>
        </is>
      </c>
      <c r="Y1617" t="n">
        <v>655</v>
      </c>
      <c r="Z1617" t="n">
        <v>456</v>
      </c>
      <c r="AA1617" t="n">
        <v>856</v>
      </c>
      <c r="AB1617" t="n">
        <v>4</v>
      </c>
      <c r="AC1617" t="n">
        <v>7</v>
      </c>
      <c r="AD1617" t="n">
        <v>21</v>
      </c>
      <c r="AE1617" t="n">
        <v>36</v>
      </c>
      <c r="AF1617" t="n">
        <v>5</v>
      </c>
      <c r="AG1617" t="n">
        <v>11</v>
      </c>
      <c r="AH1617" t="n">
        <v>5</v>
      </c>
      <c r="AI1617" t="n">
        <v>8</v>
      </c>
      <c r="AJ1617" t="n">
        <v>12</v>
      </c>
      <c r="AK1617" t="n">
        <v>16</v>
      </c>
      <c r="AL1617" t="n">
        <v>3</v>
      </c>
      <c r="AM1617" t="n">
        <v>6</v>
      </c>
      <c r="AN1617" t="n">
        <v>0</v>
      </c>
      <c r="AO1617" t="n">
        <v>1</v>
      </c>
      <c r="AP1617" t="inlineStr">
        <is>
          <t>No</t>
        </is>
      </c>
      <c r="AQ1617" t="inlineStr">
        <is>
          <t>Yes</t>
        </is>
      </c>
      <c r="AR1617">
        <f>HYPERLINK("http://catalog.hathitrust.org/Record/000262355","HathiTrust Record")</f>
        <v/>
      </c>
      <c r="AS1617">
        <f>HYPERLINK("https://creighton-primo.hosted.exlibrisgroup.com/primo-explore/search?tab=default_tab&amp;search_scope=EVERYTHING&amp;vid=01CRU&amp;lang=en_US&amp;offset=0&amp;query=any,contains,991005095839702656","Catalog Record")</f>
        <v/>
      </c>
      <c r="AT1617">
        <f>HYPERLINK("http://www.worldcat.org/oclc/7273196","WorldCat Record")</f>
        <v/>
      </c>
      <c r="AU1617" t="inlineStr">
        <is>
          <t>902467112:eng</t>
        </is>
      </c>
      <c r="AV1617" t="inlineStr">
        <is>
          <t>7273196</t>
        </is>
      </c>
      <c r="AW1617" t="inlineStr">
        <is>
          <t>991005095839702656</t>
        </is>
      </c>
      <c r="AX1617" t="inlineStr">
        <is>
          <t>991005095839702656</t>
        </is>
      </c>
      <c r="AY1617" t="inlineStr">
        <is>
          <t>2258448170002656</t>
        </is>
      </c>
      <c r="AZ1617" t="inlineStr">
        <is>
          <t>BOOK</t>
        </is>
      </c>
      <c r="BB1617" t="inlineStr">
        <is>
          <t>9780471059752</t>
        </is>
      </c>
      <c r="BC1617" t="inlineStr">
        <is>
          <t>32285001551430</t>
        </is>
      </c>
      <c r="BD1617" t="inlineStr">
        <is>
          <t>893344633</t>
        </is>
      </c>
    </row>
    <row r="1618">
      <c r="A1618" t="inlineStr">
        <is>
          <t>No</t>
        </is>
      </c>
      <c r="B1618" t="inlineStr">
        <is>
          <t>QH84 .C65 1985</t>
        </is>
      </c>
      <c r="C1618" t="inlineStr">
        <is>
          <t>0                      QH 0084000C  65          1985</t>
        </is>
      </c>
      <c r="D1618" t="inlineStr">
        <is>
          <t>Biogeography : an ecological and evolutionary approach / C. Barry Cox and Peter D. Moore.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Cox, C. Barry (Christopher Barry), 1931-</t>
        </is>
      </c>
      <c r="L1618" t="inlineStr">
        <is>
          <t>Oxford ; London : Blackwell Scientific, 1985.</t>
        </is>
      </c>
      <c r="M1618" t="inlineStr">
        <is>
          <t>1985</t>
        </is>
      </c>
      <c r="N1618" t="inlineStr">
        <is>
          <t>4th ed.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QH </t>
        </is>
      </c>
      <c r="S1618" t="n">
        <v>1</v>
      </c>
      <c r="T1618" t="n">
        <v>1</v>
      </c>
      <c r="U1618" t="inlineStr">
        <is>
          <t>1994-01-16</t>
        </is>
      </c>
      <c r="V1618" t="inlineStr">
        <is>
          <t>1994-01-16</t>
        </is>
      </c>
      <c r="W1618" t="inlineStr">
        <is>
          <t>1993-03-05</t>
        </is>
      </c>
      <c r="X1618" t="inlineStr">
        <is>
          <t>1993-03-05</t>
        </is>
      </c>
      <c r="Y1618" t="n">
        <v>351</v>
      </c>
      <c r="Z1618" t="n">
        <v>225</v>
      </c>
      <c r="AA1618" t="n">
        <v>1230</v>
      </c>
      <c r="AB1618" t="n">
        <v>2</v>
      </c>
      <c r="AC1618" t="n">
        <v>12</v>
      </c>
      <c r="AD1618" t="n">
        <v>7</v>
      </c>
      <c r="AE1618" t="n">
        <v>51</v>
      </c>
      <c r="AF1618" t="n">
        <v>1</v>
      </c>
      <c r="AG1618" t="n">
        <v>19</v>
      </c>
      <c r="AH1618" t="n">
        <v>1</v>
      </c>
      <c r="AI1618" t="n">
        <v>9</v>
      </c>
      <c r="AJ1618" t="n">
        <v>5</v>
      </c>
      <c r="AK1618" t="n">
        <v>20</v>
      </c>
      <c r="AL1618" t="n">
        <v>1</v>
      </c>
      <c r="AM1618" t="n">
        <v>11</v>
      </c>
      <c r="AN1618" t="n">
        <v>0</v>
      </c>
      <c r="AO1618" t="n">
        <v>1</v>
      </c>
      <c r="AP1618" t="inlineStr">
        <is>
          <t>No</t>
        </is>
      </c>
      <c r="AQ1618" t="inlineStr">
        <is>
          <t>Yes</t>
        </is>
      </c>
      <c r="AR1618">
        <f>HYPERLINK("http://catalog.hathitrust.org/Record/000355775","HathiTrust Record")</f>
        <v/>
      </c>
      <c r="AS1618">
        <f>HYPERLINK("https://creighton-primo.hosted.exlibrisgroup.com/primo-explore/search?tab=default_tab&amp;search_scope=EVERYTHING&amp;vid=01CRU&amp;lang=en_US&amp;offset=0&amp;query=any,contains,991000638989702656","Catalog Record")</f>
        <v/>
      </c>
      <c r="AT1618">
        <f>HYPERLINK("http://www.worldcat.org/oclc/12478263","WorldCat Record")</f>
        <v/>
      </c>
      <c r="AU1618" t="inlineStr">
        <is>
          <t>1729698:eng</t>
        </is>
      </c>
      <c r="AV1618" t="inlineStr">
        <is>
          <t>12478263</t>
        </is>
      </c>
      <c r="AW1618" t="inlineStr">
        <is>
          <t>991000638989702656</t>
        </is>
      </c>
      <c r="AX1618" t="inlineStr">
        <is>
          <t>991000638989702656</t>
        </is>
      </c>
      <c r="AY1618" t="inlineStr">
        <is>
          <t>2266488250002656</t>
        </is>
      </c>
      <c r="AZ1618" t="inlineStr">
        <is>
          <t>BOOK</t>
        </is>
      </c>
      <c r="BB1618" t="inlineStr">
        <is>
          <t>9780632013326</t>
        </is>
      </c>
      <c r="BC1618" t="inlineStr">
        <is>
          <t>32285001551455</t>
        </is>
      </c>
      <c r="BD1618" t="inlineStr">
        <is>
          <t>893796850</t>
        </is>
      </c>
    </row>
    <row r="1619">
      <c r="A1619" t="inlineStr">
        <is>
          <t>No</t>
        </is>
      </c>
      <c r="B1619" t="inlineStr">
        <is>
          <t>QH84 .F76 2004</t>
        </is>
      </c>
      <c r="C1619" t="inlineStr">
        <is>
          <t>0                      QH 0084000F  76          2004</t>
        </is>
      </c>
      <c r="D1619" t="inlineStr">
        <is>
          <t>Frontiers of biogeography : new directions in the geography of nature / edited by Mark V. Lomolino and Lawrence R. Heaney.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L1619" t="inlineStr">
        <is>
          <t>Sunderland, Mass. : Sinauer Associates, c2004.</t>
        </is>
      </c>
      <c r="M1619" t="inlineStr">
        <is>
          <t>2004</t>
        </is>
      </c>
      <c r="O1619" t="inlineStr">
        <is>
          <t>eng</t>
        </is>
      </c>
      <c r="P1619" t="inlineStr">
        <is>
          <t>mau</t>
        </is>
      </c>
      <c r="R1619" t="inlineStr">
        <is>
          <t xml:space="preserve">QH </t>
        </is>
      </c>
      <c r="S1619" t="n">
        <v>1</v>
      </c>
      <c r="T1619" t="n">
        <v>1</v>
      </c>
      <c r="U1619" t="inlineStr">
        <is>
          <t>2005-10-19</t>
        </is>
      </c>
      <c r="V1619" t="inlineStr">
        <is>
          <t>2005-10-19</t>
        </is>
      </c>
      <c r="W1619" t="inlineStr">
        <is>
          <t>2005-10-19</t>
        </is>
      </c>
      <c r="X1619" t="inlineStr">
        <is>
          <t>2005-10-19</t>
        </is>
      </c>
      <c r="Y1619" t="n">
        <v>414</v>
      </c>
      <c r="Z1619" t="n">
        <v>303</v>
      </c>
      <c r="AA1619" t="n">
        <v>303</v>
      </c>
      <c r="AB1619" t="n">
        <v>3</v>
      </c>
      <c r="AC1619" t="n">
        <v>3</v>
      </c>
      <c r="AD1619" t="n">
        <v>11</v>
      </c>
      <c r="AE1619" t="n">
        <v>11</v>
      </c>
      <c r="AF1619" t="n">
        <v>6</v>
      </c>
      <c r="AG1619" t="n">
        <v>6</v>
      </c>
      <c r="AH1619" t="n">
        <v>1</v>
      </c>
      <c r="AI1619" t="n">
        <v>1</v>
      </c>
      <c r="AJ1619" t="n">
        <v>3</v>
      </c>
      <c r="AK1619" t="n">
        <v>3</v>
      </c>
      <c r="AL1619" t="n">
        <v>2</v>
      </c>
      <c r="AM1619" t="n">
        <v>2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HYPERLINK("https://creighton-primo.hosted.exlibrisgroup.com/primo-explore/search?tab=default_tab&amp;search_scope=EVERYTHING&amp;vid=01CRU&amp;lang=en_US&amp;offset=0&amp;query=any,contains,991004657359702656","Catalog Record")</f>
        <v/>
      </c>
      <c r="AT1619">
        <f>HYPERLINK("http://www.worldcat.org/oclc/56526422","WorldCat Record")</f>
        <v/>
      </c>
      <c r="AU1619" t="inlineStr">
        <is>
          <t>890213823:eng</t>
        </is>
      </c>
      <c r="AV1619" t="inlineStr">
        <is>
          <t>56526422</t>
        </is>
      </c>
      <c r="AW1619" t="inlineStr">
        <is>
          <t>991004657359702656</t>
        </is>
      </c>
      <c r="AX1619" t="inlineStr">
        <is>
          <t>991004657359702656</t>
        </is>
      </c>
      <c r="AY1619" t="inlineStr">
        <is>
          <t>2256444640002656</t>
        </is>
      </c>
      <c r="AZ1619" t="inlineStr">
        <is>
          <t>BOOK</t>
        </is>
      </c>
      <c r="BB1619" t="inlineStr">
        <is>
          <t>9780878934782</t>
        </is>
      </c>
      <c r="BC1619" t="inlineStr">
        <is>
          <t>32285005140214</t>
        </is>
      </c>
      <c r="BD1619" t="inlineStr">
        <is>
          <t>893247827</t>
        </is>
      </c>
    </row>
    <row r="1620">
      <c r="A1620" t="inlineStr">
        <is>
          <t>No</t>
        </is>
      </c>
      <c r="B1620" t="inlineStr">
        <is>
          <t>QH84 .F87 1983</t>
        </is>
      </c>
      <c r="C1620" t="inlineStr">
        <is>
          <t>0                      QH 0084000F  87          1983</t>
        </is>
      </c>
      <c r="D1620" t="inlineStr">
        <is>
          <t>Geography of the biosphere : an introduction to the nature, distribution and evolution of the world's life zones / Peter A. Furley, Walter W. Newey ; with a contribution from R.P. Kirby, J.McG. Hotson.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Furley, Peter A.</t>
        </is>
      </c>
      <c r="L1620" t="inlineStr">
        <is>
          <t>London ; Boston : Butterworths, 1983.</t>
        </is>
      </c>
      <c r="M1620" t="inlineStr">
        <is>
          <t>1983</t>
        </is>
      </c>
      <c r="O1620" t="inlineStr">
        <is>
          <t>eng</t>
        </is>
      </c>
      <c r="P1620" t="inlineStr">
        <is>
          <t>enk</t>
        </is>
      </c>
      <c r="R1620" t="inlineStr">
        <is>
          <t xml:space="preserve">QH </t>
        </is>
      </c>
      <c r="S1620" t="n">
        <v>2</v>
      </c>
      <c r="T1620" t="n">
        <v>2</v>
      </c>
      <c r="U1620" t="inlineStr">
        <is>
          <t>1998-09-28</t>
        </is>
      </c>
      <c r="V1620" t="inlineStr">
        <is>
          <t>1998-09-28</t>
        </is>
      </c>
      <c r="W1620" t="inlineStr">
        <is>
          <t>1992-03-09</t>
        </is>
      </c>
      <c r="X1620" t="inlineStr">
        <is>
          <t>1992-03-09</t>
        </is>
      </c>
      <c r="Y1620" t="n">
        <v>418</v>
      </c>
      <c r="Z1620" t="n">
        <v>297</v>
      </c>
      <c r="AA1620" t="n">
        <v>299</v>
      </c>
      <c r="AB1620" t="n">
        <v>4</v>
      </c>
      <c r="AC1620" t="n">
        <v>4</v>
      </c>
      <c r="AD1620" t="n">
        <v>11</v>
      </c>
      <c r="AE1620" t="n">
        <v>11</v>
      </c>
      <c r="AF1620" t="n">
        <v>3</v>
      </c>
      <c r="AG1620" t="n">
        <v>3</v>
      </c>
      <c r="AH1620" t="n">
        <v>3</v>
      </c>
      <c r="AI1620" t="n">
        <v>3</v>
      </c>
      <c r="AJ1620" t="n">
        <v>3</v>
      </c>
      <c r="AK1620" t="n">
        <v>3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Yes</t>
        </is>
      </c>
      <c r="AR1620">
        <f>HYPERLINK("http://catalog.hathitrust.org/Record/000311492","HathiTrust Record")</f>
        <v/>
      </c>
      <c r="AS1620">
        <f>HYPERLINK("https://creighton-primo.hosted.exlibrisgroup.com/primo-explore/search?tab=default_tab&amp;search_scope=EVERYTHING&amp;vid=01CRU&amp;lang=en_US&amp;offset=0&amp;query=any,contains,991000223929702656","Catalog Record")</f>
        <v/>
      </c>
      <c r="AT1620">
        <f>HYPERLINK("http://www.worldcat.org/oclc/9597781","WorldCat Record")</f>
        <v/>
      </c>
      <c r="AU1620" t="inlineStr">
        <is>
          <t>42829827:eng</t>
        </is>
      </c>
      <c r="AV1620" t="inlineStr">
        <is>
          <t>9597781</t>
        </is>
      </c>
      <c r="AW1620" t="inlineStr">
        <is>
          <t>991000223929702656</t>
        </is>
      </c>
      <c r="AX1620" t="inlineStr">
        <is>
          <t>991000223929702656</t>
        </is>
      </c>
      <c r="AY1620" t="inlineStr">
        <is>
          <t>2264008470002656</t>
        </is>
      </c>
      <c r="AZ1620" t="inlineStr">
        <is>
          <t>BOOK</t>
        </is>
      </c>
      <c r="BB1620" t="inlineStr">
        <is>
          <t>9780408708012</t>
        </is>
      </c>
      <c r="BC1620" t="inlineStr">
        <is>
          <t>32285000993252</t>
        </is>
      </c>
      <c r="BD1620" t="inlineStr">
        <is>
          <t>893884240</t>
        </is>
      </c>
    </row>
    <row r="1621">
      <c r="A1621" t="inlineStr">
        <is>
          <t>No</t>
        </is>
      </c>
      <c r="B1621" t="inlineStr">
        <is>
          <t>QH84 .G7</t>
        </is>
      </c>
      <c r="C1621" t="inlineStr">
        <is>
          <t>0                      QH 0084000G  7</t>
        </is>
      </c>
      <c r="D1621" t="inlineStr">
        <is>
          <t>Pacific Basin biogeography; a symposium. General editor: J. Linsley Gressitt. Section editors: C.H. Lindroth [and others.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Gressitt, J. Linsley, editor.</t>
        </is>
      </c>
      <c r="L1621" t="inlineStr">
        <is>
          <t>Honolulu] Bishop Museum Press, 1963.</t>
        </is>
      </c>
      <c r="M1621" t="inlineStr">
        <is>
          <t>1963</t>
        </is>
      </c>
      <c r="O1621" t="inlineStr">
        <is>
          <t>eng</t>
        </is>
      </c>
      <c r="P1621" t="inlineStr">
        <is>
          <t>hiu</t>
        </is>
      </c>
      <c r="R1621" t="inlineStr">
        <is>
          <t xml:space="preserve">QH </t>
        </is>
      </c>
      <c r="S1621" t="n">
        <v>0</v>
      </c>
      <c r="T1621" t="n">
        <v>0</v>
      </c>
      <c r="U1621" t="inlineStr">
        <is>
          <t>2007-06-28</t>
        </is>
      </c>
      <c r="V1621" t="inlineStr">
        <is>
          <t>2007-06-28</t>
        </is>
      </c>
      <c r="W1621" t="inlineStr">
        <is>
          <t>1997-06-27</t>
        </is>
      </c>
      <c r="X1621" t="inlineStr">
        <is>
          <t>1997-06-27</t>
        </is>
      </c>
      <c r="Y1621" t="n">
        <v>61</v>
      </c>
      <c r="Z1621" t="n">
        <v>48</v>
      </c>
      <c r="AA1621" t="n">
        <v>224</v>
      </c>
      <c r="AB1621" t="n">
        <v>3</v>
      </c>
      <c r="AC1621" t="n">
        <v>3</v>
      </c>
      <c r="AD1621" t="n">
        <v>4</v>
      </c>
      <c r="AE1621" t="n">
        <v>5</v>
      </c>
      <c r="AF1621" t="n">
        <v>0</v>
      </c>
      <c r="AG1621" t="n">
        <v>1</v>
      </c>
      <c r="AH1621" t="n">
        <v>1</v>
      </c>
      <c r="AI1621" t="n">
        <v>1</v>
      </c>
      <c r="AJ1621" t="n">
        <v>1</v>
      </c>
      <c r="AK1621" t="n">
        <v>2</v>
      </c>
      <c r="AL1621" t="n">
        <v>2</v>
      </c>
      <c r="AM1621" t="n">
        <v>2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R1621">
        <f>HYPERLINK("http://catalog.hathitrust.org/Record/001490386","HathiTrust Record")</f>
        <v/>
      </c>
      <c r="AS1621">
        <f>HYPERLINK("https://creighton-primo.hosted.exlibrisgroup.com/primo-explore/search?tab=default_tab&amp;search_scope=EVERYTHING&amp;vid=01CRU&amp;lang=en_US&amp;offset=0&amp;query=any,contains,991000958489702656","Catalog Record")</f>
        <v/>
      </c>
      <c r="AT1621">
        <f>HYPERLINK("http://www.worldcat.org/oclc/14760018","WorldCat Record")</f>
        <v/>
      </c>
      <c r="AU1621" t="inlineStr">
        <is>
          <t>465696145:eng</t>
        </is>
      </c>
      <c r="AV1621" t="inlineStr">
        <is>
          <t>14760018</t>
        </is>
      </c>
      <c r="AW1621" t="inlineStr">
        <is>
          <t>991000958489702656</t>
        </is>
      </c>
      <c r="AX1621" t="inlineStr">
        <is>
          <t>991000958489702656</t>
        </is>
      </c>
      <c r="AY1621" t="inlineStr">
        <is>
          <t>2263866210002656</t>
        </is>
      </c>
      <c r="AZ1621" t="inlineStr">
        <is>
          <t>BOOK</t>
        </is>
      </c>
      <c r="BC1621" t="inlineStr">
        <is>
          <t>32285002865623</t>
        </is>
      </c>
      <c r="BD1621" t="inlineStr">
        <is>
          <t>893696332</t>
        </is>
      </c>
    </row>
    <row r="1622">
      <c r="A1622" t="inlineStr">
        <is>
          <t>No</t>
        </is>
      </c>
      <c r="B1622" t="inlineStr">
        <is>
          <t>QH84 .M66 1984</t>
        </is>
      </c>
      <c r="C1622" t="inlineStr">
        <is>
          <t>0                      QH 0084000M  66          1984</t>
        </is>
      </c>
      <c r="D1622" t="inlineStr">
        <is>
          <t>Systematic and regional biogeography / Stanley A. Morain.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Morain, Stanley A.</t>
        </is>
      </c>
      <c r="L1622" t="inlineStr">
        <is>
          <t>New York : Van Nostrand Reinhold, c1984.</t>
        </is>
      </c>
      <c r="M1622" t="inlineStr">
        <is>
          <t>1984</t>
        </is>
      </c>
      <c r="O1622" t="inlineStr">
        <is>
          <t>eng</t>
        </is>
      </c>
      <c r="P1622" t="inlineStr">
        <is>
          <t>nyu</t>
        </is>
      </c>
      <c r="R1622" t="inlineStr">
        <is>
          <t xml:space="preserve">QH </t>
        </is>
      </c>
      <c r="S1622" t="n">
        <v>2</v>
      </c>
      <c r="T1622" t="n">
        <v>2</v>
      </c>
      <c r="U1622" t="inlineStr">
        <is>
          <t>1995-02-22</t>
        </is>
      </c>
      <c r="V1622" t="inlineStr">
        <is>
          <t>1995-02-22</t>
        </is>
      </c>
      <c r="W1622" t="inlineStr">
        <is>
          <t>1993-03-05</t>
        </is>
      </c>
      <c r="X1622" t="inlineStr">
        <is>
          <t>1993-03-05</t>
        </is>
      </c>
      <c r="Y1622" t="n">
        <v>321</v>
      </c>
      <c r="Z1622" t="n">
        <v>242</v>
      </c>
      <c r="AA1622" t="n">
        <v>248</v>
      </c>
      <c r="AB1622" t="n">
        <v>4</v>
      </c>
      <c r="AC1622" t="n">
        <v>4</v>
      </c>
      <c r="AD1622" t="n">
        <v>8</v>
      </c>
      <c r="AE1622" t="n">
        <v>8</v>
      </c>
      <c r="AF1622" t="n">
        <v>3</v>
      </c>
      <c r="AG1622" t="n">
        <v>3</v>
      </c>
      <c r="AH1622" t="n">
        <v>3</v>
      </c>
      <c r="AI1622" t="n">
        <v>3</v>
      </c>
      <c r="AJ1622" t="n">
        <v>2</v>
      </c>
      <c r="AK1622" t="n">
        <v>2</v>
      </c>
      <c r="AL1622" t="n">
        <v>3</v>
      </c>
      <c r="AM1622" t="n">
        <v>3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HYPERLINK("http://catalog.hathitrust.org/Record/000781545","HathiTrust Record")</f>
        <v/>
      </c>
      <c r="AS1622">
        <f>HYPERLINK("https://creighton-primo.hosted.exlibrisgroup.com/primo-explore/search?tab=default_tab&amp;search_scope=EVERYTHING&amp;vid=01CRU&amp;lang=en_US&amp;offset=0&amp;query=any,contains,991000382129702656","Catalog Record")</f>
        <v/>
      </c>
      <c r="AT1622">
        <f>HYPERLINK("http://www.worldcat.org/oclc/10505314","WorldCat Record")</f>
        <v/>
      </c>
      <c r="AU1622" t="inlineStr">
        <is>
          <t>2854455:eng</t>
        </is>
      </c>
      <c r="AV1622" t="inlineStr">
        <is>
          <t>10505314</t>
        </is>
      </c>
      <c r="AW1622" t="inlineStr">
        <is>
          <t>991000382129702656</t>
        </is>
      </c>
      <c r="AX1622" t="inlineStr">
        <is>
          <t>991000382129702656</t>
        </is>
      </c>
      <c r="AY1622" t="inlineStr">
        <is>
          <t>2254911530002656</t>
        </is>
      </c>
      <c r="AZ1622" t="inlineStr">
        <is>
          <t>BOOK</t>
        </is>
      </c>
      <c r="BB1622" t="inlineStr">
        <is>
          <t>9780442261863</t>
        </is>
      </c>
      <c r="BC1622" t="inlineStr">
        <is>
          <t>32285001551463</t>
        </is>
      </c>
      <c r="BD1622" t="inlineStr">
        <is>
          <t>893601697</t>
        </is>
      </c>
    </row>
    <row r="1623">
      <c r="A1623" t="inlineStr">
        <is>
          <t>No</t>
        </is>
      </c>
      <c r="B1623" t="inlineStr">
        <is>
          <t>QH84 .N4</t>
        </is>
      </c>
      <c r="C1623" t="inlineStr">
        <is>
          <t>0                      QH 0084000N  4</t>
        </is>
      </c>
      <c r="D1623" t="inlineStr">
        <is>
          <t>Plant and animal geography, by Marion I. Newbigin ... With 39 illustrations and maps.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Newbigin, Marion I. (Marion Isabel), 1869-1934.</t>
        </is>
      </c>
      <c r="L1623" t="inlineStr">
        <is>
          <t>London, Methuen &amp; co., ltd. [1936]</t>
        </is>
      </c>
      <c r="M1623" t="inlineStr">
        <is>
          <t>1936</t>
        </is>
      </c>
      <c r="O1623" t="inlineStr">
        <is>
          <t>eng</t>
        </is>
      </c>
      <c r="P1623" t="inlineStr">
        <is>
          <t>enk</t>
        </is>
      </c>
      <c r="R1623" t="inlineStr">
        <is>
          <t xml:space="preserve">QH </t>
        </is>
      </c>
      <c r="S1623" t="n">
        <v>3</v>
      </c>
      <c r="T1623" t="n">
        <v>3</v>
      </c>
      <c r="U1623" t="inlineStr">
        <is>
          <t>2000-02-12</t>
        </is>
      </c>
      <c r="V1623" t="inlineStr">
        <is>
          <t>2000-02-12</t>
        </is>
      </c>
      <c r="W1623" t="inlineStr">
        <is>
          <t>1997-06-27</t>
        </is>
      </c>
      <c r="X1623" t="inlineStr">
        <is>
          <t>1997-06-27</t>
        </is>
      </c>
      <c r="Y1623" t="n">
        <v>224</v>
      </c>
      <c r="Z1623" t="n">
        <v>132</v>
      </c>
      <c r="AA1623" t="n">
        <v>431</v>
      </c>
      <c r="AB1623" t="n">
        <v>3</v>
      </c>
      <c r="AC1623" t="n">
        <v>6</v>
      </c>
      <c r="AD1623" t="n">
        <v>4</v>
      </c>
      <c r="AE1623" t="n">
        <v>17</v>
      </c>
      <c r="AF1623" t="n">
        <v>0</v>
      </c>
      <c r="AG1623" t="n">
        <v>4</v>
      </c>
      <c r="AH1623" t="n">
        <v>1</v>
      </c>
      <c r="AI1623" t="n">
        <v>4</v>
      </c>
      <c r="AJ1623" t="n">
        <v>1</v>
      </c>
      <c r="AK1623" t="n">
        <v>7</v>
      </c>
      <c r="AL1623" t="n">
        <v>2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No</t>
        </is>
      </c>
      <c r="AR1623">
        <f>HYPERLINK("http://catalog.hathitrust.org/Record/007156957","HathiTrust Record")</f>
        <v/>
      </c>
      <c r="AS1623">
        <f>HYPERLINK("https://creighton-primo.hosted.exlibrisgroup.com/primo-explore/search?tab=default_tab&amp;search_scope=EVERYTHING&amp;vid=01CRU&amp;lang=en_US&amp;offset=0&amp;query=any,contains,991003281649702656","Catalog Record")</f>
        <v/>
      </c>
      <c r="AT1623">
        <f>HYPERLINK("http://www.worldcat.org/oclc/803970","WorldCat Record")</f>
        <v/>
      </c>
      <c r="AU1623" t="inlineStr">
        <is>
          <t>1211499:eng</t>
        </is>
      </c>
      <c r="AV1623" t="inlineStr">
        <is>
          <t>803970</t>
        </is>
      </c>
      <c r="AW1623" t="inlineStr">
        <is>
          <t>991003281649702656</t>
        </is>
      </c>
      <c r="AX1623" t="inlineStr">
        <is>
          <t>991003281649702656</t>
        </is>
      </c>
      <c r="AY1623" t="inlineStr">
        <is>
          <t>2269064540002656</t>
        </is>
      </c>
      <c r="AZ1623" t="inlineStr">
        <is>
          <t>BOOK</t>
        </is>
      </c>
      <c r="BC1623" t="inlineStr">
        <is>
          <t>32285002865656</t>
        </is>
      </c>
      <c r="BD1623" t="inlineStr">
        <is>
          <t>893780799</t>
        </is>
      </c>
    </row>
    <row r="1624">
      <c r="A1624" t="inlineStr">
        <is>
          <t>No</t>
        </is>
      </c>
      <c r="B1624" t="inlineStr">
        <is>
          <t>QH84 .P53</t>
        </is>
      </c>
      <c r="C1624" t="inlineStr">
        <is>
          <t>0                      QH 0084000P  53</t>
        </is>
      </c>
      <c r="D1624" t="inlineStr">
        <is>
          <t>Biogeography / E. C. Pielou.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Pielou, E. C., 1924-2016.</t>
        </is>
      </c>
      <c r="L1624" t="inlineStr">
        <is>
          <t>New York : Wiley, c1979.</t>
        </is>
      </c>
      <c r="M1624" t="inlineStr">
        <is>
          <t>1979</t>
        </is>
      </c>
      <c r="O1624" t="inlineStr">
        <is>
          <t>eng</t>
        </is>
      </c>
      <c r="P1624" t="inlineStr">
        <is>
          <t>nyu</t>
        </is>
      </c>
      <c r="R1624" t="inlineStr">
        <is>
          <t xml:space="preserve">QH </t>
        </is>
      </c>
      <c r="S1624" t="n">
        <v>2</v>
      </c>
      <c r="T1624" t="n">
        <v>2</v>
      </c>
      <c r="U1624" t="inlineStr">
        <is>
          <t>1993-03-08</t>
        </is>
      </c>
      <c r="V1624" t="inlineStr">
        <is>
          <t>1993-03-08</t>
        </is>
      </c>
      <c r="W1624" t="inlineStr">
        <is>
          <t>1993-03-05</t>
        </is>
      </c>
      <c r="X1624" t="inlineStr">
        <is>
          <t>1993-03-05</t>
        </is>
      </c>
      <c r="Y1624" t="n">
        <v>760</v>
      </c>
      <c r="Z1624" t="n">
        <v>566</v>
      </c>
      <c r="AA1624" t="n">
        <v>583</v>
      </c>
      <c r="AB1624" t="n">
        <v>5</v>
      </c>
      <c r="AC1624" t="n">
        <v>5</v>
      </c>
      <c r="AD1624" t="n">
        <v>20</v>
      </c>
      <c r="AE1624" t="n">
        <v>20</v>
      </c>
      <c r="AF1624" t="n">
        <v>6</v>
      </c>
      <c r="AG1624" t="n">
        <v>6</v>
      </c>
      <c r="AH1624" t="n">
        <v>4</v>
      </c>
      <c r="AI1624" t="n">
        <v>4</v>
      </c>
      <c r="AJ1624" t="n">
        <v>10</v>
      </c>
      <c r="AK1624" t="n">
        <v>10</v>
      </c>
      <c r="AL1624" t="n">
        <v>4</v>
      </c>
      <c r="AM1624" t="n">
        <v>4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Yes</t>
        </is>
      </c>
      <c r="AR1624">
        <f>HYPERLINK("http://catalog.hathitrust.org/Record/000043485","HathiTrust Record")</f>
        <v/>
      </c>
      <c r="AS1624">
        <f>HYPERLINK("https://creighton-primo.hosted.exlibrisgroup.com/primo-explore/search?tab=default_tab&amp;search_scope=EVERYTHING&amp;vid=01CRU&amp;lang=en_US&amp;offset=0&amp;query=any,contains,991004754409702656","Catalog Record")</f>
        <v/>
      </c>
      <c r="AT1624">
        <f>HYPERLINK("http://www.worldcat.org/oclc/4956955","WorldCat Record")</f>
        <v/>
      </c>
      <c r="AU1624" t="inlineStr">
        <is>
          <t>15139261:eng</t>
        </is>
      </c>
      <c r="AV1624" t="inlineStr">
        <is>
          <t>4956955</t>
        </is>
      </c>
      <c r="AW1624" t="inlineStr">
        <is>
          <t>991004754409702656</t>
        </is>
      </c>
      <c r="AX1624" t="inlineStr">
        <is>
          <t>991004754409702656</t>
        </is>
      </c>
      <c r="AY1624" t="inlineStr">
        <is>
          <t>2269165140002656</t>
        </is>
      </c>
      <c r="AZ1624" t="inlineStr">
        <is>
          <t>BOOK</t>
        </is>
      </c>
      <c r="BB1624" t="inlineStr">
        <is>
          <t>9780471058458</t>
        </is>
      </c>
      <c r="BC1624" t="inlineStr">
        <is>
          <t>32285001551471</t>
        </is>
      </c>
      <c r="BD1624" t="inlineStr">
        <is>
          <t>893513631</t>
        </is>
      </c>
    </row>
    <row r="1625">
      <c r="A1625" t="inlineStr">
        <is>
          <t>No</t>
        </is>
      </c>
      <c r="B1625" t="inlineStr">
        <is>
          <t>QH84 .V47</t>
        </is>
      </c>
      <c r="C1625" t="inlineStr">
        <is>
          <t>0                      QH 0084000V  47</t>
        </is>
      </c>
      <c r="D1625" t="inlineStr">
        <is>
          <t>Biogeography and adaptation : patterns of marine life / Geerat J. Vermeij.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K1625" t="inlineStr">
        <is>
          <t>Vermeij, Geerat J., 1946-</t>
        </is>
      </c>
      <c r="L1625" t="inlineStr">
        <is>
          <t>Cambridge, Mass. : Harvard University Press, 1978, 1980 printing.</t>
        </is>
      </c>
      <c r="M1625" t="inlineStr">
        <is>
          <t>1978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QH </t>
        </is>
      </c>
      <c r="S1625" t="n">
        <v>4</v>
      </c>
      <c r="T1625" t="n">
        <v>4</v>
      </c>
      <c r="U1625" t="inlineStr">
        <is>
          <t>1994-09-27</t>
        </is>
      </c>
      <c r="V1625" t="inlineStr">
        <is>
          <t>1994-09-27</t>
        </is>
      </c>
      <c r="W1625" t="inlineStr">
        <is>
          <t>1993-03-05</t>
        </is>
      </c>
      <c r="X1625" t="inlineStr">
        <is>
          <t>1993-03-05</t>
        </is>
      </c>
      <c r="Y1625" t="n">
        <v>657</v>
      </c>
      <c r="Z1625" t="n">
        <v>492</v>
      </c>
      <c r="AA1625" t="n">
        <v>494</v>
      </c>
      <c r="AB1625" t="n">
        <v>4</v>
      </c>
      <c r="AC1625" t="n">
        <v>4</v>
      </c>
      <c r="AD1625" t="n">
        <v>15</v>
      </c>
      <c r="AE1625" t="n">
        <v>15</v>
      </c>
      <c r="AF1625" t="n">
        <v>7</v>
      </c>
      <c r="AG1625" t="n">
        <v>7</v>
      </c>
      <c r="AH1625" t="n">
        <v>2</v>
      </c>
      <c r="AI1625" t="n">
        <v>2</v>
      </c>
      <c r="AJ1625" t="n">
        <v>7</v>
      </c>
      <c r="AK1625" t="n">
        <v>7</v>
      </c>
      <c r="AL1625" t="n">
        <v>3</v>
      </c>
      <c r="AM1625" t="n">
        <v>3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HYPERLINK("http://catalog.hathitrust.org/Record/000763678","HathiTrust Record")</f>
        <v/>
      </c>
      <c r="AS1625">
        <f>HYPERLINK("https://creighton-primo.hosted.exlibrisgroup.com/primo-explore/search?tab=default_tab&amp;search_scope=EVERYTHING&amp;vid=01CRU&amp;lang=en_US&amp;offset=0&amp;query=any,contains,991004503699702656","Catalog Record")</f>
        <v/>
      </c>
      <c r="AT1625">
        <f>HYPERLINK("http://www.worldcat.org/oclc/3730026","WorldCat Record")</f>
        <v/>
      </c>
      <c r="AU1625" t="inlineStr">
        <is>
          <t>308967471:eng</t>
        </is>
      </c>
      <c r="AV1625" t="inlineStr">
        <is>
          <t>3730026</t>
        </is>
      </c>
      <c r="AW1625" t="inlineStr">
        <is>
          <t>991004503699702656</t>
        </is>
      </c>
      <c r="AX1625" t="inlineStr">
        <is>
          <t>991004503699702656</t>
        </is>
      </c>
      <c r="AY1625" t="inlineStr">
        <is>
          <t>2268895400002656</t>
        </is>
      </c>
      <c r="AZ1625" t="inlineStr">
        <is>
          <t>BOOK</t>
        </is>
      </c>
      <c r="BB1625" t="inlineStr">
        <is>
          <t>9780674073753</t>
        </is>
      </c>
      <c r="BC1625" t="inlineStr">
        <is>
          <t>32285001551489</t>
        </is>
      </c>
      <c r="BD1625" t="inlineStr">
        <is>
          <t>893612431</t>
        </is>
      </c>
    </row>
    <row r="1626">
      <c r="A1626" t="inlineStr">
        <is>
          <t>No</t>
        </is>
      </c>
      <c r="B1626" t="inlineStr">
        <is>
          <t>QH84.5 .J67 1985</t>
        </is>
      </c>
      <c r="C1626" t="inlineStr">
        <is>
          <t>0                      QH 0084500J  67          1985</t>
        </is>
      </c>
      <c r="D1626" t="inlineStr">
        <is>
          <t>Nutrient cycling in tropical forest ecosystems : principles and their application in management and conservation / Carl F. Jordan.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K1626" t="inlineStr">
        <is>
          <t>Jordan, Carl F.</t>
        </is>
      </c>
      <c r="L1626" t="inlineStr">
        <is>
          <t>Chichester [West Sussex] ; New York : Wiley, c1985.</t>
        </is>
      </c>
      <c r="M1626" t="inlineStr">
        <is>
          <t>1985</t>
        </is>
      </c>
      <c r="O1626" t="inlineStr">
        <is>
          <t>eng</t>
        </is>
      </c>
      <c r="P1626" t="inlineStr">
        <is>
          <t>enk</t>
        </is>
      </c>
      <c r="R1626" t="inlineStr">
        <is>
          <t xml:space="preserve">QH </t>
        </is>
      </c>
      <c r="S1626" t="n">
        <v>2</v>
      </c>
      <c r="T1626" t="n">
        <v>2</v>
      </c>
      <c r="U1626" t="inlineStr">
        <is>
          <t>1994-10-25</t>
        </is>
      </c>
      <c r="V1626" t="inlineStr">
        <is>
          <t>1994-10-25</t>
        </is>
      </c>
      <c r="W1626" t="inlineStr">
        <is>
          <t>1993-03-05</t>
        </is>
      </c>
      <c r="X1626" t="inlineStr">
        <is>
          <t>1993-03-05</t>
        </is>
      </c>
      <c r="Y1626" t="n">
        <v>427</v>
      </c>
      <c r="Z1626" t="n">
        <v>295</v>
      </c>
      <c r="AA1626" t="n">
        <v>303</v>
      </c>
      <c r="AB1626" t="n">
        <v>2</v>
      </c>
      <c r="AC1626" t="n">
        <v>2</v>
      </c>
      <c r="AD1626" t="n">
        <v>5</v>
      </c>
      <c r="AE1626" t="n">
        <v>5</v>
      </c>
      <c r="AF1626" t="n">
        <v>1</v>
      </c>
      <c r="AG1626" t="n">
        <v>1</v>
      </c>
      <c r="AH1626" t="n">
        <v>2</v>
      </c>
      <c r="AI1626" t="n">
        <v>2</v>
      </c>
      <c r="AJ1626" t="n">
        <v>3</v>
      </c>
      <c r="AK1626" t="n">
        <v>3</v>
      </c>
      <c r="AL1626" t="n">
        <v>1</v>
      </c>
      <c r="AM1626" t="n">
        <v>1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Yes</t>
        </is>
      </c>
      <c r="AR1626">
        <f>HYPERLINK("http://catalog.hathitrust.org/Record/000425771","HathiTrust Record")</f>
        <v/>
      </c>
      <c r="AS1626">
        <f>HYPERLINK("https://creighton-primo.hosted.exlibrisgroup.com/primo-explore/search?tab=default_tab&amp;search_scope=EVERYTHING&amp;vid=01CRU&amp;lang=en_US&amp;offset=0&amp;query=any,contains,991000617489702656","Catalog Record")</f>
        <v/>
      </c>
      <c r="AT1626">
        <f>HYPERLINK("http://www.worldcat.org/oclc/11969418","WorldCat Record")</f>
        <v/>
      </c>
      <c r="AU1626" t="inlineStr">
        <is>
          <t>4483157:eng</t>
        </is>
      </c>
      <c r="AV1626" t="inlineStr">
        <is>
          <t>11969418</t>
        </is>
      </c>
      <c r="AW1626" t="inlineStr">
        <is>
          <t>991000617489702656</t>
        </is>
      </c>
      <c r="AX1626" t="inlineStr">
        <is>
          <t>991000617489702656</t>
        </is>
      </c>
      <c r="AY1626" t="inlineStr">
        <is>
          <t>2262466120002656</t>
        </is>
      </c>
      <c r="AZ1626" t="inlineStr">
        <is>
          <t>BOOK</t>
        </is>
      </c>
      <c r="BB1626" t="inlineStr">
        <is>
          <t>9780471904496</t>
        </is>
      </c>
      <c r="BC1626" t="inlineStr">
        <is>
          <t>32285001551539</t>
        </is>
      </c>
      <c r="BD1626" t="inlineStr">
        <is>
          <t>893243422</t>
        </is>
      </c>
    </row>
    <row r="1627">
      <c r="A1627" t="inlineStr">
        <is>
          <t>No</t>
        </is>
      </c>
      <c r="B1627" t="inlineStr">
        <is>
          <t>QH84.5 .N373 1982</t>
        </is>
      </c>
      <c r="C1627" t="inlineStr">
        <is>
          <t>0                      QH 0084500N  373         1982</t>
        </is>
      </c>
      <c r="D1627" t="inlineStr">
        <is>
          <t>Ecological aspects of development in the humid tropics / Committee on Selected Biological Problems in the Humid Tropics, Division of Biological Sciences, Assembly of Life Sciences, National Research Council.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National Research Council (U.S.). Committee on Selected Biological Problems in the Humid Tropics.</t>
        </is>
      </c>
      <c r="L1627" t="inlineStr">
        <is>
          <t>Washington, D.C. : National Academy Press, 1982.</t>
        </is>
      </c>
      <c r="M1627" t="inlineStr">
        <is>
          <t>1982</t>
        </is>
      </c>
      <c r="O1627" t="inlineStr">
        <is>
          <t>eng</t>
        </is>
      </c>
      <c r="P1627" t="inlineStr">
        <is>
          <t>dcu</t>
        </is>
      </c>
      <c r="R1627" t="inlineStr">
        <is>
          <t xml:space="preserve">QH </t>
        </is>
      </c>
      <c r="S1627" t="n">
        <v>2</v>
      </c>
      <c r="T1627" t="n">
        <v>2</v>
      </c>
      <c r="U1627" t="inlineStr">
        <is>
          <t>1994-10-25</t>
        </is>
      </c>
      <c r="V1627" t="inlineStr">
        <is>
          <t>1994-10-25</t>
        </is>
      </c>
      <c r="W1627" t="inlineStr">
        <is>
          <t>1993-03-05</t>
        </is>
      </c>
      <c r="X1627" t="inlineStr">
        <is>
          <t>1993-03-05</t>
        </is>
      </c>
      <c r="Y1627" t="n">
        <v>313</v>
      </c>
      <c r="Z1627" t="n">
        <v>256</v>
      </c>
      <c r="AA1627" t="n">
        <v>262</v>
      </c>
      <c r="AB1627" t="n">
        <v>2</v>
      </c>
      <c r="AC1627" t="n">
        <v>2</v>
      </c>
      <c r="AD1627" t="n">
        <v>4</v>
      </c>
      <c r="AE1627" t="n">
        <v>4</v>
      </c>
      <c r="AF1627" t="n">
        <v>1</v>
      </c>
      <c r="AG1627" t="n">
        <v>1</v>
      </c>
      <c r="AH1627" t="n">
        <v>1</v>
      </c>
      <c r="AI1627" t="n">
        <v>1</v>
      </c>
      <c r="AJ1627" t="n">
        <v>1</v>
      </c>
      <c r="AK1627" t="n">
        <v>1</v>
      </c>
      <c r="AL1627" t="n">
        <v>1</v>
      </c>
      <c r="AM1627" t="n">
        <v>1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HYPERLINK("http://catalog.hathitrust.org/Record/000313900","HathiTrust Record")</f>
        <v/>
      </c>
      <c r="AS1627">
        <f>HYPERLINK("https://creighton-primo.hosted.exlibrisgroup.com/primo-explore/search?tab=default_tab&amp;search_scope=EVERYTHING&amp;vid=01CRU&amp;lang=en_US&amp;offset=0&amp;query=any,contains,991005232819702656","Catalog Record")</f>
        <v/>
      </c>
      <c r="AT1627">
        <f>HYPERLINK("http://www.worldcat.org/oclc/8345802","WorldCat Record")</f>
        <v/>
      </c>
      <c r="AU1627" t="inlineStr">
        <is>
          <t>10793044128:eng</t>
        </is>
      </c>
      <c r="AV1627" t="inlineStr">
        <is>
          <t>8345802</t>
        </is>
      </c>
      <c r="AW1627" t="inlineStr">
        <is>
          <t>991005232819702656</t>
        </is>
      </c>
      <c r="AX1627" t="inlineStr">
        <is>
          <t>991005232819702656</t>
        </is>
      </c>
      <c r="AY1627" t="inlineStr">
        <is>
          <t>2263299200002656</t>
        </is>
      </c>
      <c r="AZ1627" t="inlineStr">
        <is>
          <t>BOOK</t>
        </is>
      </c>
      <c r="BB1627" t="inlineStr">
        <is>
          <t>9780309032353</t>
        </is>
      </c>
      <c r="BC1627" t="inlineStr">
        <is>
          <t>32285001551547</t>
        </is>
      </c>
      <c r="BD1627" t="inlineStr">
        <is>
          <t>893889911</t>
        </is>
      </c>
    </row>
    <row r="1628">
      <c r="A1628" t="inlineStr">
        <is>
          <t>No</t>
        </is>
      </c>
      <c r="B1628" t="inlineStr">
        <is>
          <t>QH84.5 .P38 1986</t>
        </is>
      </c>
      <c r="C1628" t="inlineStr">
        <is>
          <t>0                      QH 0084500P  38          1986</t>
        </is>
      </c>
      <c r="D1628" t="inlineStr">
        <is>
          <t>The ecology of tropical lakes and rivers / A.I. Payne.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Payne, A. I.</t>
        </is>
      </c>
      <c r="L1628" t="inlineStr">
        <is>
          <t>Chichester [West Sussex] ; New York : Wiley, c1986.</t>
        </is>
      </c>
      <c r="M1628" t="inlineStr">
        <is>
          <t>1986</t>
        </is>
      </c>
      <c r="O1628" t="inlineStr">
        <is>
          <t>eng</t>
        </is>
      </c>
      <c r="P1628" t="inlineStr">
        <is>
          <t>enk</t>
        </is>
      </c>
      <c r="R1628" t="inlineStr">
        <is>
          <t xml:space="preserve">QH </t>
        </is>
      </c>
      <c r="S1628" t="n">
        <v>2</v>
      </c>
      <c r="T1628" t="n">
        <v>2</v>
      </c>
      <c r="U1628" t="inlineStr">
        <is>
          <t>1994-10-20</t>
        </is>
      </c>
      <c r="V1628" t="inlineStr">
        <is>
          <t>1994-10-20</t>
        </is>
      </c>
      <c r="W1628" t="inlineStr">
        <is>
          <t>1991-11-19</t>
        </is>
      </c>
      <c r="X1628" t="inlineStr">
        <is>
          <t>1991-11-19</t>
        </is>
      </c>
      <c r="Y1628" t="n">
        <v>425</v>
      </c>
      <c r="Z1628" t="n">
        <v>299</v>
      </c>
      <c r="AA1628" t="n">
        <v>306</v>
      </c>
      <c r="AB1628" t="n">
        <v>3</v>
      </c>
      <c r="AC1628" t="n">
        <v>3</v>
      </c>
      <c r="AD1628" t="n">
        <v>13</v>
      </c>
      <c r="AE1628" t="n">
        <v>13</v>
      </c>
      <c r="AF1628" t="n">
        <v>4</v>
      </c>
      <c r="AG1628" t="n">
        <v>4</v>
      </c>
      <c r="AH1628" t="n">
        <v>2</v>
      </c>
      <c r="AI1628" t="n">
        <v>2</v>
      </c>
      <c r="AJ1628" t="n">
        <v>7</v>
      </c>
      <c r="AK1628" t="n">
        <v>7</v>
      </c>
      <c r="AL1628" t="n">
        <v>2</v>
      </c>
      <c r="AM1628" t="n">
        <v>2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Yes</t>
        </is>
      </c>
      <c r="AR1628">
        <f>HYPERLINK("http://catalog.hathitrust.org/Record/000399389","HathiTrust Record")</f>
        <v/>
      </c>
      <c r="AS1628">
        <f>HYPERLINK("https://creighton-primo.hosted.exlibrisgroup.com/primo-explore/search?tab=default_tab&amp;search_scope=EVERYTHING&amp;vid=01CRU&amp;lang=en_US&amp;offset=0&amp;query=any,contains,991000739419702656","Catalog Record")</f>
        <v/>
      </c>
      <c r="AT1628">
        <f>HYPERLINK("http://www.worldcat.org/oclc/12805315","WorldCat Record")</f>
        <v/>
      </c>
      <c r="AU1628" t="inlineStr">
        <is>
          <t>5390130:eng</t>
        </is>
      </c>
      <c r="AV1628" t="inlineStr">
        <is>
          <t>12805315</t>
        </is>
      </c>
      <c r="AW1628" t="inlineStr">
        <is>
          <t>991000739419702656</t>
        </is>
      </c>
      <c r="AX1628" t="inlineStr">
        <is>
          <t>991000739419702656</t>
        </is>
      </c>
      <c r="AY1628" t="inlineStr">
        <is>
          <t>2255919690002656</t>
        </is>
      </c>
      <c r="AZ1628" t="inlineStr">
        <is>
          <t>BOOK</t>
        </is>
      </c>
      <c r="BB1628" t="inlineStr">
        <is>
          <t>9780471905240</t>
        </is>
      </c>
      <c r="BC1628" t="inlineStr">
        <is>
          <t>32285000824648</t>
        </is>
      </c>
      <c r="BD1628" t="inlineStr">
        <is>
          <t>893602025</t>
        </is>
      </c>
    </row>
    <row r="1629">
      <c r="A1629" t="inlineStr">
        <is>
          <t>No</t>
        </is>
      </c>
      <c r="B1629" t="inlineStr">
        <is>
          <t>QH84.5 .T84</t>
        </is>
      </c>
      <c r="C1629" t="inlineStr">
        <is>
          <t>0                      QH 0084500T  84</t>
        </is>
      </c>
      <c r="D1629" t="inlineStr">
        <is>
          <t>Tropical ecology / edited by Carl F. Jordan.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L1629" t="inlineStr">
        <is>
          <t>Stroudsburg, Pa. : Hutchinson Ross Pub. Co. ; [New York] : Distributed world wide by Academic Press, c1981.</t>
        </is>
      </c>
      <c r="M1629" t="inlineStr">
        <is>
          <t>1981</t>
        </is>
      </c>
      <c r="O1629" t="inlineStr">
        <is>
          <t>eng</t>
        </is>
      </c>
      <c r="P1629" t="inlineStr">
        <is>
          <t>pau</t>
        </is>
      </c>
      <c r="Q1629" t="inlineStr">
        <is>
          <t>Benchmark papers in ecology ; v. 10</t>
        </is>
      </c>
      <c r="R1629" t="inlineStr">
        <is>
          <t xml:space="preserve">QH </t>
        </is>
      </c>
      <c r="S1629" t="n">
        <v>17</v>
      </c>
      <c r="T1629" t="n">
        <v>17</v>
      </c>
      <c r="U1629" t="inlineStr">
        <is>
          <t>1998-12-10</t>
        </is>
      </c>
      <c r="V1629" t="inlineStr">
        <is>
          <t>1998-12-10</t>
        </is>
      </c>
      <c r="W1629" t="inlineStr">
        <is>
          <t>1993-03-05</t>
        </is>
      </c>
      <c r="X1629" t="inlineStr">
        <is>
          <t>1993-03-05</t>
        </is>
      </c>
      <c r="Y1629" t="n">
        <v>391</v>
      </c>
      <c r="Z1629" t="n">
        <v>316</v>
      </c>
      <c r="AA1629" t="n">
        <v>323</v>
      </c>
      <c r="AB1629" t="n">
        <v>1</v>
      </c>
      <c r="AC1629" t="n">
        <v>1</v>
      </c>
      <c r="AD1629" t="n">
        <v>11</v>
      </c>
      <c r="AE1629" t="n">
        <v>11</v>
      </c>
      <c r="AF1629" t="n">
        <v>6</v>
      </c>
      <c r="AG1629" t="n">
        <v>6</v>
      </c>
      <c r="AH1629" t="n">
        <v>2</v>
      </c>
      <c r="AI1629" t="n">
        <v>2</v>
      </c>
      <c r="AJ1629" t="n">
        <v>9</v>
      </c>
      <c r="AK1629" t="n">
        <v>9</v>
      </c>
      <c r="AL1629" t="n">
        <v>0</v>
      </c>
      <c r="AM1629" t="n">
        <v>0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HYPERLINK("http://catalog.hathitrust.org/Record/000304216","HathiTrust Record")</f>
        <v/>
      </c>
      <c r="AS1629">
        <f>HYPERLINK("https://creighton-primo.hosted.exlibrisgroup.com/primo-explore/search?tab=default_tab&amp;search_scope=EVERYTHING&amp;vid=01CRU&amp;lang=en_US&amp;offset=0&amp;query=any,contains,991005126599702656","Catalog Record")</f>
        <v/>
      </c>
      <c r="AT1629">
        <f>HYPERLINK("http://www.worldcat.org/oclc/7553921","WorldCat Record")</f>
        <v/>
      </c>
      <c r="AU1629" t="inlineStr">
        <is>
          <t>54447983:eng</t>
        </is>
      </c>
      <c r="AV1629" t="inlineStr">
        <is>
          <t>7553921</t>
        </is>
      </c>
      <c r="AW1629" t="inlineStr">
        <is>
          <t>991005126599702656</t>
        </is>
      </c>
      <c r="AX1629" t="inlineStr">
        <is>
          <t>991005126599702656</t>
        </is>
      </c>
      <c r="AY1629" t="inlineStr">
        <is>
          <t>2265082590002656</t>
        </is>
      </c>
      <c r="AZ1629" t="inlineStr">
        <is>
          <t>BOOK</t>
        </is>
      </c>
      <c r="BB1629" t="inlineStr">
        <is>
          <t>9780879333980</t>
        </is>
      </c>
      <c r="BC1629" t="inlineStr">
        <is>
          <t>32285001551554</t>
        </is>
      </c>
      <c r="BD1629" t="inlineStr">
        <is>
          <t>893526945</t>
        </is>
      </c>
    </row>
    <row r="1630">
      <c r="A1630" t="inlineStr">
        <is>
          <t>No</t>
        </is>
      </c>
      <c r="B1630" t="inlineStr">
        <is>
          <t>QH84.8 .B5713 1996</t>
        </is>
      </c>
      <c r="C1630" t="inlineStr">
        <is>
          <t>0                      QH 0084800B  5713        1996</t>
        </is>
      </c>
      <c r="D1630" t="inlineStr">
        <is>
          <t>Methods in soil biology / Franz Schinner ... [et al.] (eds.).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Biologische Arbeitsmethoden. English.</t>
        </is>
      </c>
      <c r="L1630" t="inlineStr">
        <is>
          <t>Berlin ; New York : Springer, c1996.</t>
        </is>
      </c>
      <c r="M1630" t="inlineStr">
        <is>
          <t>1996</t>
        </is>
      </c>
      <c r="O1630" t="inlineStr">
        <is>
          <t>eng</t>
        </is>
      </c>
      <c r="P1630" t="inlineStr">
        <is>
          <t xml:space="preserve">gw </t>
        </is>
      </c>
      <c r="Q1630" t="inlineStr">
        <is>
          <t>Springer lab manual</t>
        </is>
      </c>
      <c r="R1630" t="inlineStr">
        <is>
          <t xml:space="preserve">QH </t>
        </is>
      </c>
      <c r="S1630" t="n">
        <v>7</v>
      </c>
      <c r="T1630" t="n">
        <v>7</v>
      </c>
      <c r="U1630" t="inlineStr">
        <is>
          <t>1999-04-02</t>
        </is>
      </c>
      <c r="V1630" t="inlineStr">
        <is>
          <t>1999-04-02</t>
        </is>
      </c>
      <c r="W1630" t="inlineStr">
        <is>
          <t>1997-09-30</t>
        </is>
      </c>
      <c r="X1630" t="inlineStr">
        <is>
          <t>1997-09-30</t>
        </is>
      </c>
      <c r="Y1630" t="n">
        <v>155</v>
      </c>
      <c r="Z1630" t="n">
        <v>79</v>
      </c>
      <c r="AA1630" t="n">
        <v>110</v>
      </c>
      <c r="AB1630" t="n">
        <v>2</v>
      </c>
      <c r="AC1630" t="n">
        <v>2</v>
      </c>
      <c r="AD1630" t="n">
        <v>2</v>
      </c>
      <c r="AE1630" t="n">
        <v>2</v>
      </c>
      <c r="AF1630" t="n">
        <v>0</v>
      </c>
      <c r="AG1630" t="n">
        <v>0</v>
      </c>
      <c r="AH1630" t="n">
        <v>0</v>
      </c>
      <c r="AI1630" t="n">
        <v>0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HYPERLINK("http://catalog.hathitrust.org/Record/003084345","HathiTrust Record")</f>
        <v/>
      </c>
      <c r="AS1630">
        <f>HYPERLINK("https://creighton-primo.hosted.exlibrisgroup.com/primo-explore/search?tab=default_tab&amp;search_scope=EVERYTHING&amp;vid=01CRU&amp;lang=en_US&amp;offset=0&amp;query=any,contains,991002529789702656","Catalog Record")</f>
        <v/>
      </c>
      <c r="AT1630">
        <f>HYPERLINK("http://www.worldcat.org/oclc/32890886","WorldCat Record")</f>
        <v/>
      </c>
      <c r="AU1630" t="inlineStr">
        <is>
          <t>353564846:eng</t>
        </is>
      </c>
      <c r="AV1630" t="inlineStr">
        <is>
          <t>32890886</t>
        </is>
      </c>
      <c r="AW1630" t="inlineStr">
        <is>
          <t>991002529789702656</t>
        </is>
      </c>
      <c r="AX1630" t="inlineStr">
        <is>
          <t>991002529789702656</t>
        </is>
      </c>
      <c r="AY1630" t="inlineStr">
        <is>
          <t>2255515050002656</t>
        </is>
      </c>
      <c r="AZ1630" t="inlineStr">
        <is>
          <t>BOOK</t>
        </is>
      </c>
      <c r="BB1630" t="inlineStr">
        <is>
          <t>9783540590552</t>
        </is>
      </c>
      <c r="BC1630" t="inlineStr">
        <is>
          <t>32285003251229</t>
        </is>
      </c>
      <c r="BD1630" t="inlineStr">
        <is>
          <t>893498226</t>
        </is>
      </c>
    </row>
    <row r="1631">
      <c r="A1631" t="inlineStr">
        <is>
          <t>No</t>
        </is>
      </c>
      <c r="B1631" t="inlineStr">
        <is>
          <t>QH84.8 .M47 1996</t>
        </is>
      </c>
      <c r="C1631" t="inlineStr">
        <is>
          <t>0                      QH 0084800M  47          1996</t>
        </is>
      </c>
      <c r="D1631" t="inlineStr">
        <is>
          <t>Methods for the examination of organismal diversity in soils and sediments / edited by Geoffrey S. Hall ; project coordinators, Pierre Lasserre and David L. Hawksworth.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Wallingford, Oxon, UK ; New York, NY, USA : CAB International in association with United Nations Educational, Scientific and Cultural Organization (UNESCO) and the International Union of Biological Sciences (IUBS), c1996.</t>
        </is>
      </c>
      <c r="M1631" t="inlineStr">
        <is>
          <t>1996</t>
        </is>
      </c>
      <c r="O1631" t="inlineStr">
        <is>
          <t>eng</t>
        </is>
      </c>
      <c r="P1631" t="inlineStr">
        <is>
          <t>enk</t>
        </is>
      </c>
      <c r="R1631" t="inlineStr">
        <is>
          <t xml:space="preserve">QH </t>
        </is>
      </c>
      <c r="S1631" t="n">
        <v>30</v>
      </c>
      <c r="T1631" t="n">
        <v>30</v>
      </c>
      <c r="U1631" t="inlineStr">
        <is>
          <t>2004-10-14</t>
        </is>
      </c>
      <c r="V1631" t="inlineStr">
        <is>
          <t>2004-10-14</t>
        </is>
      </c>
      <c r="W1631" t="inlineStr">
        <is>
          <t>1997-05-22</t>
        </is>
      </c>
      <c r="X1631" t="inlineStr">
        <is>
          <t>1997-05-22</t>
        </is>
      </c>
      <c r="Y1631" t="n">
        <v>368</v>
      </c>
      <c r="Z1631" t="n">
        <v>264</v>
      </c>
      <c r="AA1631" t="n">
        <v>265</v>
      </c>
      <c r="AB1631" t="n">
        <v>2</v>
      </c>
      <c r="AC1631" t="n">
        <v>2</v>
      </c>
      <c r="AD1631" t="n">
        <v>7</v>
      </c>
      <c r="AE1631" t="n">
        <v>7</v>
      </c>
      <c r="AF1631" t="n">
        <v>2</v>
      </c>
      <c r="AG1631" t="n">
        <v>2</v>
      </c>
      <c r="AH1631" t="n">
        <v>2</v>
      </c>
      <c r="AI1631" t="n">
        <v>2</v>
      </c>
      <c r="AJ1631" t="n">
        <v>3</v>
      </c>
      <c r="AK1631" t="n">
        <v>3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Yes</t>
        </is>
      </c>
      <c r="AR1631">
        <f>HYPERLINK("http://catalog.hathitrust.org/Record/003146372","HathiTrust Record")</f>
        <v/>
      </c>
      <c r="AS1631">
        <f>HYPERLINK("https://creighton-primo.hosted.exlibrisgroup.com/primo-explore/search?tab=default_tab&amp;search_scope=EVERYTHING&amp;vid=01CRU&amp;lang=en_US&amp;offset=0&amp;query=any,contains,991002737739702656","Catalog Record")</f>
        <v/>
      </c>
      <c r="AT1631">
        <f>HYPERLINK("http://www.worldcat.org/oclc/37277701","WorldCat Record")</f>
        <v/>
      </c>
      <c r="AU1631" t="inlineStr">
        <is>
          <t>350570121:eng</t>
        </is>
      </c>
      <c r="AV1631" t="inlineStr">
        <is>
          <t>37277701</t>
        </is>
      </c>
      <c r="AW1631" t="inlineStr">
        <is>
          <t>991002737739702656</t>
        </is>
      </c>
      <c r="AX1631" t="inlineStr">
        <is>
          <t>991002737739702656</t>
        </is>
      </c>
      <c r="AY1631" t="inlineStr">
        <is>
          <t>2259402570002656</t>
        </is>
      </c>
      <c r="AZ1631" t="inlineStr">
        <is>
          <t>BOOK</t>
        </is>
      </c>
      <c r="BB1631" t="inlineStr">
        <is>
          <t>9780851991498</t>
        </is>
      </c>
      <c r="BC1631" t="inlineStr">
        <is>
          <t>32285002611134</t>
        </is>
      </c>
      <c r="BD1631" t="inlineStr">
        <is>
          <t>893233359</t>
        </is>
      </c>
    </row>
    <row r="1632">
      <c r="A1632" t="inlineStr">
        <is>
          <t>No</t>
        </is>
      </c>
      <c r="B1632" t="inlineStr">
        <is>
          <t>QH84.8 .P54</t>
        </is>
      </c>
      <c r="C1632" t="inlineStr">
        <is>
          <t>0                      QH 0084800P  54</t>
        </is>
      </c>
      <c r="D1632" t="inlineStr">
        <is>
          <t>Methods of study in quantitative soil ecology : population, production and energy flow / edited by J. Phillipson.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Phillipson, John, 1927-</t>
        </is>
      </c>
      <c r="L1632" t="inlineStr">
        <is>
          <t>Oxford : Blackwell Scientific Publications Ltd [for] the International Biological Programme, 1971.</t>
        </is>
      </c>
      <c r="M1632" t="inlineStr">
        <is>
          <t>1971</t>
        </is>
      </c>
      <c r="O1632" t="inlineStr">
        <is>
          <t>eng</t>
        </is>
      </c>
      <c r="P1632" t="inlineStr">
        <is>
          <t>enk</t>
        </is>
      </c>
      <c r="Q1632" t="inlineStr">
        <is>
          <t>IBP handbook no. 18</t>
        </is>
      </c>
      <c r="R1632" t="inlineStr">
        <is>
          <t xml:space="preserve">QH </t>
        </is>
      </c>
      <c r="S1632" t="n">
        <v>6</v>
      </c>
      <c r="T1632" t="n">
        <v>6</v>
      </c>
      <c r="U1632" t="inlineStr">
        <is>
          <t>1996-05-07</t>
        </is>
      </c>
      <c r="V1632" t="inlineStr">
        <is>
          <t>1996-05-07</t>
        </is>
      </c>
      <c r="W1632" t="inlineStr">
        <is>
          <t>1994-12-12</t>
        </is>
      </c>
      <c r="X1632" t="inlineStr">
        <is>
          <t>1994-12-12</t>
        </is>
      </c>
      <c r="Y1632" t="n">
        <v>406</v>
      </c>
      <c r="Z1632" t="n">
        <v>265</v>
      </c>
      <c r="AA1632" t="n">
        <v>266</v>
      </c>
      <c r="AB1632" t="n">
        <v>4</v>
      </c>
      <c r="AC1632" t="n">
        <v>4</v>
      </c>
      <c r="AD1632" t="n">
        <v>8</v>
      </c>
      <c r="AE1632" t="n">
        <v>8</v>
      </c>
      <c r="AF1632" t="n">
        <v>1</v>
      </c>
      <c r="AG1632" t="n">
        <v>1</v>
      </c>
      <c r="AH1632" t="n">
        <v>2</v>
      </c>
      <c r="AI1632" t="n">
        <v>2</v>
      </c>
      <c r="AJ1632" t="n">
        <v>3</v>
      </c>
      <c r="AK1632" t="n">
        <v>3</v>
      </c>
      <c r="AL1632" t="n">
        <v>3</v>
      </c>
      <c r="AM1632" t="n">
        <v>3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No</t>
        </is>
      </c>
      <c r="AS1632">
        <f>HYPERLINK("https://creighton-primo.hosted.exlibrisgroup.com/primo-explore/search?tab=default_tab&amp;search_scope=EVERYTHING&amp;vid=01CRU&amp;lang=en_US&amp;offset=0&amp;query=any,contains,991002391119702656","Catalog Record")</f>
        <v/>
      </c>
      <c r="AT1632">
        <f>HYPERLINK("http://www.worldcat.org/oclc/332493","WorldCat Record")</f>
        <v/>
      </c>
      <c r="AU1632" t="inlineStr">
        <is>
          <t>1437759:eng</t>
        </is>
      </c>
      <c r="AV1632" t="inlineStr">
        <is>
          <t>332493</t>
        </is>
      </c>
      <c r="AW1632" t="inlineStr">
        <is>
          <t>991002391119702656</t>
        </is>
      </c>
      <c r="AX1632" t="inlineStr">
        <is>
          <t>991002391119702656</t>
        </is>
      </c>
      <c r="AY1632" t="inlineStr">
        <is>
          <t>2257767500002656</t>
        </is>
      </c>
      <c r="AZ1632" t="inlineStr">
        <is>
          <t>BOOK</t>
        </is>
      </c>
      <c r="BB1632" t="inlineStr">
        <is>
          <t>9780632056804</t>
        </is>
      </c>
      <c r="BC1632" t="inlineStr">
        <is>
          <t>32285001981405</t>
        </is>
      </c>
      <c r="BD1632" t="inlineStr">
        <is>
          <t>893616059</t>
        </is>
      </c>
    </row>
    <row r="1633">
      <c r="A1633" t="inlineStr">
        <is>
          <t>No</t>
        </is>
      </c>
      <c r="B1633" t="inlineStr">
        <is>
          <t>QH85 .B47</t>
        </is>
      </c>
      <c r="C1633" t="inlineStr">
        <is>
          <t>0                      QH 0085000B  47</t>
        </is>
      </c>
      <c r="D1633" t="inlineStr">
        <is>
          <t>The life of sea islands / [by] N. J. Berrill and Michael Berrill.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Berrill, N. J. (Norman John), 1903-1996.</t>
        </is>
      </c>
      <c r="L1633" t="inlineStr">
        <is>
          <t>New York : McGraw-Hill, [1969]</t>
        </is>
      </c>
      <c r="M1633" t="inlineStr">
        <is>
          <t>1969</t>
        </is>
      </c>
      <c r="O1633" t="inlineStr">
        <is>
          <t>eng</t>
        </is>
      </c>
      <c r="P1633" t="inlineStr">
        <is>
          <t>nyu</t>
        </is>
      </c>
      <c r="Q1633" t="inlineStr">
        <is>
          <t>Our living world of nature</t>
        </is>
      </c>
      <c r="R1633" t="inlineStr">
        <is>
          <t xml:space="preserve">QH </t>
        </is>
      </c>
      <c r="S1633" t="n">
        <v>3</v>
      </c>
      <c r="T1633" t="n">
        <v>3</v>
      </c>
      <c r="U1633" t="inlineStr">
        <is>
          <t>2007-02-05</t>
        </is>
      </c>
      <c r="V1633" t="inlineStr">
        <is>
          <t>2007-02-05</t>
        </is>
      </c>
      <c r="W1633" t="inlineStr">
        <is>
          <t>1993-11-30</t>
        </is>
      </c>
      <c r="X1633" t="inlineStr">
        <is>
          <t>1993-11-30</t>
        </is>
      </c>
      <c r="Y1633" t="n">
        <v>535</v>
      </c>
      <c r="Z1633" t="n">
        <v>490</v>
      </c>
      <c r="AA1633" t="n">
        <v>496</v>
      </c>
      <c r="AB1633" t="n">
        <v>6</v>
      </c>
      <c r="AC1633" t="n">
        <v>6</v>
      </c>
      <c r="AD1633" t="n">
        <v>13</v>
      </c>
      <c r="AE1633" t="n">
        <v>13</v>
      </c>
      <c r="AF1633" t="n">
        <v>4</v>
      </c>
      <c r="AG1633" t="n">
        <v>4</v>
      </c>
      <c r="AH1633" t="n">
        <v>2</v>
      </c>
      <c r="AI1633" t="n">
        <v>2</v>
      </c>
      <c r="AJ1633" t="n">
        <v>6</v>
      </c>
      <c r="AK1633" t="n">
        <v>6</v>
      </c>
      <c r="AL1633" t="n">
        <v>4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HYPERLINK("http://catalog.hathitrust.org/Record/006965219","HathiTrust Record")</f>
        <v/>
      </c>
      <c r="AS1633">
        <f>HYPERLINK("https://creighton-primo.hosted.exlibrisgroup.com/primo-explore/search?tab=default_tab&amp;search_scope=EVERYTHING&amp;vid=01CRU&amp;lang=en_US&amp;offset=0&amp;query=any,contains,991000059539702656","Catalog Record")</f>
        <v/>
      </c>
      <c r="AT1633">
        <f>HYPERLINK("http://www.worldcat.org/oclc/24292","WorldCat Record")</f>
        <v/>
      </c>
      <c r="AU1633" t="inlineStr">
        <is>
          <t>422313770:eng</t>
        </is>
      </c>
      <c r="AV1633" t="inlineStr">
        <is>
          <t>24292</t>
        </is>
      </c>
      <c r="AW1633" t="inlineStr">
        <is>
          <t>991000059539702656</t>
        </is>
      </c>
      <c r="AX1633" t="inlineStr">
        <is>
          <t>991000059539702656</t>
        </is>
      </c>
      <c r="AY1633" t="inlineStr">
        <is>
          <t>2266744750002656</t>
        </is>
      </c>
      <c r="AZ1633" t="inlineStr">
        <is>
          <t>BOOK</t>
        </is>
      </c>
      <c r="BC1633" t="inlineStr">
        <is>
          <t>32285001689529</t>
        </is>
      </c>
      <c r="BD1633" t="inlineStr">
        <is>
          <t>893230840</t>
        </is>
      </c>
    </row>
    <row r="1634">
      <c r="A1634" t="inlineStr">
        <is>
          <t>No</t>
        </is>
      </c>
      <c r="B1634" t="inlineStr">
        <is>
          <t>QH85 .M3</t>
        </is>
      </c>
      <c r="C1634" t="inlineStr">
        <is>
          <t>0                      QH 0085000M  3</t>
        </is>
      </c>
      <c r="D1634" t="inlineStr">
        <is>
          <t>The theory of island biogeography [by] Robert H. MacArthur and Edward O. Wilson.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K1634" t="inlineStr">
        <is>
          <t>MacArthur, Robert H.</t>
        </is>
      </c>
      <c r="L1634" t="inlineStr">
        <is>
          <t>Princeton, N.J., Princeton University Press, 1967.</t>
        </is>
      </c>
      <c r="M1634" t="inlineStr">
        <is>
          <t>1967</t>
        </is>
      </c>
      <c r="O1634" t="inlineStr">
        <is>
          <t>eng</t>
        </is>
      </c>
      <c r="P1634" t="inlineStr">
        <is>
          <t>nju</t>
        </is>
      </c>
      <c r="Q1634" t="inlineStr">
        <is>
          <t>Monographs in population biology ; 1</t>
        </is>
      </c>
      <c r="R1634" t="inlineStr">
        <is>
          <t xml:space="preserve">QH </t>
        </is>
      </c>
      <c r="S1634" t="n">
        <v>2</v>
      </c>
      <c r="T1634" t="n">
        <v>2</v>
      </c>
      <c r="U1634" t="inlineStr">
        <is>
          <t>2007-02-06</t>
        </is>
      </c>
      <c r="V1634" t="inlineStr">
        <is>
          <t>2007-02-06</t>
        </is>
      </c>
      <c r="W1634" t="inlineStr">
        <is>
          <t>1997-06-27</t>
        </is>
      </c>
      <c r="X1634" t="inlineStr">
        <is>
          <t>1997-06-27</t>
        </is>
      </c>
      <c r="Y1634" t="n">
        <v>1063</v>
      </c>
      <c r="Z1634" t="n">
        <v>837</v>
      </c>
      <c r="AA1634" t="n">
        <v>1058</v>
      </c>
      <c r="AB1634" t="n">
        <v>6</v>
      </c>
      <c r="AC1634" t="n">
        <v>8</v>
      </c>
      <c r="AD1634" t="n">
        <v>32</v>
      </c>
      <c r="AE1634" t="n">
        <v>43</v>
      </c>
      <c r="AF1634" t="n">
        <v>15</v>
      </c>
      <c r="AG1634" t="n">
        <v>20</v>
      </c>
      <c r="AH1634" t="n">
        <v>6</v>
      </c>
      <c r="AI1634" t="n">
        <v>8</v>
      </c>
      <c r="AJ1634" t="n">
        <v>12</v>
      </c>
      <c r="AK1634" t="n">
        <v>18</v>
      </c>
      <c r="AL1634" t="n">
        <v>5</v>
      </c>
      <c r="AM1634" t="n">
        <v>7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HYPERLINK("http://catalog.hathitrust.org/Record/000229593","HathiTrust Record")</f>
        <v/>
      </c>
      <c r="AS1634">
        <f>HYPERLINK("https://creighton-primo.hosted.exlibrisgroup.com/primo-explore/search?tab=default_tab&amp;search_scope=EVERYTHING&amp;vid=01CRU&amp;lang=en_US&amp;offset=0&amp;query=any,contains,991001936269702656","Catalog Record")</f>
        <v/>
      </c>
      <c r="AT1634">
        <f>HYPERLINK("http://www.worldcat.org/oclc/250558","WorldCat Record")</f>
        <v/>
      </c>
      <c r="AU1634" t="inlineStr">
        <is>
          <t>1337086:eng</t>
        </is>
      </c>
      <c r="AV1634" t="inlineStr">
        <is>
          <t>250558</t>
        </is>
      </c>
      <c r="AW1634" t="inlineStr">
        <is>
          <t>991001936269702656</t>
        </is>
      </c>
      <c r="AX1634" t="inlineStr">
        <is>
          <t>991001936269702656</t>
        </is>
      </c>
      <c r="AY1634" t="inlineStr">
        <is>
          <t>2266911610002656</t>
        </is>
      </c>
      <c r="AZ1634" t="inlineStr">
        <is>
          <t>BOOK</t>
        </is>
      </c>
      <c r="BC1634" t="inlineStr">
        <is>
          <t>32285002865680</t>
        </is>
      </c>
      <c r="BD1634" t="inlineStr">
        <is>
          <t>893346914</t>
        </is>
      </c>
    </row>
    <row r="1635">
      <c r="A1635" t="inlineStr">
        <is>
          <t>No</t>
        </is>
      </c>
      <c r="B1635" t="inlineStr">
        <is>
          <t>QH87.3 .W46 1991</t>
        </is>
      </c>
      <c r="C1635" t="inlineStr">
        <is>
          <t>0                      QH 0087300W  46          1991</t>
        </is>
      </c>
      <c r="D1635" t="inlineStr">
        <is>
          <t>Wetlands / general editors, Max Finlayson and Michael Moser ; International Waterfowl and Wetlands Research Bureau.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Oxford ; New York : Facts on File, c1991.</t>
        </is>
      </c>
      <c r="M1635" t="inlineStr">
        <is>
          <t>1991</t>
        </is>
      </c>
      <c r="O1635" t="inlineStr">
        <is>
          <t>eng</t>
        </is>
      </c>
      <c r="P1635" t="inlineStr">
        <is>
          <t>enk</t>
        </is>
      </c>
      <c r="R1635" t="inlineStr">
        <is>
          <t xml:space="preserve">QH </t>
        </is>
      </c>
      <c r="S1635" t="n">
        <v>11</v>
      </c>
      <c r="T1635" t="n">
        <v>11</v>
      </c>
      <c r="U1635" t="inlineStr">
        <is>
          <t>2001-01-27</t>
        </is>
      </c>
      <c r="V1635" t="inlineStr">
        <is>
          <t>2001-01-27</t>
        </is>
      </c>
      <c r="W1635" t="inlineStr">
        <is>
          <t>1992-09-23</t>
        </is>
      </c>
      <c r="X1635" t="inlineStr">
        <is>
          <t>1992-09-23</t>
        </is>
      </c>
      <c r="Y1635" t="n">
        <v>1254</v>
      </c>
      <c r="Z1635" t="n">
        <v>1079</v>
      </c>
      <c r="AA1635" t="n">
        <v>1085</v>
      </c>
      <c r="AB1635" t="n">
        <v>8</v>
      </c>
      <c r="AC1635" t="n">
        <v>8</v>
      </c>
      <c r="AD1635" t="n">
        <v>30</v>
      </c>
      <c r="AE1635" t="n">
        <v>30</v>
      </c>
      <c r="AF1635" t="n">
        <v>13</v>
      </c>
      <c r="AG1635" t="n">
        <v>13</v>
      </c>
      <c r="AH1635" t="n">
        <v>5</v>
      </c>
      <c r="AI1635" t="n">
        <v>5</v>
      </c>
      <c r="AJ1635" t="n">
        <v>13</v>
      </c>
      <c r="AK1635" t="n">
        <v>13</v>
      </c>
      <c r="AL1635" t="n">
        <v>6</v>
      </c>
      <c r="AM1635" t="n">
        <v>6</v>
      </c>
      <c r="AN1635" t="n">
        <v>1</v>
      </c>
      <c r="AO1635" t="n">
        <v>1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HYPERLINK("https://creighton-primo.hosted.exlibrisgroup.com/primo-explore/search?tab=default_tab&amp;search_scope=EVERYTHING&amp;vid=01CRU&amp;lang=en_US&amp;offset=0&amp;query=any,contains,991001898579702656","Catalog Record")</f>
        <v/>
      </c>
      <c r="AT1635">
        <f>HYPERLINK("http://www.worldcat.org/oclc/23976614","WorldCat Record")</f>
        <v/>
      </c>
      <c r="AU1635" t="inlineStr">
        <is>
          <t>55482811:eng</t>
        </is>
      </c>
      <c r="AV1635" t="inlineStr">
        <is>
          <t>23976614</t>
        </is>
      </c>
      <c r="AW1635" t="inlineStr">
        <is>
          <t>991001898579702656</t>
        </is>
      </c>
      <c r="AX1635" t="inlineStr">
        <is>
          <t>991001898579702656</t>
        </is>
      </c>
      <c r="AY1635" t="inlineStr">
        <is>
          <t>2270060470002656</t>
        </is>
      </c>
      <c r="AZ1635" t="inlineStr">
        <is>
          <t>BOOK</t>
        </is>
      </c>
      <c r="BB1635" t="inlineStr">
        <is>
          <t>9780816025565</t>
        </is>
      </c>
      <c r="BC1635" t="inlineStr">
        <is>
          <t>32285001289080</t>
        </is>
      </c>
      <c r="BD1635" t="inlineStr">
        <is>
          <t>893697119</t>
        </is>
      </c>
    </row>
    <row r="1636">
      <c r="A1636" t="inlineStr">
        <is>
          <t>No</t>
        </is>
      </c>
      <c r="B1636" t="inlineStr">
        <is>
          <t>QH88 .C49 1965</t>
        </is>
      </c>
      <c r="C1636" t="inlineStr">
        <is>
          <t>0                      QH 0088000C  49          1965</t>
        </is>
      </c>
      <c r="D1636" t="inlineStr">
        <is>
          <t>Desert life / by J. L. Cloudsley-Thompson.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K1636" t="inlineStr">
        <is>
          <t>Cloudsley-Thompson, J. L.</t>
        </is>
      </c>
      <c r="L1636" t="inlineStr">
        <is>
          <t>Oxford ; New York : Pergamon Press, [1965]</t>
        </is>
      </c>
      <c r="M1636" t="inlineStr">
        <is>
          <t>1965</t>
        </is>
      </c>
      <c r="N1636" t="inlineStr">
        <is>
          <t>[1st ed.]</t>
        </is>
      </c>
      <c r="O1636" t="inlineStr">
        <is>
          <t>eng</t>
        </is>
      </c>
      <c r="P1636" t="inlineStr">
        <is>
          <t>enk</t>
        </is>
      </c>
      <c r="Q1636" t="inlineStr">
        <is>
          <t>The Commonwealth and international library. Biology division</t>
        </is>
      </c>
      <c r="R1636" t="inlineStr">
        <is>
          <t xml:space="preserve">QH </t>
        </is>
      </c>
      <c r="S1636" t="n">
        <v>7</v>
      </c>
      <c r="T1636" t="n">
        <v>7</v>
      </c>
      <c r="U1636" t="inlineStr">
        <is>
          <t>1997-02-20</t>
        </is>
      </c>
      <c r="V1636" t="inlineStr">
        <is>
          <t>1997-02-20</t>
        </is>
      </c>
      <c r="W1636" t="inlineStr">
        <is>
          <t>1993-05-11</t>
        </is>
      </c>
      <c r="X1636" t="inlineStr">
        <is>
          <t>1993-05-11</t>
        </is>
      </c>
      <c r="Y1636" t="n">
        <v>399</v>
      </c>
      <c r="Z1636" t="n">
        <v>321</v>
      </c>
      <c r="AA1636" t="n">
        <v>470</v>
      </c>
      <c r="AB1636" t="n">
        <v>6</v>
      </c>
      <c r="AC1636" t="n">
        <v>7</v>
      </c>
      <c r="AD1636" t="n">
        <v>17</v>
      </c>
      <c r="AE1636" t="n">
        <v>17</v>
      </c>
      <c r="AF1636" t="n">
        <v>5</v>
      </c>
      <c r="AG1636" t="n">
        <v>5</v>
      </c>
      <c r="AH1636" t="n">
        <v>3</v>
      </c>
      <c r="AI1636" t="n">
        <v>3</v>
      </c>
      <c r="AJ1636" t="n">
        <v>5</v>
      </c>
      <c r="AK1636" t="n">
        <v>5</v>
      </c>
      <c r="AL1636" t="n">
        <v>5</v>
      </c>
      <c r="AM1636" t="n">
        <v>5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Yes</t>
        </is>
      </c>
      <c r="AR1636">
        <f>HYPERLINK("http://catalog.hathitrust.org/Record/007156813","HathiTrust Record")</f>
        <v/>
      </c>
      <c r="AS1636">
        <f>HYPERLINK("https://creighton-primo.hosted.exlibrisgroup.com/primo-explore/search?tab=default_tab&amp;search_scope=EVERYTHING&amp;vid=01CRU&amp;lang=en_US&amp;offset=0&amp;query=any,contains,991003119599702656","Catalog Record")</f>
        <v/>
      </c>
      <c r="AT1636">
        <f>HYPERLINK("http://www.worldcat.org/oclc/665277","WorldCat Record")</f>
        <v/>
      </c>
      <c r="AU1636" t="inlineStr">
        <is>
          <t>1671356:eng</t>
        </is>
      </c>
      <c r="AV1636" t="inlineStr">
        <is>
          <t>665277</t>
        </is>
      </c>
      <c r="AW1636" t="inlineStr">
        <is>
          <t>991003119599702656</t>
        </is>
      </c>
      <c r="AX1636" t="inlineStr">
        <is>
          <t>991003119599702656</t>
        </is>
      </c>
      <c r="AY1636" t="inlineStr">
        <is>
          <t>2272663260002656</t>
        </is>
      </c>
      <c r="AZ1636" t="inlineStr">
        <is>
          <t>BOOK</t>
        </is>
      </c>
      <c r="BC1636" t="inlineStr">
        <is>
          <t>32285001652923</t>
        </is>
      </c>
      <c r="BD1636" t="inlineStr">
        <is>
          <t>893524431</t>
        </is>
      </c>
    </row>
    <row r="1637">
      <c r="A1637" t="inlineStr">
        <is>
          <t>No</t>
        </is>
      </c>
      <c r="B1637" t="inlineStr">
        <is>
          <t>QH88 .G4613</t>
        </is>
      </c>
      <c r="C1637" t="inlineStr">
        <is>
          <t>0                      QH 0088000G  4613</t>
        </is>
      </c>
      <c r="D1637" t="inlineStr">
        <is>
          <t>In the deserts of this Earth / Uwe George ; translated from the German by Richard and Clara Winston.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George, Uwe, 1940-</t>
        </is>
      </c>
      <c r="L1637" t="inlineStr">
        <is>
          <t>New York : Harcourt Brace Jovanovich, c1977.</t>
        </is>
      </c>
      <c r="M1637" t="inlineStr">
        <is>
          <t>1977</t>
        </is>
      </c>
      <c r="N1637" t="inlineStr">
        <is>
          <t>1st ed.</t>
        </is>
      </c>
      <c r="O1637" t="inlineStr">
        <is>
          <t>eng</t>
        </is>
      </c>
      <c r="P1637" t="inlineStr">
        <is>
          <t>nyu</t>
        </is>
      </c>
      <c r="R1637" t="inlineStr">
        <is>
          <t xml:space="preserve">QH </t>
        </is>
      </c>
      <c r="S1637" t="n">
        <v>9</v>
      </c>
      <c r="T1637" t="n">
        <v>9</v>
      </c>
      <c r="U1637" t="inlineStr">
        <is>
          <t>1997-02-24</t>
        </is>
      </c>
      <c r="V1637" t="inlineStr">
        <is>
          <t>1997-02-24</t>
        </is>
      </c>
      <c r="W1637" t="inlineStr">
        <is>
          <t>1990-04-10</t>
        </is>
      </c>
      <c r="X1637" t="inlineStr">
        <is>
          <t>1990-04-10</t>
        </is>
      </c>
      <c r="Y1637" t="n">
        <v>844</v>
      </c>
      <c r="Z1637" t="n">
        <v>793</v>
      </c>
      <c r="AA1637" t="n">
        <v>865</v>
      </c>
      <c r="AB1637" t="n">
        <v>6</v>
      </c>
      <c r="AC1637" t="n">
        <v>6</v>
      </c>
      <c r="AD1637" t="n">
        <v>16</v>
      </c>
      <c r="AE1637" t="n">
        <v>20</v>
      </c>
      <c r="AF1637" t="n">
        <v>5</v>
      </c>
      <c r="AG1637" t="n">
        <v>7</v>
      </c>
      <c r="AH1637" t="n">
        <v>3</v>
      </c>
      <c r="AI1637" t="n">
        <v>4</v>
      </c>
      <c r="AJ1637" t="n">
        <v>7</v>
      </c>
      <c r="AK1637" t="n">
        <v>9</v>
      </c>
      <c r="AL1637" t="n">
        <v>4</v>
      </c>
      <c r="AM1637" t="n">
        <v>4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Yes</t>
        </is>
      </c>
      <c r="AR1637">
        <f>HYPERLINK("http://catalog.hathitrust.org/Record/010095756","HathiTrust Record")</f>
        <v/>
      </c>
      <c r="AS1637">
        <f>HYPERLINK("https://creighton-primo.hosted.exlibrisgroup.com/primo-explore/search?tab=default_tab&amp;search_scope=EVERYTHING&amp;vid=01CRU&amp;lang=en_US&amp;offset=0&amp;query=any,contains,991004313059702656","Catalog Record")</f>
        <v/>
      </c>
      <c r="AT1637">
        <f>HYPERLINK("http://www.worldcat.org/oclc/3001999","WorldCat Record")</f>
        <v/>
      </c>
      <c r="AU1637" t="inlineStr">
        <is>
          <t>10567258520:eng</t>
        </is>
      </c>
      <c r="AV1637" t="inlineStr">
        <is>
          <t>3001999</t>
        </is>
      </c>
      <c r="AW1637" t="inlineStr">
        <is>
          <t>991004313059702656</t>
        </is>
      </c>
      <c r="AX1637" t="inlineStr">
        <is>
          <t>991004313059702656</t>
        </is>
      </c>
      <c r="AY1637" t="inlineStr">
        <is>
          <t>2272124090002656</t>
        </is>
      </c>
      <c r="AZ1637" t="inlineStr">
        <is>
          <t>BOOK</t>
        </is>
      </c>
      <c r="BB1637" t="inlineStr">
        <is>
          <t>9780151446100</t>
        </is>
      </c>
      <c r="BC1637" t="inlineStr">
        <is>
          <t>32285000103795</t>
        </is>
      </c>
      <c r="BD1637" t="inlineStr">
        <is>
          <t>893259581</t>
        </is>
      </c>
    </row>
    <row r="1638">
      <c r="A1638" t="inlineStr">
        <is>
          <t>No</t>
        </is>
      </c>
      <c r="B1638" t="inlineStr">
        <is>
          <t>QH88 .J3</t>
        </is>
      </c>
      <c r="C1638" t="inlineStr">
        <is>
          <t>0                      QH 0088000J  3</t>
        </is>
      </c>
      <c r="D1638" t="inlineStr">
        <is>
          <t>The North American deserts / with a chapter by Peveril Meigs and illus. by John D. Briggs [and others]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Jaeger, Edmund C. (Edmund Carroll), 1887-1983.</t>
        </is>
      </c>
      <c r="L1638" t="inlineStr">
        <is>
          <t>Stanford, Calif. : Stanford University Press, 1957.</t>
        </is>
      </c>
      <c r="M1638" t="inlineStr">
        <is>
          <t>1957</t>
        </is>
      </c>
      <c r="O1638" t="inlineStr">
        <is>
          <t>eng</t>
        </is>
      </c>
      <c r="P1638" t="inlineStr">
        <is>
          <t>cau</t>
        </is>
      </c>
      <c r="R1638" t="inlineStr">
        <is>
          <t xml:space="preserve">QH </t>
        </is>
      </c>
      <c r="S1638" t="n">
        <v>12</v>
      </c>
      <c r="T1638" t="n">
        <v>12</v>
      </c>
      <c r="U1638" t="inlineStr">
        <is>
          <t>2003-02-23</t>
        </is>
      </c>
      <c r="V1638" t="inlineStr">
        <is>
          <t>2003-02-23</t>
        </is>
      </c>
      <c r="W1638" t="inlineStr">
        <is>
          <t>1990-04-10</t>
        </is>
      </c>
      <c r="X1638" t="inlineStr">
        <is>
          <t>1990-04-10</t>
        </is>
      </c>
      <c r="Y1638" t="n">
        <v>1229</v>
      </c>
      <c r="Z1638" t="n">
        <v>1137</v>
      </c>
      <c r="AA1638" t="n">
        <v>1149</v>
      </c>
      <c r="AB1638" t="n">
        <v>9</v>
      </c>
      <c r="AC1638" t="n">
        <v>9</v>
      </c>
      <c r="AD1638" t="n">
        <v>28</v>
      </c>
      <c r="AE1638" t="n">
        <v>28</v>
      </c>
      <c r="AF1638" t="n">
        <v>11</v>
      </c>
      <c r="AG1638" t="n">
        <v>11</v>
      </c>
      <c r="AH1638" t="n">
        <v>5</v>
      </c>
      <c r="AI1638" t="n">
        <v>5</v>
      </c>
      <c r="AJ1638" t="n">
        <v>9</v>
      </c>
      <c r="AK1638" t="n">
        <v>9</v>
      </c>
      <c r="AL1638" t="n">
        <v>8</v>
      </c>
      <c r="AM1638" t="n">
        <v>8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No</t>
        </is>
      </c>
      <c r="AS1638">
        <f>HYPERLINK("https://creighton-primo.hosted.exlibrisgroup.com/primo-explore/search?tab=default_tab&amp;search_scope=EVERYTHING&amp;vid=01CRU&amp;lang=en_US&amp;offset=0&amp;query=any,contains,991002895779702656","Catalog Record")</f>
        <v/>
      </c>
      <c r="AT1638">
        <f>HYPERLINK("http://www.worldcat.org/oclc/514176","WorldCat Record")</f>
        <v/>
      </c>
      <c r="AU1638" t="inlineStr">
        <is>
          <t>195621079:eng</t>
        </is>
      </c>
      <c r="AV1638" t="inlineStr">
        <is>
          <t>514176</t>
        </is>
      </c>
      <c r="AW1638" t="inlineStr">
        <is>
          <t>991002895779702656</t>
        </is>
      </c>
      <c r="AX1638" t="inlineStr">
        <is>
          <t>991002895779702656</t>
        </is>
      </c>
      <c r="AY1638" t="inlineStr">
        <is>
          <t>2261968770002656</t>
        </is>
      </c>
      <c r="AZ1638" t="inlineStr">
        <is>
          <t>BOOK</t>
        </is>
      </c>
      <c r="BC1638" t="inlineStr">
        <is>
          <t>32285000103787</t>
        </is>
      </c>
      <c r="BD1638" t="inlineStr">
        <is>
          <t>893245787</t>
        </is>
      </c>
    </row>
    <row r="1639">
      <c r="A1639" t="inlineStr">
        <is>
          <t>No</t>
        </is>
      </c>
      <c r="B1639" t="inlineStr">
        <is>
          <t>QH88 .O4</t>
        </is>
      </c>
      <c r="C1639" t="inlineStr">
        <is>
          <t>0                      QH 0088000O  4</t>
        </is>
      </c>
      <c r="D1639" t="inlineStr">
        <is>
          <t>The intimate desert / illus. by C. M. Palmer, Jr.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O'Kane, Walter Collins, 1877-1973.</t>
        </is>
      </c>
      <c r="L1639" t="inlineStr">
        <is>
          <t>Tucson : University of Arizona Press, [1969]</t>
        </is>
      </c>
      <c r="M1639" t="inlineStr">
        <is>
          <t>1969</t>
        </is>
      </c>
      <c r="O1639" t="inlineStr">
        <is>
          <t>eng</t>
        </is>
      </c>
      <c r="P1639" t="inlineStr">
        <is>
          <t>azu</t>
        </is>
      </c>
      <c r="R1639" t="inlineStr">
        <is>
          <t xml:space="preserve">QH </t>
        </is>
      </c>
      <c r="S1639" t="n">
        <v>6</v>
      </c>
      <c r="T1639" t="n">
        <v>6</v>
      </c>
      <c r="U1639" t="inlineStr">
        <is>
          <t>1995-01-13</t>
        </is>
      </c>
      <c r="V1639" t="inlineStr">
        <is>
          <t>1995-01-13</t>
        </is>
      </c>
      <c r="W1639" t="inlineStr">
        <is>
          <t>1990-04-10</t>
        </is>
      </c>
      <c r="X1639" t="inlineStr">
        <is>
          <t>1990-04-10</t>
        </is>
      </c>
      <c r="Y1639" t="n">
        <v>262</v>
      </c>
      <c r="Z1639" t="n">
        <v>254</v>
      </c>
      <c r="AA1639" t="n">
        <v>263</v>
      </c>
      <c r="AB1639" t="n">
        <v>3</v>
      </c>
      <c r="AC1639" t="n">
        <v>3</v>
      </c>
      <c r="AD1639" t="n">
        <v>8</v>
      </c>
      <c r="AE1639" t="n">
        <v>8</v>
      </c>
      <c r="AF1639" t="n">
        <v>1</v>
      </c>
      <c r="AG1639" t="n">
        <v>1</v>
      </c>
      <c r="AH1639" t="n">
        <v>2</v>
      </c>
      <c r="AI1639" t="n">
        <v>2</v>
      </c>
      <c r="AJ1639" t="n">
        <v>3</v>
      </c>
      <c r="AK1639" t="n">
        <v>3</v>
      </c>
      <c r="AL1639" t="n">
        <v>2</v>
      </c>
      <c r="AM1639" t="n">
        <v>2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Yes</t>
        </is>
      </c>
      <c r="AR1639">
        <f>HYPERLINK("http://catalog.hathitrust.org/Record/102225831","HathiTrust Record")</f>
        <v/>
      </c>
      <c r="AS1639">
        <f>HYPERLINK("https://creighton-primo.hosted.exlibrisgroup.com/primo-explore/search?tab=default_tab&amp;search_scope=EVERYTHING&amp;vid=01CRU&amp;lang=en_US&amp;offset=0&amp;query=any,contains,991000063759702656","Catalog Record")</f>
        <v/>
      </c>
      <c r="AT1639">
        <f>HYPERLINK("http://www.worldcat.org/oclc/26074","WorldCat Record")</f>
        <v/>
      </c>
      <c r="AU1639" t="inlineStr">
        <is>
          <t>1165569:eng</t>
        </is>
      </c>
      <c r="AV1639" t="inlineStr">
        <is>
          <t>26074</t>
        </is>
      </c>
      <c r="AW1639" t="inlineStr">
        <is>
          <t>991000063759702656</t>
        </is>
      </c>
      <c r="AX1639" t="inlineStr">
        <is>
          <t>991000063759702656</t>
        </is>
      </c>
      <c r="AY1639" t="inlineStr">
        <is>
          <t>2265712400002656</t>
        </is>
      </c>
      <c r="AZ1639" t="inlineStr">
        <is>
          <t>BOOK</t>
        </is>
      </c>
      <c r="BB1639" t="inlineStr">
        <is>
          <t>9780816501885</t>
        </is>
      </c>
      <c r="BC1639" t="inlineStr">
        <is>
          <t>32285000103779</t>
        </is>
      </c>
      <c r="BD1639" t="inlineStr">
        <is>
          <t>893413043</t>
        </is>
      </c>
    </row>
    <row r="1640">
      <c r="A1640" t="inlineStr">
        <is>
          <t>No</t>
        </is>
      </c>
      <c r="B1640" t="inlineStr">
        <is>
          <t>QH88 .S88</t>
        </is>
      </c>
      <c r="C1640" t="inlineStr">
        <is>
          <t>0                      QH 0088000S  88</t>
        </is>
      </c>
      <c r="D1640" t="inlineStr">
        <is>
          <t>The life of the desert / [by] Ann and Myron Sutton.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Sutton, Ann, 1923-</t>
        </is>
      </c>
      <c r="L1640" t="inlineStr">
        <is>
          <t>New York : McGraw-Hill, [1966]</t>
        </is>
      </c>
      <c r="M1640" t="inlineStr">
        <is>
          <t>1966</t>
        </is>
      </c>
      <c r="O1640" t="inlineStr">
        <is>
          <t>eng</t>
        </is>
      </c>
      <c r="P1640" t="inlineStr">
        <is>
          <t>nyu</t>
        </is>
      </c>
      <c r="Q1640" t="inlineStr">
        <is>
          <t>Our living world of nature</t>
        </is>
      </c>
      <c r="R1640" t="inlineStr">
        <is>
          <t xml:space="preserve">QH </t>
        </is>
      </c>
      <c r="S1640" t="n">
        <v>12</v>
      </c>
      <c r="T1640" t="n">
        <v>12</v>
      </c>
      <c r="U1640" t="inlineStr">
        <is>
          <t>1998-09-28</t>
        </is>
      </c>
      <c r="V1640" t="inlineStr">
        <is>
          <t>1998-09-28</t>
        </is>
      </c>
      <c r="W1640" t="inlineStr">
        <is>
          <t>1993-03-04</t>
        </is>
      </c>
      <c r="X1640" t="inlineStr">
        <is>
          <t>1993-03-04</t>
        </is>
      </c>
      <c r="Y1640" t="n">
        <v>1043</v>
      </c>
      <c r="Z1640" t="n">
        <v>970</v>
      </c>
      <c r="AA1640" t="n">
        <v>975</v>
      </c>
      <c r="AB1640" t="n">
        <v>10</v>
      </c>
      <c r="AC1640" t="n">
        <v>10</v>
      </c>
      <c r="AD1640" t="n">
        <v>16</v>
      </c>
      <c r="AE1640" t="n">
        <v>16</v>
      </c>
      <c r="AF1640" t="n">
        <v>7</v>
      </c>
      <c r="AG1640" t="n">
        <v>7</v>
      </c>
      <c r="AH1640" t="n">
        <v>1</v>
      </c>
      <c r="AI1640" t="n">
        <v>1</v>
      </c>
      <c r="AJ1640" t="n">
        <v>6</v>
      </c>
      <c r="AK1640" t="n">
        <v>6</v>
      </c>
      <c r="AL1640" t="n">
        <v>6</v>
      </c>
      <c r="AM1640" t="n">
        <v>6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Yes</t>
        </is>
      </c>
      <c r="AR1640">
        <f>HYPERLINK("http://catalog.hathitrust.org/Record/001490418","HathiTrust Record")</f>
        <v/>
      </c>
      <c r="AS1640">
        <f>HYPERLINK("https://creighton-primo.hosted.exlibrisgroup.com/primo-explore/search?tab=default_tab&amp;search_scope=EVERYTHING&amp;vid=01CRU&amp;lang=en_US&amp;offset=0&amp;query=any,contains,991005353929702656","Catalog Record")</f>
        <v/>
      </c>
      <c r="AT1640">
        <f>HYPERLINK("http://www.worldcat.org/oclc/237354","WorldCat Record")</f>
        <v/>
      </c>
      <c r="AU1640" t="inlineStr">
        <is>
          <t>406573:eng</t>
        </is>
      </c>
      <c r="AV1640" t="inlineStr">
        <is>
          <t>237354</t>
        </is>
      </c>
      <c r="AW1640" t="inlineStr">
        <is>
          <t>991005353929702656</t>
        </is>
      </c>
      <c r="AX1640" t="inlineStr">
        <is>
          <t>991005353929702656</t>
        </is>
      </c>
      <c r="AY1640" t="inlineStr">
        <is>
          <t>2254777810002656</t>
        </is>
      </c>
      <c r="AZ1640" t="inlineStr">
        <is>
          <t>BOOK</t>
        </is>
      </c>
      <c r="BC1640" t="inlineStr">
        <is>
          <t>32285001542298</t>
        </is>
      </c>
      <c r="BD1640" t="inlineStr">
        <is>
          <t>893796020</t>
        </is>
      </c>
    </row>
    <row r="1641">
      <c r="A1641" t="inlineStr">
        <is>
          <t>No</t>
        </is>
      </c>
      <c r="B1641" t="inlineStr">
        <is>
          <t>QH90 .M47</t>
        </is>
      </c>
      <c r="C1641" t="inlineStr">
        <is>
          <t>0                      QH 0090000M  47</t>
        </is>
      </c>
      <c r="D1641" t="inlineStr">
        <is>
          <t>Methods and measurements of periphyton communities : a review / R. L. Weitzel, editor.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L1641" t="inlineStr">
        <is>
          <t>Philadelphia, Pa. : American Society for Testing and Materials, 1979.</t>
        </is>
      </c>
      <c r="M1641" t="inlineStr">
        <is>
          <t>1979</t>
        </is>
      </c>
      <c r="O1641" t="inlineStr">
        <is>
          <t>eng</t>
        </is>
      </c>
      <c r="P1641" t="inlineStr">
        <is>
          <t>pau</t>
        </is>
      </c>
      <c r="Q1641" t="inlineStr">
        <is>
          <t>ASTM special technical publication ; 690</t>
        </is>
      </c>
      <c r="R1641" t="inlineStr">
        <is>
          <t xml:space="preserve">QH </t>
        </is>
      </c>
      <c r="S1641" t="n">
        <v>2</v>
      </c>
      <c r="T1641" t="n">
        <v>2</v>
      </c>
      <c r="U1641" t="inlineStr">
        <is>
          <t>2008-02-11</t>
        </is>
      </c>
      <c r="V1641" t="inlineStr">
        <is>
          <t>2008-02-11</t>
        </is>
      </c>
      <c r="W1641" t="inlineStr">
        <is>
          <t>1993-03-11</t>
        </is>
      </c>
      <c r="X1641" t="inlineStr">
        <is>
          <t>1993-03-11</t>
        </is>
      </c>
      <c r="Y1641" t="n">
        <v>266</v>
      </c>
      <c r="Z1641" t="n">
        <v>220</v>
      </c>
      <c r="AA1641" t="n">
        <v>251</v>
      </c>
      <c r="AB1641" t="n">
        <v>3</v>
      </c>
      <c r="AC1641" t="n">
        <v>3</v>
      </c>
      <c r="AD1641" t="n">
        <v>6</v>
      </c>
      <c r="AE1641" t="n">
        <v>6</v>
      </c>
      <c r="AF1641" t="n">
        <v>2</v>
      </c>
      <c r="AG1641" t="n">
        <v>2</v>
      </c>
      <c r="AH1641" t="n">
        <v>2</v>
      </c>
      <c r="AI1641" t="n">
        <v>2</v>
      </c>
      <c r="AJ1641" t="n">
        <v>1</v>
      </c>
      <c r="AK1641" t="n">
        <v>1</v>
      </c>
      <c r="AL1641" t="n">
        <v>2</v>
      </c>
      <c r="AM1641" t="n">
        <v>2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HYPERLINK("http://catalog.hathitrust.org/Record/000094857","HathiTrust Record")</f>
        <v/>
      </c>
      <c r="AS1641">
        <f>HYPERLINK("https://creighton-primo.hosted.exlibrisgroup.com/primo-explore/search?tab=default_tab&amp;search_scope=EVERYTHING&amp;vid=01CRU&amp;lang=en_US&amp;offset=0&amp;query=any,contains,991004887659702656","Catalog Record")</f>
        <v/>
      </c>
      <c r="AT1641">
        <f>HYPERLINK("http://www.worldcat.org/oclc/5845086","WorldCat Record")</f>
        <v/>
      </c>
      <c r="AU1641" t="inlineStr">
        <is>
          <t>426613173:eng</t>
        </is>
      </c>
      <c r="AV1641" t="inlineStr">
        <is>
          <t>5845086</t>
        </is>
      </c>
      <c r="AW1641" t="inlineStr">
        <is>
          <t>991004887659702656</t>
        </is>
      </c>
      <c r="AX1641" t="inlineStr">
        <is>
          <t>991004887659702656</t>
        </is>
      </c>
      <c r="AY1641" t="inlineStr">
        <is>
          <t>2261896730002656</t>
        </is>
      </c>
      <c r="AZ1641" t="inlineStr">
        <is>
          <t>BOOK</t>
        </is>
      </c>
      <c r="BC1641" t="inlineStr">
        <is>
          <t>32285001551562</t>
        </is>
      </c>
      <c r="BD1641" t="inlineStr">
        <is>
          <t>893625207</t>
        </is>
      </c>
    </row>
    <row r="1642">
      <c r="A1642" t="inlineStr">
        <is>
          <t>No</t>
        </is>
      </c>
      <c r="B1642" t="inlineStr">
        <is>
          <t>QH90.57.B5 B58</t>
        </is>
      </c>
      <c r="C1642" t="inlineStr">
        <is>
          <t>0                      QH 0090570B  5                  B  58</t>
        </is>
      </c>
      <c r="D1642" t="inlineStr">
        <is>
          <t>Biological data in water pollution assessment : quantitative and statistical analyses : a symposium / sponsored by ASTM Committee D-19 on Water, American Society for Testing and Materials, Minneapolis, Minn., 20-21 June 1977 ; K. L. Dickson and John Cairns, Jr., and R. J. Livingston, editors.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L1642" t="inlineStr">
        <is>
          <t>Philadelphia : ASTM, 1978.</t>
        </is>
      </c>
      <c r="M1642" t="inlineStr">
        <is>
          <t>1978</t>
        </is>
      </c>
      <c r="O1642" t="inlineStr">
        <is>
          <t>eng</t>
        </is>
      </c>
      <c r="P1642" t="inlineStr">
        <is>
          <t>pau</t>
        </is>
      </c>
      <c r="Q1642" t="inlineStr">
        <is>
          <t>ASTM special technical publication ; 652</t>
        </is>
      </c>
      <c r="R1642" t="inlineStr">
        <is>
          <t xml:space="preserve">QH </t>
        </is>
      </c>
      <c r="S1642" t="n">
        <v>4</v>
      </c>
      <c r="T1642" t="n">
        <v>4</v>
      </c>
      <c r="U1642" t="inlineStr">
        <is>
          <t>1995-03-30</t>
        </is>
      </c>
      <c r="V1642" t="inlineStr">
        <is>
          <t>1995-03-30</t>
        </is>
      </c>
      <c r="W1642" t="inlineStr">
        <is>
          <t>1993-03-11</t>
        </is>
      </c>
      <c r="X1642" t="inlineStr">
        <is>
          <t>1993-03-11</t>
        </is>
      </c>
      <c r="Y1642" t="n">
        <v>356</v>
      </c>
      <c r="Z1642" t="n">
        <v>289</v>
      </c>
      <c r="AA1642" t="n">
        <v>315</v>
      </c>
      <c r="AB1642" t="n">
        <v>3</v>
      </c>
      <c r="AC1642" t="n">
        <v>3</v>
      </c>
      <c r="AD1642" t="n">
        <v>6</v>
      </c>
      <c r="AE1642" t="n">
        <v>6</v>
      </c>
      <c r="AF1642" t="n">
        <v>2</v>
      </c>
      <c r="AG1642" t="n">
        <v>2</v>
      </c>
      <c r="AH1642" t="n">
        <v>2</v>
      </c>
      <c r="AI1642" t="n">
        <v>2</v>
      </c>
      <c r="AJ1642" t="n">
        <v>2</v>
      </c>
      <c r="AK1642" t="n">
        <v>2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Yes</t>
        </is>
      </c>
      <c r="AR1642">
        <f>HYPERLINK("http://catalog.hathitrust.org/Record/000260180","HathiTrust Record")</f>
        <v/>
      </c>
      <c r="AS1642">
        <f>HYPERLINK("https://creighton-primo.hosted.exlibrisgroup.com/primo-explore/search?tab=default_tab&amp;search_scope=EVERYTHING&amp;vid=01CRU&amp;lang=en_US&amp;offset=0&amp;query=any,contains,991004696519702656","Catalog Record")</f>
        <v/>
      </c>
      <c r="AT1642">
        <f>HYPERLINK("http://www.worldcat.org/oclc/4642036","WorldCat Record")</f>
        <v/>
      </c>
      <c r="AU1642" t="inlineStr">
        <is>
          <t>1146127305:eng</t>
        </is>
      </c>
      <c r="AV1642" t="inlineStr">
        <is>
          <t>4642036</t>
        </is>
      </c>
      <c r="AW1642" t="inlineStr">
        <is>
          <t>991004696519702656</t>
        </is>
      </c>
      <c r="AX1642" t="inlineStr">
        <is>
          <t>991004696519702656</t>
        </is>
      </c>
      <c r="AY1642" t="inlineStr">
        <is>
          <t>2257916210002656</t>
        </is>
      </c>
      <c r="AZ1642" t="inlineStr">
        <is>
          <t>BOOK</t>
        </is>
      </c>
      <c r="BB1642" t="inlineStr">
        <is>
          <t>9780465200016</t>
        </is>
      </c>
      <c r="BC1642" t="inlineStr">
        <is>
          <t>32285001551588</t>
        </is>
      </c>
      <c r="BD1642" t="inlineStr">
        <is>
          <t>893628316</t>
        </is>
      </c>
    </row>
    <row r="1643">
      <c r="A1643" t="inlineStr">
        <is>
          <t>No</t>
        </is>
      </c>
      <c r="B1643" t="inlineStr">
        <is>
          <t>QH91 .C3</t>
        </is>
      </c>
      <c r="C1643" t="inlineStr">
        <is>
          <t>0                      QH 0091000C  3</t>
        </is>
      </c>
      <c r="D1643" t="inlineStr">
        <is>
          <t>The edge of the sea. With illus. by Bob Hines.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Carson, Rachel, 1907-1964.</t>
        </is>
      </c>
      <c r="L1643" t="inlineStr">
        <is>
          <t>Boston, Houghton Mifflin, 1955.</t>
        </is>
      </c>
      <c r="M1643" t="inlineStr">
        <is>
          <t>1955</t>
        </is>
      </c>
      <c r="O1643" t="inlineStr">
        <is>
          <t>eng</t>
        </is>
      </c>
      <c r="P1643" t="inlineStr">
        <is>
          <t>mau</t>
        </is>
      </c>
      <c r="R1643" t="inlineStr">
        <is>
          <t xml:space="preserve">QH </t>
        </is>
      </c>
      <c r="S1643" t="n">
        <v>2</v>
      </c>
      <c r="T1643" t="n">
        <v>2</v>
      </c>
      <c r="U1643" t="inlineStr">
        <is>
          <t>2009-04-28</t>
        </is>
      </c>
      <c r="V1643" t="inlineStr">
        <is>
          <t>2009-04-28</t>
        </is>
      </c>
      <c r="W1643" t="inlineStr">
        <is>
          <t>1997-06-30</t>
        </is>
      </c>
      <c r="X1643" t="inlineStr">
        <is>
          <t>1997-06-30</t>
        </is>
      </c>
      <c r="Y1643" t="n">
        <v>2379</v>
      </c>
      <c r="Z1643" t="n">
        <v>2266</v>
      </c>
      <c r="AA1643" t="n">
        <v>2740</v>
      </c>
      <c r="AB1643" t="n">
        <v>22</v>
      </c>
      <c r="AC1643" t="n">
        <v>24</v>
      </c>
      <c r="AD1643" t="n">
        <v>46</v>
      </c>
      <c r="AE1643" t="n">
        <v>53</v>
      </c>
      <c r="AF1643" t="n">
        <v>17</v>
      </c>
      <c r="AG1643" t="n">
        <v>20</v>
      </c>
      <c r="AH1643" t="n">
        <v>7</v>
      </c>
      <c r="AI1643" t="n">
        <v>9</v>
      </c>
      <c r="AJ1643" t="n">
        <v>20</v>
      </c>
      <c r="AK1643" t="n">
        <v>24</v>
      </c>
      <c r="AL1643" t="n">
        <v>12</v>
      </c>
      <c r="AM1643" t="n">
        <v>12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HYPERLINK("http://catalog.hathitrust.org/Record/001490434","HathiTrust Record")</f>
        <v/>
      </c>
      <c r="AS1643">
        <f>HYPERLINK("https://creighton-primo.hosted.exlibrisgroup.com/primo-explore/search?tab=default_tab&amp;search_scope=EVERYTHING&amp;vid=01CRU&amp;lang=en_US&amp;offset=0&amp;query=any,contains,991002895749702656","Catalog Record")</f>
        <v/>
      </c>
      <c r="AT1643">
        <f>HYPERLINK("http://www.worldcat.org/oclc/514174","WorldCat Record")</f>
        <v/>
      </c>
      <c r="AU1643" t="inlineStr">
        <is>
          <t>1376423:eng</t>
        </is>
      </c>
      <c r="AV1643" t="inlineStr">
        <is>
          <t>514174</t>
        </is>
      </c>
      <c r="AW1643" t="inlineStr">
        <is>
          <t>991002895749702656</t>
        </is>
      </c>
      <c r="AX1643" t="inlineStr">
        <is>
          <t>991002895749702656</t>
        </is>
      </c>
      <c r="AY1643" t="inlineStr">
        <is>
          <t>2261968450002656</t>
        </is>
      </c>
      <c r="AZ1643" t="inlineStr">
        <is>
          <t>BOOK</t>
        </is>
      </c>
      <c r="BC1643" t="inlineStr">
        <is>
          <t>32285002865789</t>
        </is>
      </c>
      <c r="BD1643" t="inlineStr">
        <is>
          <t>893245786</t>
        </is>
      </c>
    </row>
    <row r="1644">
      <c r="A1644" t="inlineStr">
        <is>
          <t>No</t>
        </is>
      </c>
      <c r="B1644" t="inlineStr">
        <is>
          <t>QH91 .C66</t>
        </is>
      </c>
      <c r="C1644" t="inlineStr">
        <is>
          <t>0                      QH 0091000C  66</t>
        </is>
      </c>
      <c r="D1644" t="inlineStr">
        <is>
          <t>The silent world, by J. Y. Cousteau, with Frédéric Dumas.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Cousteau, Jacques, 1910-1997.</t>
        </is>
      </c>
      <c r="L1644" t="inlineStr">
        <is>
          <t>New York, Harper [c1953]</t>
        </is>
      </c>
      <c r="M1644" t="inlineStr">
        <is>
          <t>1953</t>
        </is>
      </c>
      <c r="N1644" t="inlineStr">
        <is>
          <t>[1st ed.]</t>
        </is>
      </c>
      <c r="O1644" t="inlineStr">
        <is>
          <t>eng</t>
        </is>
      </c>
      <c r="P1644" t="inlineStr">
        <is>
          <t>nyu</t>
        </is>
      </c>
      <c r="R1644" t="inlineStr">
        <is>
          <t xml:space="preserve">QH </t>
        </is>
      </c>
      <c r="S1644" t="n">
        <v>1</v>
      </c>
      <c r="T1644" t="n">
        <v>1</v>
      </c>
      <c r="U1644" t="inlineStr">
        <is>
          <t>2005-03-18</t>
        </is>
      </c>
      <c r="V1644" t="inlineStr">
        <is>
          <t>2005-03-18</t>
        </is>
      </c>
      <c r="W1644" t="inlineStr">
        <is>
          <t>1997-06-30</t>
        </is>
      </c>
      <c r="X1644" t="inlineStr">
        <is>
          <t>1997-06-30</t>
        </is>
      </c>
      <c r="Y1644" t="n">
        <v>1734</v>
      </c>
      <c r="Z1644" t="n">
        <v>1646</v>
      </c>
      <c r="AA1644" t="n">
        <v>1905</v>
      </c>
      <c r="AB1644" t="n">
        <v>18</v>
      </c>
      <c r="AC1644" t="n">
        <v>20</v>
      </c>
      <c r="AD1644" t="n">
        <v>33</v>
      </c>
      <c r="AE1644" t="n">
        <v>34</v>
      </c>
      <c r="AF1644" t="n">
        <v>10</v>
      </c>
      <c r="AG1644" t="n">
        <v>11</v>
      </c>
      <c r="AH1644" t="n">
        <v>6</v>
      </c>
      <c r="AI1644" t="n">
        <v>6</v>
      </c>
      <c r="AJ1644" t="n">
        <v>16</v>
      </c>
      <c r="AK1644" t="n">
        <v>17</v>
      </c>
      <c r="AL1644" t="n">
        <v>8</v>
      </c>
      <c r="AM1644" t="n">
        <v>8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Yes</t>
        </is>
      </c>
      <c r="AR1644">
        <f>HYPERLINK("http://catalog.hathitrust.org/Record/001490439","HathiTrust Record")</f>
        <v/>
      </c>
      <c r="AS1644">
        <f>HYPERLINK("https://creighton-primo.hosted.exlibrisgroup.com/primo-explore/search?tab=default_tab&amp;search_scope=EVERYTHING&amp;vid=01CRU&amp;lang=en_US&amp;offset=0&amp;query=any,contains,991002969389702656","Catalog Record")</f>
        <v/>
      </c>
      <c r="AT1644">
        <f>HYPERLINK("http://www.worldcat.org/oclc/547689","WorldCat Record")</f>
        <v/>
      </c>
      <c r="AU1644" t="inlineStr">
        <is>
          <t>10179049060:eng</t>
        </is>
      </c>
      <c r="AV1644" t="inlineStr">
        <is>
          <t>547689</t>
        </is>
      </c>
      <c r="AW1644" t="inlineStr">
        <is>
          <t>991002969389702656</t>
        </is>
      </c>
      <c r="AX1644" t="inlineStr">
        <is>
          <t>991002969389702656</t>
        </is>
      </c>
      <c r="AY1644" t="inlineStr">
        <is>
          <t>2262883660002656</t>
        </is>
      </c>
      <c r="AZ1644" t="inlineStr">
        <is>
          <t>BOOK</t>
        </is>
      </c>
      <c r="BC1644" t="inlineStr">
        <is>
          <t>32285002865805</t>
        </is>
      </c>
      <c r="BD1644" t="inlineStr">
        <is>
          <t>893342088</t>
        </is>
      </c>
    </row>
    <row r="1645">
      <c r="A1645" t="inlineStr">
        <is>
          <t>No</t>
        </is>
      </c>
      <c r="B1645" t="inlineStr">
        <is>
          <t>QH91 .M237 1989</t>
        </is>
      </c>
      <c r="C1645" t="inlineStr">
        <is>
          <t>0                      QH 0091000M  237         1989</t>
        </is>
      </c>
      <c r="D1645" t="inlineStr">
        <is>
          <t>100 years exploring life, 1888-1988 : the Marine Biological Laboratory at Woods Hole / Jane Maienschein ; selection and arrangement of photographs by Ruth Davis.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K1645" t="inlineStr">
        <is>
          <t>Maienschein, Jane.</t>
        </is>
      </c>
      <c r="L1645" t="inlineStr">
        <is>
          <t>Boston : Jones and Bartlett Publishers, c1989.</t>
        </is>
      </c>
      <c r="M1645" t="inlineStr">
        <is>
          <t>1989</t>
        </is>
      </c>
      <c r="O1645" t="inlineStr">
        <is>
          <t>eng</t>
        </is>
      </c>
      <c r="P1645" t="inlineStr">
        <is>
          <t>mau</t>
        </is>
      </c>
      <c r="R1645" t="inlineStr">
        <is>
          <t xml:space="preserve">QH </t>
        </is>
      </c>
      <c r="S1645" t="n">
        <v>2</v>
      </c>
      <c r="T1645" t="n">
        <v>2</v>
      </c>
      <c r="U1645" t="inlineStr">
        <is>
          <t>2005-02-27</t>
        </is>
      </c>
      <c r="V1645" t="inlineStr">
        <is>
          <t>2005-02-27</t>
        </is>
      </c>
      <c r="W1645" t="inlineStr">
        <is>
          <t>1990-01-23</t>
        </is>
      </c>
      <c r="X1645" t="inlineStr">
        <is>
          <t>1990-01-23</t>
        </is>
      </c>
      <c r="Y1645" t="n">
        <v>251</v>
      </c>
      <c r="Z1645" t="n">
        <v>224</v>
      </c>
      <c r="AA1645" t="n">
        <v>400</v>
      </c>
      <c r="AB1645" t="n">
        <v>1</v>
      </c>
      <c r="AC1645" t="n">
        <v>1</v>
      </c>
      <c r="AD1645" t="n">
        <v>5</v>
      </c>
      <c r="AE1645" t="n">
        <v>7</v>
      </c>
      <c r="AF1645" t="n">
        <v>2</v>
      </c>
      <c r="AG1645" t="n">
        <v>3</v>
      </c>
      <c r="AH1645" t="n">
        <v>2</v>
      </c>
      <c r="AI1645" t="n">
        <v>3</v>
      </c>
      <c r="AJ1645" t="n">
        <v>3</v>
      </c>
      <c r="AK1645" t="n">
        <v>4</v>
      </c>
      <c r="AL1645" t="n">
        <v>0</v>
      </c>
      <c r="AM1645" t="n">
        <v>0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HYPERLINK("http://catalog.hathitrust.org/Record/002442968","HathiTrust Record")</f>
        <v/>
      </c>
      <c r="AS1645">
        <f>HYPERLINK("https://creighton-primo.hosted.exlibrisgroup.com/primo-explore/search?tab=default_tab&amp;search_scope=EVERYTHING&amp;vid=01CRU&amp;lang=en_US&amp;offset=0&amp;query=any,contains,991001378599702656","Catalog Record")</f>
        <v/>
      </c>
      <c r="AT1645">
        <f>HYPERLINK("http://www.worldcat.org/oclc/18629838","WorldCat Record")</f>
        <v/>
      </c>
      <c r="AU1645" t="inlineStr">
        <is>
          <t>799538322:eng</t>
        </is>
      </c>
      <c r="AV1645" t="inlineStr">
        <is>
          <t>18629838</t>
        </is>
      </c>
      <c r="AW1645" t="inlineStr">
        <is>
          <t>991001378599702656</t>
        </is>
      </c>
      <c r="AX1645" t="inlineStr">
        <is>
          <t>991001378599702656</t>
        </is>
      </c>
      <c r="AY1645" t="inlineStr">
        <is>
          <t>2265196530002656</t>
        </is>
      </c>
      <c r="AZ1645" t="inlineStr">
        <is>
          <t>BOOK</t>
        </is>
      </c>
      <c r="BB1645" t="inlineStr">
        <is>
          <t>9780867201208</t>
        </is>
      </c>
      <c r="BC1645" t="inlineStr">
        <is>
          <t>32285000035203</t>
        </is>
      </c>
      <c r="BD1645" t="inlineStr">
        <is>
          <t>893408081</t>
        </is>
      </c>
    </row>
    <row r="1646">
      <c r="A1646" t="inlineStr">
        <is>
          <t>No</t>
        </is>
      </c>
      <c r="B1646" t="inlineStr">
        <is>
          <t>QH91.1 .R4</t>
        </is>
      </c>
      <c r="C1646" t="inlineStr">
        <is>
          <t>0                      QH 0091100R  4</t>
        </is>
      </c>
      <c r="D1646" t="inlineStr">
        <is>
          <t>Biology of the oceans / [compiled by] Donald J. Reish.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K1646" t="inlineStr">
        <is>
          <t>Reish, Donald J. compiler.</t>
        </is>
      </c>
      <c r="L1646" t="inlineStr">
        <is>
          <t>Belmont, Calif. : Dickenson Pub. Co., [1969]</t>
        </is>
      </c>
      <c r="M1646" t="inlineStr">
        <is>
          <t>1969</t>
        </is>
      </c>
      <c r="O1646" t="inlineStr">
        <is>
          <t>eng</t>
        </is>
      </c>
      <c r="P1646" t="inlineStr">
        <is>
          <t>cau</t>
        </is>
      </c>
      <c r="Q1646" t="inlineStr">
        <is>
          <t>Dickenson series in biology</t>
        </is>
      </c>
      <c r="R1646" t="inlineStr">
        <is>
          <t xml:space="preserve">QH </t>
        </is>
      </c>
      <c r="S1646" t="n">
        <v>22</v>
      </c>
      <c r="T1646" t="n">
        <v>22</v>
      </c>
      <c r="U1646" t="inlineStr">
        <is>
          <t>1998-12-10</t>
        </is>
      </c>
      <c r="V1646" t="inlineStr">
        <is>
          <t>1998-12-10</t>
        </is>
      </c>
      <c r="W1646" t="inlineStr">
        <is>
          <t>1994-01-19</t>
        </is>
      </c>
      <c r="X1646" t="inlineStr">
        <is>
          <t>1994-01-19</t>
        </is>
      </c>
      <c r="Y1646" t="n">
        <v>464</v>
      </c>
      <c r="Z1646" t="n">
        <v>399</v>
      </c>
      <c r="AA1646" t="n">
        <v>400</v>
      </c>
      <c r="AB1646" t="n">
        <v>6</v>
      </c>
      <c r="AC1646" t="n">
        <v>6</v>
      </c>
      <c r="AD1646" t="n">
        <v>18</v>
      </c>
      <c r="AE1646" t="n">
        <v>18</v>
      </c>
      <c r="AF1646" t="n">
        <v>6</v>
      </c>
      <c r="AG1646" t="n">
        <v>6</v>
      </c>
      <c r="AH1646" t="n">
        <v>3</v>
      </c>
      <c r="AI1646" t="n">
        <v>3</v>
      </c>
      <c r="AJ1646" t="n">
        <v>9</v>
      </c>
      <c r="AK1646" t="n">
        <v>9</v>
      </c>
      <c r="AL1646" t="n">
        <v>5</v>
      </c>
      <c r="AM1646" t="n">
        <v>5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Yes</t>
        </is>
      </c>
      <c r="AR1646">
        <f>HYPERLINK("http://catalog.hathitrust.org/Record/001490463","HathiTrust Record")</f>
        <v/>
      </c>
      <c r="AS1646">
        <f>HYPERLINK("https://creighton-primo.hosted.exlibrisgroup.com/primo-explore/search?tab=default_tab&amp;search_scope=EVERYTHING&amp;vid=01CRU&amp;lang=en_US&amp;offset=0&amp;query=any,contains,991005432509702656","Catalog Record")</f>
        <v/>
      </c>
      <c r="AT1646">
        <f>HYPERLINK("http://www.worldcat.org/oclc/1151","WorldCat Record")</f>
        <v/>
      </c>
      <c r="AU1646" t="inlineStr">
        <is>
          <t>1124543:eng</t>
        </is>
      </c>
      <c r="AV1646" t="inlineStr">
        <is>
          <t>1151</t>
        </is>
      </c>
      <c r="AW1646" t="inlineStr">
        <is>
          <t>991005432509702656</t>
        </is>
      </c>
      <c r="AX1646" t="inlineStr">
        <is>
          <t>991005432509702656</t>
        </is>
      </c>
      <c r="AY1646" t="inlineStr">
        <is>
          <t>2271502580002656</t>
        </is>
      </c>
      <c r="AZ1646" t="inlineStr">
        <is>
          <t>BOOK</t>
        </is>
      </c>
      <c r="BC1646" t="inlineStr">
        <is>
          <t>32285001835098</t>
        </is>
      </c>
      <c r="BD1646" t="inlineStr">
        <is>
          <t>893230696</t>
        </is>
      </c>
    </row>
    <row r="1647">
      <c r="A1647" t="inlineStr">
        <is>
          <t>No</t>
        </is>
      </c>
      <c r="B1647" t="inlineStr">
        <is>
          <t>QH91.5 .A4</t>
        </is>
      </c>
      <c r="C1647" t="inlineStr">
        <is>
          <t>0                      QH 0091500A  4</t>
        </is>
      </c>
      <c r="D1647" t="inlineStr">
        <is>
          <t>The life of the seashore / [by] William H. Amos.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Amos, William Hopkins.</t>
        </is>
      </c>
      <c r="L1647" t="inlineStr">
        <is>
          <t>New York : Published in cooperation with the World Book Encyclopedia, McGraw-Hill, [1966]</t>
        </is>
      </c>
      <c r="M1647" t="inlineStr">
        <is>
          <t>1966</t>
        </is>
      </c>
      <c r="O1647" t="inlineStr">
        <is>
          <t>eng</t>
        </is>
      </c>
      <c r="P1647" t="inlineStr">
        <is>
          <t>nyu</t>
        </is>
      </c>
      <c r="Q1647" t="inlineStr">
        <is>
          <t>Our living world of nature</t>
        </is>
      </c>
      <c r="R1647" t="inlineStr">
        <is>
          <t xml:space="preserve">QH </t>
        </is>
      </c>
      <c r="S1647" t="n">
        <v>1</v>
      </c>
      <c r="T1647" t="n">
        <v>1</v>
      </c>
      <c r="U1647" t="inlineStr">
        <is>
          <t>1997-02-26</t>
        </is>
      </c>
      <c r="V1647" t="inlineStr">
        <is>
          <t>1997-02-26</t>
        </is>
      </c>
      <c r="W1647" t="inlineStr">
        <is>
          <t>1993-11-30</t>
        </is>
      </c>
      <c r="X1647" t="inlineStr">
        <is>
          <t>1993-11-30</t>
        </is>
      </c>
      <c r="Y1647" t="n">
        <v>988</v>
      </c>
      <c r="Z1647" t="n">
        <v>924</v>
      </c>
      <c r="AA1647" t="n">
        <v>935</v>
      </c>
      <c r="AB1647" t="n">
        <v>10</v>
      </c>
      <c r="AC1647" t="n">
        <v>10</v>
      </c>
      <c r="AD1647" t="n">
        <v>17</v>
      </c>
      <c r="AE1647" t="n">
        <v>17</v>
      </c>
      <c r="AF1647" t="n">
        <v>8</v>
      </c>
      <c r="AG1647" t="n">
        <v>8</v>
      </c>
      <c r="AH1647" t="n">
        <v>1</v>
      </c>
      <c r="AI1647" t="n">
        <v>1</v>
      </c>
      <c r="AJ1647" t="n">
        <v>5</v>
      </c>
      <c r="AK1647" t="n">
        <v>5</v>
      </c>
      <c r="AL1647" t="n">
        <v>7</v>
      </c>
      <c r="AM1647" t="n">
        <v>7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Yes</t>
        </is>
      </c>
      <c r="AR1647">
        <f>HYPERLINK("http://catalog.hathitrust.org/Record/007156488","HathiTrust Record")</f>
        <v/>
      </c>
      <c r="AS1647">
        <f>HYPERLINK("https://creighton-primo.hosted.exlibrisgroup.com/primo-explore/search?tab=default_tab&amp;search_scope=EVERYTHING&amp;vid=01CRU&amp;lang=en_US&amp;offset=0&amp;query=any,contains,991002990349702656","Catalog Record")</f>
        <v/>
      </c>
      <c r="AT1647">
        <f>HYPERLINK("http://www.worldcat.org/oclc/560285","WorldCat Record")</f>
        <v/>
      </c>
      <c r="AU1647" t="inlineStr">
        <is>
          <t>1632861:eng</t>
        </is>
      </c>
      <c r="AV1647" t="inlineStr">
        <is>
          <t>560285</t>
        </is>
      </c>
      <c r="AW1647" t="inlineStr">
        <is>
          <t>991002990349702656</t>
        </is>
      </c>
      <c r="AX1647" t="inlineStr">
        <is>
          <t>991002990349702656</t>
        </is>
      </c>
      <c r="AY1647" t="inlineStr">
        <is>
          <t>2256475940002656</t>
        </is>
      </c>
      <c r="AZ1647" t="inlineStr">
        <is>
          <t>BOOK</t>
        </is>
      </c>
      <c r="BC1647" t="inlineStr">
        <is>
          <t>32285001689503</t>
        </is>
      </c>
      <c r="BD1647" t="inlineStr">
        <is>
          <t>893616862</t>
        </is>
      </c>
    </row>
    <row r="1648">
      <c r="A1648" t="inlineStr">
        <is>
          <t>No</t>
        </is>
      </c>
      <c r="B1648" t="inlineStr">
        <is>
          <t>QH91.57.A1 M413 1972</t>
        </is>
      </c>
      <c r="C1648" t="inlineStr">
        <is>
          <t>0                      QH 0091570A  1                  M  413         1972</t>
        </is>
      </c>
      <c r="D1648" t="inlineStr">
        <is>
          <t>Research methods in marine biology / edited by Carl Schlieper. With contributions from numerous scientists. Translated from the German by Elizabeth Drucker.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Methoden der meeresbiologischen Forschung. English.</t>
        </is>
      </c>
      <c r="L1648" t="inlineStr">
        <is>
          <t>Seattle : University of Washington Press, [1972]</t>
        </is>
      </c>
      <c r="M1648" t="inlineStr">
        <is>
          <t>1972</t>
        </is>
      </c>
      <c r="O1648" t="inlineStr">
        <is>
          <t>eng</t>
        </is>
      </c>
      <c r="P1648" t="inlineStr">
        <is>
          <t>wau</t>
        </is>
      </c>
      <c r="Q1648" t="inlineStr">
        <is>
          <t>Biology series</t>
        </is>
      </c>
      <c r="R1648" t="inlineStr">
        <is>
          <t xml:space="preserve">QH </t>
        </is>
      </c>
      <c r="S1648" t="n">
        <v>1</v>
      </c>
      <c r="T1648" t="n">
        <v>1</v>
      </c>
      <c r="U1648" t="inlineStr">
        <is>
          <t>1998-11-29</t>
        </is>
      </c>
      <c r="V1648" t="inlineStr">
        <is>
          <t>1998-11-29</t>
        </is>
      </c>
      <c r="W1648" t="inlineStr">
        <is>
          <t>1994-01-19</t>
        </is>
      </c>
      <c r="X1648" t="inlineStr">
        <is>
          <t>1994-01-19</t>
        </is>
      </c>
      <c r="Y1648" t="n">
        <v>538</v>
      </c>
      <c r="Z1648" t="n">
        <v>482</v>
      </c>
      <c r="AA1648" t="n">
        <v>503</v>
      </c>
      <c r="AB1648" t="n">
        <v>4</v>
      </c>
      <c r="AC1648" t="n">
        <v>4</v>
      </c>
      <c r="AD1648" t="n">
        <v>19</v>
      </c>
      <c r="AE1648" t="n">
        <v>19</v>
      </c>
      <c r="AF1648" t="n">
        <v>6</v>
      </c>
      <c r="AG1648" t="n">
        <v>6</v>
      </c>
      <c r="AH1648" t="n">
        <v>2</v>
      </c>
      <c r="AI1648" t="n">
        <v>2</v>
      </c>
      <c r="AJ1648" t="n">
        <v>11</v>
      </c>
      <c r="AK1648" t="n">
        <v>11</v>
      </c>
      <c r="AL1648" t="n">
        <v>3</v>
      </c>
      <c r="AM1648" t="n">
        <v>3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HYPERLINK("https://creighton-primo.hosted.exlibrisgroup.com/primo-explore/search?tab=default_tab&amp;search_scope=EVERYTHING&amp;vid=01CRU&amp;lang=en_US&amp;offset=0&amp;query=any,contains,991002590829702656","Catalog Record")</f>
        <v/>
      </c>
      <c r="AT1648">
        <f>HYPERLINK("http://www.worldcat.org/oclc/375620","WorldCat Record")</f>
        <v/>
      </c>
      <c r="AU1648" t="inlineStr">
        <is>
          <t>510590442:eng</t>
        </is>
      </c>
      <c r="AV1648" t="inlineStr">
        <is>
          <t>375620</t>
        </is>
      </c>
      <c r="AW1648" t="inlineStr">
        <is>
          <t>991002590829702656</t>
        </is>
      </c>
      <c r="AX1648" t="inlineStr">
        <is>
          <t>991002590829702656</t>
        </is>
      </c>
      <c r="AY1648" t="inlineStr">
        <is>
          <t>2264205480002656</t>
        </is>
      </c>
      <c r="AZ1648" t="inlineStr">
        <is>
          <t>BOOK</t>
        </is>
      </c>
      <c r="BB1648" t="inlineStr">
        <is>
          <t>9780295952345</t>
        </is>
      </c>
      <c r="BC1648" t="inlineStr">
        <is>
          <t>32285001835080</t>
        </is>
      </c>
      <c r="BD1648" t="inlineStr">
        <is>
          <t>893773783</t>
        </is>
      </c>
    </row>
    <row r="1649">
      <c r="A1649" t="inlineStr">
        <is>
          <t>No</t>
        </is>
      </c>
      <c r="B1649" t="inlineStr">
        <is>
          <t>QH91.75.U6 N38 1999</t>
        </is>
      </c>
      <c r="C1649" t="inlineStr">
        <is>
          <t>0                      QH 0091750U  6                  N  38          1999</t>
        </is>
      </c>
      <c r="D1649" t="inlineStr">
        <is>
          <t>A Natural history of the Monterey Bay National Marine Sanctuary / foreword by Julie Packard.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L1649" t="inlineStr">
        <is>
          <t>Monterey, CA : Monterey Bay Aquarium Press in cooperation with National Oceanic and Atmospheric Association Sanctuaries and Reserves Division, c1999.</t>
        </is>
      </c>
      <c r="M1649" t="inlineStr">
        <is>
          <t>1999</t>
        </is>
      </c>
      <c r="O1649" t="inlineStr">
        <is>
          <t>eng</t>
        </is>
      </c>
      <c r="P1649" t="inlineStr">
        <is>
          <t>cau</t>
        </is>
      </c>
      <c r="R1649" t="inlineStr">
        <is>
          <t xml:space="preserve">QH </t>
        </is>
      </c>
      <c r="S1649" t="n">
        <v>1</v>
      </c>
      <c r="T1649" t="n">
        <v>1</v>
      </c>
      <c r="U1649" t="inlineStr">
        <is>
          <t>2002-04-26</t>
        </is>
      </c>
      <c r="V1649" t="inlineStr">
        <is>
          <t>2002-04-26</t>
        </is>
      </c>
      <c r="W1649" t="inlineStr">
        <is>
          <t>2002-04-18</t>
        </is>
      </c>
      <c r="X1649" t="inlineStr">
        <is>
          <t>2002-04-18</t>
        </is>
      </c>
      <c r="Y1649" t="n">
        <v>28</v>
      </c>
      <c r="Z1649" t="n">
        <v>28</v>
      </c>
      <c r="AA1649" t="n">
        <v>72</v>
      </c>
      <c r="AB1649" t="n">
        <v>1</v>
      </c>
      <c r="AC1649" t="n">
        <v>1</v>
      </c>
      <c r="AD1649" t="n">
        <v>0</v>
      </c>
      <c r="AE1649" t="n">
        <v>1</v>
      </c>
      <c r="AF1649" t="n">
        <v>0</v>
      </c>
      <c r="AG1649" t="n">
        <v>0</v>
      </c>
      <c r="AH1649" t="n">
        <v>0</v>
      </c>
      <c r="AI1649" t="n">
        <v>0</v>
      </c>
      <c r="AJ1649" t="n">
        <v>0</v>
      </c>
      <c r="AK1649" t="n">
        <v>1</v>
      </c>
      <c r="AL1649" t="n">
        <v>0</v>
      </c>
      <c r="AM1649" t="n">
        <v>0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HYPERLINK("https://creighton-primo.hosted.exlibrisgroup.com/primo-explore/search?tab=default_tab&amp;search_scope=EVERYTHING&amp;vid=01CRU&amp;lang=en_US&amp;offset=0&amp;query=any,contains,991003793779702656","Catalog Record")</f>
        <v/>
      </c>
      <c r="AT1649">
        <f>HYPERLINK("http://www.worldcat.org/oclc/42286218","WorldCat Record")</f>
        <v/>
      </c>
      <c r="AU1649" t="inlineStr">
        <is>
          <t>477222060:eng</t>
        </is>
      </c>
      <c r="AV1649" t="inlineStr">
        <is>
          <t>42286218</t>
        </is>
      </c>
      <c r="AW1649" t="inlineStr">
        <is>
          <t>991003793779702656</t>
        </is>
      </c>
      <c r="AX1649" t="inlineStr">
        <is>
          <t>991003793779702656</t>
        </is>
      </c>
      <c r="AY1649" t="inlineStr">
        <is>
          <t>2272660800002656</t>
        </is>
      </c>
      <c r="AZ1649" t="inlineStr">
        <is>
          <t>BOOK</t>
        </is>
      </c>
      <c r="BB1649" t="inlineStr">
        <is>
          <t>9781878244116</t>
        </is>
      </c>
      <c r="BC1649" t="inlineStr">
        <is>
          <t>32285004481627</t>
        </is>
      </c>
      <c r="BD1649" t="inlineStr">
        <is>
          <t>893800175</t>
        </is>
      </c>
    </row>
    <row r="1650">
      <c r="A1650" t="inlineStr">
        <is>
          <t>No</t>
        </is>
      </c>
      <c r="B1650" t="inlineStr">
        <is>
          <t>QH91.8.E87 L58 2001</t>
        </is>
      </c>
      <c r="C1650" t="inlineStr">
        <is>
          <t>0                      QH 0091800E  87                 L  58          2001</t>
        </is>
      </c>
      <c r="D1650" t="inlineStr">
        <is>
          <t>Eutrophication processes in coastal systems : origin and succession of plankton blooms and effects on secondary production in Gulf Coast estuaries / Robert J. Livingston.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Livingston, Robert J.</t>
        </is>
      </c>
      <c r="L1650" t="inlineStr">
        <is>
          <t>Boca Raton : CRC Press, c2001.</t>
        </is>
      </c>
      <c r="M1650" t="inlineStr">
        <is>
          <t>2001</t>
        </is>
      </c>
      <c r="O1650" t="inlineStr">
        <is>
          <t>eng</t>
        </is>
      </c>
      <c r="P1650" t="inlineStr">
        <is>
          <t>flu</t>
        </is>
      </c>
      <c r="Q1650" t="inlineStr">
        <is>
          <t>Marine science series</t>
        </is>
      </c>
      <c r="R1650" t="inlineStr">
        <is>
          <t xml:space="preserve">QH </t>
        </is>
      </c>
      <c r="S1650" t="n">
        <v>3</v>
      </c>
      <c r="T1650" t="n">
        <v>3</v>
      </c>
      <c r="U1650" t="inlineStr">
        <is>
          <t>2004-01-30</t>
        </is>
      </c>
      <c r="V1650" t="inlineStr">
        <is>
          <t>2004-01-30</t>
        </is>
      </c>
      <c r="W1650" t="inlineStr">
        <is>
          <t>2002-01-07</t>
        </is>
      </c>
      <c r="X1650" t="inlineStr">
        <is>
          <t>2002-01-07</t>
        </is>
      </c>
      <c r="Y1650" t="n">
        <v>271</v>
      </c>
      <c r="Z1650" t="n">
        <v>188</v>
      </c>
      <c r="AA1650" t="n">
        <v>212</v>
      </c>
      <c r="AB1650" t="n">
        <v>2</v>
      </c>
      <c r="AC1650" t="n">
        <v>2</v>
      </c>
      <c r="AD1650" t="n">
        <v>5</v>
      </c>
      <c r="AE1650" t="n">
        <v>5</v>
      </c>
      <c r="AF1650" t="n">
        <v>2</v>
      </c>
      <c r="AG1650" t="n">
        <v>2</v>
      </c>
      <c r="AH1650" t="n">
        <v>1</v>
      </c>
      <c r="AI1650" t="n">
        <v>1</v>
      </c>
      <c r="AJ1650" t="n">
        <v>2</v>
      </c>
      <c r="AK1650" t="n">
        <v>2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HYPERLINK("https://creighton-primo.hosted.exlibrisgroup.com/primo-explore/search?tab=default_tab&amp;search_scope=EVERYTHING&amp;vid=01CRU&amp;lang=en_US&amp;offset=0&amp;query=any,contains,991003666579702656","Catalog Record")</f>
        <v/>
      </c>
      <c r="AT1650">
        <f>HYPERLINK("http://www.worldcat.org/oclc/44619460","WorldCat Record")</f>
        <v/>
      </c>
      <c r="AU1650" t="inlineStr">
        <is>
          <t>20798339:eng</t>
        </is>
      </c>
      <c r="AV1650" t="inlineStr">
        <is>
          <t>44619460</t>
        </is>
      </c>
      <c r="AW1650" t="inlineStr">
        <is>
          <t>991003666579702656</t>
        </is>
      </c>
      <c r="AX1650" t="inlineStr">
        <is>
          <t>991003666579702656</t>
        </is>
      </c>
      <c r="AY1650" t="inlineStr">
        <is>
          <t>2266053630002656</t>
        </is>
      </c>
      <c r="AZ1650" t="inlineStr">
        <is>
          <t>BOOK</t>
        </is>
      </c>
      <c r="BB1650" t="inlineStr">
        <is>
          <t>9780849390623</t>
        </is>
      </c>
      <c r="BC1650" t="inlineStr">
        <is>
          <t>32285004445101</t>
        </is>
      </c>
      <c r="BD1650" t="inlineStr">
        <is>
          <t>893512224</t>
        </is>
      </c>
    </row>
    <row r="1651">
      <c r="A1651" t="inlineStr">
        <is>
          <t>No</t>
        </is>
      </c>
      <c r="B1651" t="inlineStr">
        <is>
          <t>QH91.8.O4 B57</t>
        </is>
      </c>
      <c r="C1651" t="inlineStr">
        <is>
          <t>0                      QH 0091800O  4                  B  57</t>
        </is>
      </c>
      <c r="D1651" t="inlineStr">
        <is>
          <t>Oil spills and the marine environment [by] Donald F. Boesch, Carl H. Hershner, and Jerome H. Milgram.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Boesch, Donald F.</t>
        </is>
      </c>
      <c r="L1651" t="inlineStr">
        <is>
          <t>Cambridge, Mass., Ballinger Pub. Co. [1974]</t>
        </is>
      </c>
      <c r="M1651" t="inlineStr">
        <is>
          <t>1974</t>
        </is>
      </c>
      <c r="O1651" t="inlineStr">
        <is>
          <t>eng</t>
        </is>
      </c>
      <c r="P1651" t="inlineStr">
        <is>
          <t>mau</t>
        </is>
      </c>
      <c r="R1651" t="inlineStr">
        <is>
          <t xml:space="preserve">QH </t>
        </is>
      </c>
      <c r="S1651" t="n">
        <v>5</v>
      </c>
      <c r="T1651" t="n">
        <v>5</v>
      </c>
      <c r="U1651" t="inlineStr">
        <is>
          <t>2005-03-23</t>
        </is>
      </c>
      <c r="V1651" t="inlineStr">
        <is>
          <t>2005-03-23</t>
        </is>
      </c>
      <c r="W1651" t="inlineStr">
        <is>
          <t>1997-06-30</t>
        </is>
      </c>
      <c r="X1651" t="inlineStr">
        <is>
          <t>1997-06-30</t>
        </is>
      </c>
      <c r="Y1651" t="n">
        <v>593</v>
      </c>
      <c r="Z1651" t="n">
        <v>493</v>
      </c>
      <c r="AA1651" t="n">
        <v>495</v>
      </c>
      <c r="AB1651" t="n">
        <v>3</v>
      </c>
      <c r="AC1651" t="n">
        <v>3</v>
      </c>
      <c r="AD1651" t="n">
        <v>18</v>
      </c>
      <c r="AE1651" t="n">
        <v>18</v>
      </c>
      <c r="AF1651" t="n">
        <v>7</v>
      </c>
      <c r="AG1651" t="n">
        <v>7</v>
      </c>
      <c r="AH1651" t="n">
        <v>5</v>
      </c>
      <c r="AI1651" t="n">
        <v>5</v>
      </c>
      <c r="AJ1651" t="n">
        <v>6</v>
      </c>
      <c r="AK1651" t="n">
        <v>6</v>
      </c>
      <c r="AL1651" t="n">
        <v>2</v>
      </c>
      <c r="AM1651" t="n">
        <v>2</v>
      </c>
      <c r="AN1651" t="n">
        <v>1</v>
      </c>
      <c r="AO1651" t="n">
        <v>1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HYPERLINK("http://catalog.hathitrust.org/Record/000013847","HathiTrust Record")</f>
        <v/>
      </c>
      <c r="AS1651">
        <f>HYPERLINK("https://creighton-primo.hosted.exlibrisgroup.com/primo-explore/search?tab=default_tab&amp;search_scope=EVERYTHING&amp;vid=01CRU&amp;lang=en_US&amp;offset=0&amp;query=any,contains,991003353499702656","Catalog Record")</f>
        <v/>
      </c>
      <c r="AT1651">
        <f>HYPERLINK("http://www.worldcat.org/oclc/886351","WorldCat Record")</f>
        <v/>
      </c>
      <c r="AU1651" t="inlineStr">
        <is>
          <t>1866062:eng</t>
        </is>
      </c>
      <c r="AV1651" t="inlineStr">
        <is>
          <t>886351</t>
        </is>
      </c>
      <c r="AW1651" t="inlineStr">
        <is>
          <t>991003353499702656</t>
        </is>
      </c>
      <c r="AX1651" t="inlineStr">
        <is>
          <t>991003353499702656</t>
        </is>
      </c>
      <c r="AY1651" t="inlineStr">
        <is>
          <t>2258025820002656</t>
        </is>
      </c>
      <c r="AZ1651" t="inlineStr">
        <is>
          <t>BOOK</t>
        </is>
      </c>
      <c r="BB1651" t="inlineStr">
        <is>
          <t>9780884103127</t>
        </is>
      </c>
      <c r="BC1651" t="inlineStr">
        <is>
          <t>32285002865813</t>
        </is>
      </c>
      <c r="BD1651" t="inlineStr">
        <is>
          <t>893518410</t>
        </is>
      </c>
    </row>
    <row r="1652">
      <c r="A1652" t="inlineStr">
        <is>
          <t>No</t>
        </is>
      </c>
      <c r="B1652" t="inlineStr">
        <is>
          <t>QH91.8.P5 B53</t>
        </is>
      </c>
      <c r="C1652" t="inlineStr">
        <is>
          <t>0                      QH 0091800P  5                  B  53</t>
        </is>
      </c>
      <c r="D1652" t="inlineStr">
        <is>
          <t>Biology of plankton. Papers by Thomas A. Clarke [and others]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New York, MSS Information Corp. [1972]</t>
        </is>
      </c>
      <c r="M1652" t="inlineStr">
        <is>
          <t>1972</t>
        </is>
      </c>
      <c r="O1652" t="inlineStr">
        <is>
          <t>eng</t>
        </is>
      </c>
      <c r="P1652" t="inlineStr">
        <is>
          <t>nyu</t>
        </is>
      </c>
      <c r="R1652" t="inlineStr">
        <is>
          <t xml:space="preserve">QH </t>
        </is>
      </c>
      <c r="S1652" t="n">
        <v>3</v>
      </c>
      <c r="T1652" t="n">
        <v>3</v>
      </c>
      <c r="U1652" t="inlineStr">
        <is>
          <t>2010-02-22</t>
        </is>
      </c>
      <c r="V1652" t="inlineStr">
        <is>
          <t>2010-02-22</t>
        </is>
      </c>
      <c r="W1652" t="inlineStr">
        <is>
          <t>1997-06-30</t>
        </is>
      </c>
      <c r="X1652" t="inlineStr">
        <is>
          <t>1997-06-30</t>
        </is>
      </c>
      <c r="Y1652" t="n">
        <v>268</v>
      </c>
      <c r="Z1652" t="n">
        <v>230</v>
      </c>
      <c r="AA1652" t="n">
        <v>235</v>
      </c>
      <c r="AB1652" t="n">
        <v>3</v>
      </c>
      <c r="AC1652" t="n">
        <v>3</v>
      </c>
      <c r="AD1652" t="n">
        <v>5</v>
      </c>
      <c r="AE1652" t="n">
        <v>5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2</v>
      </c>
      <c r="AM1652" t="n">
        <v>2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No</t>
        </is>
      </c>
      <c r="AS1652">
        <f>HYPERLINK("https://creighton-primo.hosted.exlibrisgroup.com/primo-explore/search?tab=default_tab&amp;search_scope=EVERYTHING&amp;vid=01CRU&amp;lang=en_US&amp;offset=0&amp;query=any,contains,991002656039702656","Catalog Record")</f>
        <v/>
      </c>
      <c r="AT1652">
        <f>HYPERLINK("http://www.worldcat.org/oclc/388787","WorldCat Record")</f>
        <v/>
      </c>
      <c r="AU1652" t="inlineStr">
        <is>
          <t>180303225:eng</t>
        </is>
      </c>
      <c r="AV1652" t="inlineStr">
        <is>
          <t>388787</t>
        </is>
      </c>
      <c r="AW1652" t="inlineStr">
        <is>
          <t>991002656039702656</t>
        </is>
      </c>
      <c r="AX1652" t="inlineStr">
        <is>
          <t>991002656039702656</t>
        </is>
      </c>
      <c r="AY1652" t="inlineStr">
        <is>
          <t>2254835340002656</t>
        </is>
      </c>
      <c r="AZ1652" t="inlineStr">
        <is>
          <t>BOOK</t>
        </is>
      </c>
      <c r="BB1652" t="inlineStr">
        <is>
          <t>9780842270168</t>
        </is>
      </c>
      <c r="BC1652" t="inlineStr">
        <is>
          <t>32285002865821</t>
        </is>
      </c>
      <c r="BD1652" t="inlineStr">
        <is>
          <t>893257544</t>
        </is>
      </c>
    </row>
    <row r="1653">
      <c r="A1653" t="inlineStr">
        <is>
          <t>No</t>
        </is>
      </c>
      <c r="B1653" t="inlineStr">
        <is>
          <t>QH91.8.P5 M28 1984</t>
        </is>
      </c>
      <c r="C1653" t="inlineStr">
        <is>
          <t>0                      QH 0091800P  5                  M  28          1984</t>
        </is>
      </c>
      <c r="D1653" t="inlineStr">
        <is>
          <t>Marine phytoplankton and productivity : proceedings of the invited lectures to a symposium organized within the 5th conference of the European Society for Comparative Physiology and Biochemistry - Taormina, Sicily, Italy, September 5-8, 1983 / edited by O. Holm-Hansen, L. Bolis and R. Gilles.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L1653" t="inlineStr">
        <is>
          <t>Berlin ; New York : Springer-Verlag, 1984.</t>
        </is>
      </c>
      <c r="M1653" t="inlineStr">
        <is>
          <t>1984</t>
        </is>
      </c>
      <c r="O1653" t="inlineStr">
        <is>
          <t>eng</t>
        </is>
      </c>
      <c r="P1653" t="inlineStr">
        <is>
          <t xml:space="preserve">gw </t>
        </is>
      </c>
      <c r="Q1653" t="inlineStr">
        <is>
          <t>Lecture notes on coastal and estuarine studies ; 8</t>
        </is>
      </c>
      <c r="R1653" t="inlineStr">
        <is>
          <t xml:space="preserve">QH </t>
        </is>
      </c>
      <c r="S1653" t="n">
        <v>15</v>
      </c>
      <c r="T1653" t="n">
        <v>15</v>
      </c>
      <c r="U1653" t="inlineStr">
        <is>
          <t>1998-11-22</t>
        </is>
      </c>
      <c r="V1653" t="inlineStr">
        <is>
          <t>1998-11-22</t>
        </is>
      </c>
      <c r="W1653" t="inlineStr">
        <is>
          <t>1993-03-11</t>
        </is>
      </c>
      <c r="X1653" t="inlineStr">
        <is>
          <t>1993-03-11</t>
        </is>
      </c>
      <c r="Y1653" t="n">
        <v>212</v>
      </c>
      <c r="Z1653" t="n">
        <v>149</v>
      </c>
      <c r="AA1653" t="n">
        <v>220</v>
      </c>
      <c r="AB1653" t="n">
        <v>2</v>
      </c>
      <c r="AC1653" t="n">
        <v>2</v>
      </c>
      <c r="AD1653" t="n">
        <v>4</v>
      </c>
      <c r="AE1653" t="n">
        <v>5</v>
      </c>
      <c r="AF1653" t="n">
        <v>0</v>
      </c>
      <c r="AG1653" t="n">
        <v>1</v>
      </c>
      <c r="AH1653" t="n">
        <v>2</v>
      </c>
      <c r="AI1653" t="n">
        <v>2</v>
      </c>
      <c r="AJ1653" t="n">
        <v>2</v>
      </c>
      <c r="AK1653" t="n">
        <v>3</v>
      </c>
      <c r="AL1653" t="n">
        <v>1</v>
      </c>
      <c r="AM1653" t="n">
        <v>1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Yes</t>
        </is>
      </c>
      <c r="AR1653">
        <f>HYPERLINK("http://catalog.hathitrust.org/Record/000572106","HathiTrust Record")</f>
        <v/>
      </c>
      <c r="AS1653">
        <f>HYPERLINK("https://creighton-primo.hosted.exlibrisgroup.com/primo-explore/search?tab=default_tab&amp;search_scope=EVERYTHING&amp;vid=01CRU&amp;lang=en_US&amp;offset=0&amp;query=any,contains,991000500939702656","Catalog Record")</f>
        <v/>
      </c>
      <c r="AT1653">
        <f>HYPERLINK("http://www.worldcat.org/oclc/11178458","WorldCat Record")</f>
        <v/>
      </c>
      <c r="AU1653" t="inlineStr">
        <is>
          <t>4065705:eng</t>
        </is>
      </c>
      <c r="AV1653" t="inlineStr">
        <is>
          <t>11178458</t>
        </is>
      </c>
      <c r="AW1653" t="inlineStr">
        <is>
          <t>991000500939702656</t>
        </is>
      </c>
      <c r="AX1653" t="inlineStr">
        <is>
          <t>991000500939702656</t>
        </is>
      </c>
      <c r="AY1653" t="inlineStr">
        <is>
          <t>2259682920002656</t>
        </is>
      </c>
      <c r="AZ1653" t="inlineStr">
        <is>
          <t>BOOK</t>
        </is>
      </c>
      <c r="BB1653" t="inlineStr">
        <is>
          <t>9780387133331</t>
        </is>
      </c>
      <c r="BC1653" t="inlineStr">
        <is>
          <t>32285001551596</t>
        </is>
      </c>
      <c r="BD1653" t="inlineStr">
        <is>
          <t>893695884</t>
        </is>
      </c>
    </row>
    <row r="1654">
      <c r="A1654" t="inlineStr">
        <is>
          <t>No</t>
        </is>
      </c>
      <c r="B1654" t="inlineStr">
        <is>
          <t>QH91.8.P5 O7</t>
        </is>
      </c>
      <c r="C1654" t="inlineStr">
        <is>
          <t>0                      QH 0091800P  5                  O  7</t>
        </is>
      </c>
      <c r="D1654" t="inlineStr">
        <is>
          <t>The fertile sea : being the Buckland lectures for 1957 / by A. P. Orr and S. M. Marshall.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K1654" t="inlineStr">
        <is>
          <t>Orr, A. P.</t>
        </is>
      </c>
      <c r="L1654" t="inlineStr">
        <is>
          <t>London : Fishing News, 1969.</t>
        </is>
      </c>
      <c r="M1654" t="inlineStr">
        <is>
          <t>1969</t>
        </is>
      </c>
      <c r="O1654" t="inlineStr">
        <is>
          <t>eng</t>
        </is>
      </c>
      <c r="P1654" t="inlineStr">
        <is>
          <t>enk</t>
        </is>
      </c>
      <c r="Q1654" t="inlineStr">
        <is>
          <t>[The fisherman's library]</t>
        </is>
      </c>
      <c r="R1654" t="inlineStr">
        <is>
          <t xml:space="preserve">QH </t>
        </is>
      </c>
      <c r="S1654" t="n">
        <v>5</v>
      </c>
      <c r="T1654" t="n">
        <v>5</v>
      </c>
      <c r="U1654" t="inlineStr">
        <is>
          <t>1995-10-04</t>
        </is>
      </c>
      <c r="V1654" t="inlineStr">
        <is>
          <t>1995-10-04</t>
        </is>
      </c>
      <c r="W1654" t="inlineStr">
        <is>
          <t>1993-10-12</t>
        </is>
      </c>
      <c r="X1654" t="inlineStr">
        <is>
          <t>1993-10-12</t>
        </is>
      </c>
      <c r="Y1654" t="n">
        <v>192</v>
      </c>
      <c r="Z1654" t="n">
        <v>116</v>
      </c>
      <c r="AA1654" t="n">
        <v>123</v>
      </c>
      <c r="AB1654" t="n">
        <v>2</v>
      </c>
      <c r="AC1654" t="n">
        <v>2</v>
      </c>
      <c r="AD1654" t="n">
        <v>1</v>
      </c>
      <c r="AE1654" t="n">
        <v>1</v>
      </c>
      <c r="AF1654" t="n">
        <v>0</v>
      </c>
      <c r="AG1654" t="n">
        <v>0</v>
      </c>
      <c r="AH1654" t="n">
        <v>0</v>
      </c>
      <c r="AI1654" t="n">
        <v>0</v>
      </c>
      <c r="AJ1654" t="n">
        <v>0</v>
      </c>
      <c r="AK1654" t="n">
        <v>0</v>
      </c>
      <c r="AL1654" t="n">
        <v>1</v>
      </c>
      <c r="AM1654" t="n">
        <v>1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HYPERLINK("http://catalog.hathitrust.org/Record/000000322","HathiTrust Record")</f>
        <v/>
      </c>
      <c r="AS1654">
        <f>HYPERLINK("https://creighton-primo.hosted.exlibrisgroup.com/primo-explore/search?tab=default_tab&amp;search_scope=EVERYTHING&amp;vid=01CRU&amp;lang=en_US&amp;offset=0&amp;query=any,contains,991000078699702656","Catalog Record")</f>
        <v/>
      </c>
      <c r="AT1654">
        <f>HYPERLINK("http://www.worldcat.org/oclc/30761","WorldCat Record")</f>
        <v/>
      </c>
      <c r="AU1654" t="inlineStr">
        <is>
          <t>836626653:eng</t>
        </is>
      </c>
      <c r="AV1654" t="inlineStr">
        <is>
          <t>30761</t>
        </is>
      </c>
      <c r="AW1654" t="inlineStr">
        <is>
          <t>991000078699702656</t>
        </is>
      </c>
      <c r="AX1654" t="inlineStr">
        <is>
          <t>991000078699702656</t>
        </is>
      </c>
      <c r="AY1654" t="inlineStr">
        <is>
          <t>2262343250002656</t>
        </is>
      </c>
      <c r="AZ1654" t="inlineStr">
        <is>
          <t>BOOK</t>
        </is>
      </c>
      <c r="BB1654" t="inlineStr">
        <is>
          <t>9780852380055</t>
        </is>
      </c>
      <c r="BC1654" t="inlineStr">
        <is>
          <t>32285001790681</t>
        </is>
      </c>
      <c r="BD1654" t="inlineStr">
        <is>
          <t>893425392</t>
        </is>
      </c>
    </row>
    <row r="1655">
      <c r="A1655" t="inlineStr">
        <is>
          <t>No</t>
        </is>
      </c>
      <c r="B1655" t="inlineStr">
        <is>
          <t>QH92.2 .K66 1981</t>
        </is>
      </c>
      <c r="C1655" t="inlineStr">
        <is>
          <t>0                      QH 0092200K  66          1981</t>
        </is>
      </c>
      <c r="D1655" t="inlineStr">
        <is>
          <t>The wild edge : life and lore of the great Atlantic beaches / Philip Kopper ; illustrated by Anne E. Lacy.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Kopper, Philip.</t>
        </is>
      </c>
      <c r="L1655" t="inlineStr">
        <is>
          <t>Harmondsworth, Eng. ; New York : Penguin Books, 1981, c1979.</t>
        </is>
      </c>
      <c r="M1655" t="inlineStr">
        <is>
          <t>1981</t>
        </is>
      </c>
      <c r="O1655" t="inlineStr">
        <is>
          <t>eng</t>
        </is>
      </c>
      <c r="P1655" t="inlineStr">
        <is>
          <t>enk</t>
        </is>
      </c>
      <c r="R1655" t="inlineStr">
        <is>
          <t xml:space="preserve">QH </t>
        </is>
      </c>
      <c r="S1655" t="n">
        <v>1</v>
      </c>
      <c r="T1655" t="n">
        <v>1</v>
      </c>
      <c r="U1655" t="inlineStr">
        <is>
          <t>1993-11-11</t>
        </is>
      </c>
      <c r="V1655" t="inlineStr">
        <is>
          <t>1993-11-11</t>
        </is>
      </c>
      <c r="W1655" t="inlineStr">
        <is>
          <t>1993-03-11</t>
        </is>
      </c>
      <c r="X1655" t="inlineStr">
        <is>
          <t>1993-03-11</t>
        </is>
      </c>
      <c r="Y1655" t="n">
        <v>49</v>
      </c>
      <c r="Z1655" t="n">
        <v>46</v>
      </c>
      <c r="AA1655" t="n">
        <v>413</v>
      </c>
      <c r="AB1655" t="n">
        <v>1</v>
      </c>
      <c r="AC1655" t="n">
        <v>2</v>
      </c>
      <c r="AD1655" t="n">
        <v>0</v>
      </c>
      <c r="AE1655" t="n">
        <v>2</v>
      </c>
      <c r="AF1655" t="n">
        <v>0</v>
      </c>
      <c r="AG1655" t="n">
        <v>1</v>
      </c>
      <c r="AH1655" t="n">
        <v>0</v>
      </c>
      <c r="AI1655" t="n">
        <v>0</v>
      </c>
      <c r="AJ1655" t="n">
        <v>0</v>
      </c>
      <c r="AK1655" t="n">
        <v>2</v>
      </c>
      <c r="AL1655" t="n">
        <v>0</v>
      </c>
      <c r="AM1655" t="n">
        <v>0</v>
      </c>
      <c r="AN1655" t="n">
        <v>0</v>
      </c>
      <c r="AO1655" t="n">
        <v>0</v>
      </c>
      <c r="AP1655" t="inlineStr">
        <is>
          <t>No</t>
        </is>
      </c>
      <c r="AQ1655" t="inlineStr">
        <is>
          <t>No</t>
        </is>
      </c>
      <c r="AS1655">
        <f>HYPERLINK("https://creighton-primo.hosted.exlibrisgroup.com/primo-explore/search?tab=default_tab&amp;search_scope=EVERYTHING&amp;vid=01CRU&amp;lang=en_US&amp;offset=0&amp;query=any,contains,991005063959702656","Catalog Record")</f>
        <v/>
      </c>
      <c r="AT1655">
        <f>HYPERLINK("http://www.worldcat.org/oclc/6942648","WorldCat Record")</f>
        <v/>
      </c>
      <c r="AU1655" t="inlineStr">
        <is>
          <t>15071861:eng</t>
        </is>
      </c>
      <c r="AV1655" t="inlineStr">
        <is>
          <t>6942648</t>
        </is>
      </c>
      <c r="AW1655" t="inlineStr">
        <is>
          <t>991005063959702656</t>
        </is>
      </c>
      <c r="AX1655" t="inlineStr">
        <is>
          <t>991005063959702656</t>
        </is>
      </c>
      <c r="AY1655" t="inlineStr">
        <is>
          <t>2257332890002656</t>
        </is>
      </c>
      <c r="AZ1655" t="inlineStr">
        <is>
          <t>BOOK</t>
        </is>
      </c>
      <c r="BB1655" t="inlineStr">
        <is>
          <t>9780140464979</t>
        </is>
      </c>
      <c r="BC1655" t="inlineStr">
        <is>
          <t>32285001551612</t>
        </is>
      </c>
      <c r="BD1655" t="inlineStr">
        <is>
          <t>893801660</t>
        </is>
      </c>
    </row>
    <row r="1656">
      <c r="A1656" t="inlineStr">
        <is>
          <t>No</t>
        </is>
      </c>
      <c r="B1656" t="inlineStr">
        <is>
          <t>QH95.7 .S65</t>
        </is>
      </c>
      <c r="C1656" t="inlineStr">
        <is>
          <t>0                      QH 0095700S  65</t>
        </is>
      </c>
      <c r="D1656" t="inlineStr">
        <is>
          <t>Life on the sea-shore / by A. J. Southward.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Southward, Alan J.</t>
        </is>
      </c>
      <c r="L1656" t="inlineStr">
        <is>
          <t>Cambridge : Harvard University Press, 1965.</t>
        </is>
      </c>
      <c r="M1656" t="inlineStr">
        <is>
          <t>1965</t>
        </is>
      </c>
      <c r="O1656" t="inlineStr">
        <is>
          <t>eng</t>
        </is>
      </c>
      <c r="P1656" t="inlineStr">
        <is>
          <t>mau</t>
        </is>
      </c>
      <c r="R1656" t="inlineStr">
        <is>
          <t xml:space="preserve">QH </t>
        </is>
      </c>
      <c r="S1656" t="n">
        <v>2</v>
      </c>
      <c r="T1656" t="n">
        <v>2</v>
      </c>
      <c r="U1656" t="inlineStr">
        <is>
          <t>1998-11-29</t>
        </is>
      </c>
      <c r="V1656" t="inlineStr">
        <is>
          <t>1998-11-29</t>
        </is>
      </c>
      <c r="W1656" t="inlineStr">
        <is>
          <t>1991-09-26</t>
        </is>
      </c>
      <c r="X1656" t="inlineStr">
        <is>
          <t>1991-09-26</t>
        </is>
      </c>
      <c r="Y1656" t="n">
        <v>552</v>
      </c>
      <c r="Z1656" t="n">
        <v>515</v>
      </c>
      <c r="AA1656" t="n">
        <v>559</v>
      </c>
      <c r="AB1656" t="n">
        <v>4</v>
      </c>
      <c r="AC1656" t="n">
        <v>4</v>
      </c>
      <c r="AD1656" t="n">
        <v>15</v>
      </c>
      <c r="AE1656" t="n">
        <v>15</v>
      </c>
      <c r="AF1656" t="n">
        <v>6</v>
      </c>
      <c r="AG1656" t="n">
        <v>6</v>
      </c>
      <c r="AH1656" t="n">
        <v>2</v>
      </c>
      <c r="AI1656" t="n">
        <v>2</v>
      </c>
      <c r="AJ1656" t="n">
        <v>8</v>
      </c>
      <c r="AK1656" t="n">
        <v>8</v>
      </c>
      <c r="AL1656" t="n">
        <v>3</v>
      </c>
      <c r="AM1656" t="n">
        <v>3</v>
      </c>
      <c r="AN1656" t="n">
        <v>0</v>
      </c>
      <c r="AO1656" t="n">
        <v>0</v>
      </c>
      <c r="AP1656" t="inlineStr">
        <is>
          <t>No</t>
        </is>
      </c>
      <c r="AQ1656" t="inlineStr">
        <is>
          <t>Yes</t>
        </is>
      </c>
      <c r="AR1656">
        <f>HYPERLINK("http://catalog.hathitrust.org/Record/001490493","HathiTrust Record")</f>
        <v/>
      </c>
      <c r="AS1656">
        <f>HYPERLINK("https://creighton-primo.hosted.exlibrisgroup.com/primo-explore/search?tab=default_tab&amp;search_scope=EVERYTHING&amp;vid=01CRU&amp;lang=en_US&amp;offset=0&amp;query=any,contains,991002568929702656","Catalog Record")</f>
        <v/>
      </c>
      <c r="AT1656">
        <f>HYPERLINK("http://www.worldcat.org/oclc/373197","WorldCat Record")</f>
        <v/>
      </c>
      <c r="AU1656" t="inlineStr">
        <is>
          <t>521633:eng</t>
        </is>
      </c>
      <c r="AV1656" t="inlineStr">
        <is>
          <t>373197</t>
        </is>
      </c>
      <c r="AW1656" t="inlineStr">
        <is>
          <t>991002568929702656</t>
        </is>
      </c>
      <c r="AX1656" t="inlineStr">
        <is>
          <t>991002568929702656</t>
        </is>
      </c>
      <c r="AY1656" t="inlineStr">
        <is>
          <t>2261149370002656</t>
        </is>
      </c>
      <c r="AZ1656" t="inlineStr">
        <is>
          <t>BOOK</t>
        </is>
      </c>
      <c r="BC1656" t="inlineStr">
        <is>
          <t>32285000760891</t>
        </is>
      </c>
      <c r="BD1656" t="inlineStr">
        <is>
          <t>893329254</t>
        </is>
      </c>
    </row>
    <row r="1657">
      <c r="A1657" t="inlineStr">
        <is>
          <t>No</t>
        </is>
      </c>
      <c r="B1657" t="inlineStr">
        <is>
          <t>QH95.8 .D69 1977</t>
        </is>
      </c>
      <c r="C1657" t="inlineStr">
        <is>
          <t>0                      QH 0095800D  69          1977</t>
        </is>
      </c>
      <c r="D1657" t="inlineStr">
        <is>
          <t>Life in the coral reef : based on the television series, Wild, wild world of animals / [Thomas A. Dozier and Don Earnest].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Dozier, Thomas A.</t>
        </is>
      </c>
      <c r="L1657" t="inlineStr">
        <is>
          <t>[New York] : Time-Life Films, c1977.</t>
        </is>
      </c>
      <c r="M1657" t="inlineStr">
        <is>
          <t>1977</t>
        </is>
      </c>
      <c r="O1657" t="inlineStr">
        <is>
          <t>eng</t>
        </is>
      </c>
      <c r="P1657" t="inlineStr">
        <is>
          <t>nyu</t>
        </is>
      </c>
      <c r="Q1657" t="inlineStr">
        <is>
          <t>Wild, wild world of animals</t>
        </is>
      </c>
      <c r="R1657" t="inlineStr">
        <is>
          <t xml:space="preserve">QH </t>
        </is>
      </c>
      <c r="S1657" t="n">
        <v>44</v>
      </c>
      <c r="T1657" t="n">
        <v>44</v>
      </c>
      <c r="U1657" t="inlineStr">
        <is>
          <t>1998-04-08</t>
        </is>
      </c>
      <c r="V1657" t="inlineStr">
        <is>
          <t>1998-04-08</t>
        </is>
      </c>
      <c r="W1657" t="inlineStr">
        <is>
          <t>1992-04-01</t>
        </is>
      </c>
      <c r="X1657" t="inlineStr">
        <is>
          <t>1992-04-01</t>
        </is>
      </c>
      <c r="Y1657" t="n">
        <v>514</v>
      </c>
      <c r="Z1657" t="n">
        <v>474</v>
      </c>
      <c r="AA1657" t="n">
        <v>476</v>
      </c>
      <c r="AB1657" t="n">
        <v>7</v>
      </c>
      <c r="AC1657" t="n">
        <v>7</v>
      </c>
      <c r="AD1657" t="n">
        <v>2</v>
      </c>
      <c r="AE1657" t="n">
        <v>2</v>
      </c>
      <c r="AF1657" t="n">
        <v>0</v>
      </c>
      <c r="AG1657" t="n">
        <v>0</v>
      </c>
      <c r="AH1657" t="n">
        <v>0</v>
      </c>
      <c r="AI1657" t="n">
        <v>0</v>
      </c>
      <c r="AJ1657" t="n">
        <v>1</v>
      </c>
      <c r="AK1657" t="n">
        <v>1</v>
      </c>
      <c r="AL1657" t="n">
        <v>1</v>
      </c>
      <c r="AM1657" t="n">
        <v>1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HYPERLINK("https://creighton-primo.hosted.exlibrisgroup.com/primo-explore/search?tab=default_tab&amp;search_scope=EVERYTHING&amp;vid=01CRU&amp;lang=en_US&amp;offset=0&amp;query=any,contains,991004412179702656","Catalog Record")</f>
        <v/>
      </c>
      <c r="AT1657">
        <f>HYPERLINK("http://www.worldcat.org/oclc/3346429","WorldCat Record")</f>
        <v/>
      </c>
      <c r="AU1657" t="inlineStr">
        <is>
          <t>353246286:eng</t>
        </is>
      </c>
      <c r="AV1657" t="inlineStr">
        <is>
          <t>3346429</t>
        </is>
      </c>
      <c r="AW1657" t="inlineStr">
        <is>
          <t>991004412179702656</t>
        </is>
      </c>
      <c r="AX1657" t="inlineStr">
        <is>
          <t>991004412179702656</t>
        </is>
      </c>
      <c r="AY1657" t="inlineStr">
        <is>
          <t>2256035230002656</t>
        </is>
      </c>
      <c r="AZ1657" t="inlineStr">
        <is>
          <t>BOOK</t>
        </is>
      </c>
      <c r="BB1657" t="inlineStr">
        <is>
          <t>9780913948156</t>
        </is>
      </c>
      <c r="BC1657" t="inlineStr">
        <is>
          <t>32285001047553</t>
        </is>
      </c>
      <c r="BD1657" t="inlineStr">
        <is>
          <t>893417601</t>
        </is>
      </c>
    </row>
    <row r="1658">
      <c r="A1658" t="inlineStr">
        <is>
          <t>No</t>
        </is>
      </c>
      <c r="B1658" t="inlineStr">
        <is>
          <t>QH96 .A48</t>
        </is>
      </c>
      <c r="C1658" t="inlineStr">
        <is>
          <t>0                      QH 0096000A  48</t>
        </is>
      </c>
      <c r="D1658" t="inlineStr">
        <is>
          <t>Nutrients in natural waters / edited by Herbert E. Allen [and] James R. Kramer.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Allen, Herbert E. (Herbert Ellis), 1939-</t>
        </is>
      </c>
      <c r="L1658" t="inlineStr">
        <is>
          <t>New York : Wiley, [1972]</t>
        </is>
      </c>
      <c r="M1658" t="inlineStr">
        <is>
          <t>1972</t>
        </is>
      </c>
      <c r="O1658" t="inlineStr">
        <is>
          <t>eng</t>
        </is>
      </c>
      <c r="P1658" t="inlineStr">
        <is>
          <t>nyu</t>
        </is>
      </c>
      <c r="Q1658" t="inlineStr">
        <is>
          <t>Environmental science and technology</t>
        </is>
      </c>
      <c r="R1658" t="inlineStr">
        <is>
          <t xml:space="preserve">QH </t>
        </is>
      </c>
      <c r="S1658" t="n">
        <v>79</v>
      </c>
      <c r="T1658" t="n">
        <v>79</v>
      </c>
      <c r="U1658" t="inlineStr">
        <is>
          <t>1999-11-04</t>
        </is>
      </c>
      <c r="V1658" t="inlineStr">
        <is>
          <t>1999-11-04</t>
        </is>
      </c>
      <c r="W1658" t="inlineStr">
        <is>
          <t>1991-01-15</t>
        </is>
      </c>
      <c r="X1658" t="inlineStr">
        <is>
          <t>1991-01-15</t>
        </is>
      </c>
      <c r="Y1658" t="n">
        <v>549</v>
      </c>
      <c r="Z1658" t="n">
        <v>396</v>
      </c>
      <c r="AA1658" t="n">
        <v>403</v>
      </c>
      <c r="AB1658" t="n">
        <v>5</v>
      </c>
      <c r="AC1658" t="n">
        <v>5</v>
      </c>
      <c r="AD1658" t="n">
        <v>10</v>
      </c>
      <c r="AE1658" t="n">
        <v>10</v>
      </c>
      <c r="AF1658" t="n">
        <v>3</v>
      </c>
      <c r="AG1658" t="n">
        <v>3</v>
      </c>
      <c r="AH1658" t="n">
        <v>4</v>
      </c>
      <c r="AI1658" t="n">
        <v>4</v>
      </c>
      <c r="AJ1658" t="n">
        <v>1</v>
      </c>
      <c r="AK1658" t="n">
        <v>1</v>
      </c>
      <c r="AL1658" t="n">
        <v>4</v>
      </c>
      <c r="AM1658" t="n">
        <v>4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HYPERLINK("http://catalog.hathitrust.org/Record/000004574","HathiTrust Record")</f>
        <v/>
      </c>
      <c r="AS1658">
        <f>HYPERLINK("https://creighton-primo.hosted.exlibrisgroup.com/primo-explore/search?tab=default_tab&amp;search_scope=EVERYTHING&amp;vid=01CRU&amp;lang=en_US&amp;offset=0&amp;query=any,contains,991002316059702656","Catalog Record")</f>
        <v/>
      </c>
      <c r="AT1658">
        <f>HYPERLINK("http://www.worldcat.org/oclc/320036","WorldCat Record")</f>
        <v/>
      </c>
      <c r="AU1658" t="inlineStr">
        <is>
          <t>347045352:eng</t>
        </is>
      </c>
      <c r="AV1658" t="inlineStr">
        <is>
          <t>320036</t>
        </is>
      </c>
      <c r="AW1658" t="inlineStr">
        <is>
          <t>991002316059702656</t>
        </is>
      </c>
      <c r="AX1658" t="inlineStr">
        <is>
          <t>991002316059702656</t>
        </is>
      </c>
      <c r="AY1658" t="inlineStr">
        <is>
          <t>2258840010002656</t>
        </is>
      </c>
      <c r="AZ1658" t="inlineStr">
        <is>
          <t>BOOK</t>
        </is>
      </c>
      <c r="BB1658" t="inlineStr">
        <is>
          <t>9780471023289</t>
        </is>
      </c>
      <c r="BC1658" t="inlineStr">
        <is>
          <t>32285000428382</t>
        </is>
      </c>
      <c r="BD1658" t="inlineStr">
        <is>
          <t>893257140</t>
        </is>
      </c>
    </row>
    <row r="1659">
      <c r="A1659" t="inlineStr">
        <is>
          <t>No</t>
        </is>
      </c>
      <c r="B1659" t="inlineStr">
        <is>
          <t>QH96 .C44 1985</t>
        </is>
      </c>
      <c r="C1659" t="inlineStr">
        <is>
          <t>0                      QH 0096000C  44          1985</t>
        </is>
      </c>
      <c r="D1659" t="inlineStr">
        <is>
          <t>Chemical processes in lakes / edited by Werner Stumm.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L1659" t="inlineStr">
        <is>
          <t>New York : Wiley, c1985.</t>
        </is>
      </c>
      <c r="M1659" t="inlineStr">
        <is>
          <t>1985</t>
        </is>
      </c>
      <c r="O1659" t="inlineStr">
        <is>
          <t>eng</t>
        </is>
      </c>
      <c r="P1659" t="inlineStr">
        <is>
          <t>nyu</t>
        </is>
      </c>
      <c r="Q1659" t="inlineStr">
        <is>
          <t>Environmental sciences and technology, 0194-0287</t>
        </is>
      </c>
      <c r="R1659" t="inlineStr">
        <is>
          <t xml:space="preserve">QH </t>
        </is>
      </c>
      <c r="S1659" t="n">
        <v>18</v>
      </c>
      <c r="T1659" t="n">
        <v>18</v>
      </c>
      <c r="U1659" t="inlineStr">
        <is>
          <t>2001-11-27</t>
        </is>
      </c>
      <c r="V1659" t="inlineStr">
        <is>
          <t>2001-11-27</t>
        </is>
      </c>
      <c r="W1659" t="inlineStr">
        <is>
          <t>1991-11-13</t>
        </is>
      </c>
      <c r="X1659" t="inlineStr">
        <is>
          <t>1991-11-13</t>
        </is>
      </c>
      <c r="Y1659" t="n">
        <v>550</v>
      </c>
      <c r="Z1659" t="n">
        <v>428</v>
      </c>
      <c r="AA1659" t="n">
        <v>430</v>
      </c>
      <c r="AB1659" t="n">
        <v>5</v>
      </c>
      <c r="AC1659" t="n">
        <v>5</v>
      </c>
      <c r="AD1659" t="n">
        <v>13</v>
      </c>
      <c r="AE1659" t="n">
        <v>13</v>
      </c>
      <c r="AF1659" t="n">
        <v>3</v>
      </c>
      <c r="AG1659" t="n">
        <v>3</v>
      </c>
      <c r="AH1659" t="n">
        <v>3</v>
      </c>
      <c r="AI1659" t="n">
        <v>3</v>
      </c>
      <c r="AJ1659" t="n">
        <v>4</v>
      </c>
      <c r="AK1659" t="n">
        <v>4</v>
      </c>
      <c r="AL1659" t="n">
        <v>4</v>
      </c>
      <c r="AM1659" t="n">
        <v>4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Yes</t>
        </is>
      </c>
      <c r="AR1659">
        <f>HYPERLINK("http://catalog.hathitrust.org/Record/000567090","HathiTrust Record")</f>
        <v/>
      </c>
      <c r="AS1659">
        <f>HYPERLINK("https://creighton-primo.hosted.exlibrisgroup.com/primo-explore/search?tab=default_tab&amp;search_scope=EVERYTHING&amp;vid=01CRU&amp;lang=en_US&amp;offset=0&amp;query=any,contains,991000489599702656","Catalog Record")</f>
        <v/>
      </c>
      <c r="AT1659">
        <f>HYPERLINK("http://www.worldcat.org/oclc/11091376","WorldCat Record")</f>
        <v/>
      </c>
      <c r="AU1659" t="inlineStr">
        <is>
          <t>4111413:eng</t>
        </is>
      </c>
      <c r="AV1659" t="inlineStr">
        <is>
          <t>11091376</t>
        </is>
      </c>
      <c r="AW1659" t="inlineStr">
        <is>
          <t>991000489599702656</t>
        </is>
      </c>
      <c r="AX1659" t="inlineStr">
        <is>
          <t>991000489599702656</t>
        </is>
      </c>
      <c r="AY1659" t="inlineStr">
        <is>
          <t>2270773110002656</t>
        </is>
      </c>
      <c r="AZ1659" t="inlineStr">
        <is>
          <t>BOOK</t>
        </is>
      </c>
      <c r="BB1659" t="inlineStr">
        <is>
          <t>9780471882619</t>
        </is>
      </c>
      <c r="BC1659" t="inlineStr">
        <is>
          <t>32285000824358</t>
        </is>
      </c>
      <c r="BD1659" t="inlineStr">
        <is>
          <t>893614211</t>
        </is>
      </c>
    </row>
    <row r="1660">
      <c r="A1660" t="inlineStr">
        <is>
          <t>No</t>
        </is>
      </c>
      <c r="B1660" t="inlineStr">
        <is>
          <t>QH96 .C6</t>
        </is>
      </c>
      <c r="C1660" t="inlineStr">
        <is>
          <t>0                      QH 0096000C  6</t>
        </is>
      </c>
      <c r="D1660" t="inlineStr">
        <is>
          <t>Streams, lakes, ponds.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K1660" t="inlineStr">
        <is>
          <t>Coker, R. E. (Robert Ervin), 1876-1967.</t>
        </is>
      </c>
      <c r="L1660" t="inlineStr">
        <is>
          <t>Chapel Hill, University of North Carolina Press [1954]</t>
        </is>
      </c>
      <c r="M1660" t="inlineStr">
        <is>
          <t>1954</t>
        </is>
      </c>
      <c r="O1660" t="inlineStr">
        <is>
          <t>eng</t>
        </is>
      </c>
      <c r="P1660" t="inlineStr">
        <is>
          <t>ncu</t>
        </is>
      </c>
      <c r="R1660" t="inlineStr">
        <is>
          <t xml:space="preserve">QH </t>
        </is>
      </c>
      <c r="S1660" t="n">
        <v>21</v>
      </c>
      <c r="T1660" t="n">
        <v>21</v>
      </c>
      <c r="U1660" t="inlineStr">
        <is>
          <t>2001-03-01</t>
        </is>
      </c>
      <c r="V1660" t="inlineStr">
        <is>
          <t>2001-03-01</t>
        </is>
      </c>
      <c r="W1660" t="inlineStr">
        <is>
          <t>1992-06-10</t>
        </is>
      </c>
      <c r="X1660" t="inlineStr">
        <is>
          <t>1992-06-10</t>
        </is>
      </c>
      <c r="Y1660" t="n">
        <v>705</v>
      </c>
      <c r="Z1660" t="n">
        <v>641</v>
      </c>
      <c r="AA1660" t="n">
        <v>748</v>
      </c>
      <c r="AB1660" t="n">
        <v>6</v>
      </c>
      <c r="AC1660" t="n">
        <v>6</v>
      </c>
      <c r="AD1660" t="n">
        <v>22</v>
      </c>
      <c r="AE1660" t="n">
        <v>22</v>
      </c>
      <c r="AF1660" t="n">
        <v>9</v>
      </c>
      <c r="AG1660" t="n">
        <v>9</v>
      </c>
      <c r="AH1660" t="n">
        <v>3</v>
      </c>
      <c r="AI1660" t="n">
        <v>3</v>
      </c>
      <c r="AJ1660" t="n">
        <v>8</v>
      </c>
      <c r="AK1660" t="n">
        <v>8</v>
      </c>
      <c r="AL1660" t="n">
        <v>5</v>
      </c>
      <c r="AM1660" t="n">
        <v>5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R1660">
        <f>HYPERLINK("http://catalog.hathitrust.org/Record/001490501","HathiTrust Record")</f>
        <v/>
      </c>
      <c r="AS1660">
        <f>HYPERLINK("https://creighton-primo.hosted.exlibrisgroup.com/primo-explore/search?tab=default_tab&amp;search_scope=EVERYTHING&amp;vid=01CRU&amp;lang=en_US&amp;offset=0&amp;query=any,contains,991002379529702656","Catalog Record")</f>
        <v/>
      </c>
      <c r="AT1660">
        <f>HYPERLINK("http://www.worldcat.org/oclc/327949","WorldCat Record")</f>
        <v/>
      </c>
      <c r="AU1660" t="inlineStr">
        <is>
          <t>101940631:eng</t>
        </is>
      </c>
      <c r="AV1660" t="inlineStr">
        <is>
          <t>327949</t>
        </is>
      </c>
      <c r="AW1660" t="inlineStr">
        <is>
          <t>991002379529702656</t>
        </is>
      </c>
      <c r="AX1660" t="inlineStr">
        <is>
          <t>991002379529702656</t>
        </is>
      </c>
      <c r="AY1660" t="inlineStr">
        <is>
          <t>2272589390002656</t>
        </is>
      </c>
      <c r="AZ1660" t="inlineStr">
        <is>
          <t>BOOK</t>
        </is>
      </c>
      <c r="BC1660" t="inlineStr">
        <is>
          <t>32285001098937</t>
        </is>
      </c>
      <c r="BD1660" t="inlineStr">
        <is>
          <t>893409035</t>
        </is>
      </c>
    </row>
    <row r="1661">
      <c r="A1661" t="inlineStr">
        <is>
          <t>No</t>
        </is>
      </c>
      <c r="B1661" t="inlineStr">
        <is>
          <t>QH96 .E33</t>
        </is>
      </c>
      <c r="C1661" t="inlineStr">
        <is>
          <t>0                      QH 0096000E  33</t>
        </is>
      </c>
      <c r="D1661" t="inlineStr">
        <is>
          <t>Fresh-water biology.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Yes</t>
        </is>
      </c>
      <c r="J1661" t="inlineStr">
        <is>
          <t>0</t>
        </is>
      </c>
      <c r="K1661" t="inlineStr">
        <is>
          <t>Edmondson, W. T. (Walles Thomas), 1916-2000, editor.</t>
        </is>
      </c>
      <c r="L1661" t="inlineStr">
        <is>
          <t>New York : Wiley, [1959]</t>
        </is>
      </c>
      <c r="M1661" t="inlineStr">
        <is>
          <t>1959</t>
        </is>
      </c>
      <c r="N1661" t="inlineStr">
        <is>
          <t>2d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QH </t>
        </is>
      </c>
      <c r="S1661" t="n">
        <v>7</v>
      </c>
      <c r="T1661" t="n">
        <v>7</v>
      </c>
      <c r="U1661" t="inlineStr">
        <is>
          <t>1999-11-07</t>
        </is>
      </c>
      <c r="V1661" t="inlineStr">
        <is>
          <t>1999-11-07</t>
        </is>
      </c>
      <c r="W1661" t="inlineStr">
        <is>
          <t>1992-07-15</t>
        </is>
      </c>
      <c r="X1661" t="inlineStr">
        <is>
          <t>1992-07-15</t>
        </is>
      </c>
      <c r="Y1661" t="n">
        <v>1178</v>
      </c>
      <c r="Z1661" t="n">
        <v>1025</v>
      </c>
      <c r="AA1661" t="n">
        <v>1202</v>
      </c>
      <c r="AB1661" t="n">
        <v>11</v>
      </c>
      <c r="AC1661" t="n">
        <v>12</v>
      </c>
      <c r="AD1661" t="n">
        <v>38</v>
      </c>
      <c r="AE1661" t="n">
        <v>48</v>
      </c>
      <c r="AF1661" t="n">
        <v>14</v>
      </c>
      <c r="AG1661" t="n">
        <v>19</v>
      </c>
      <c r="AH1661" t="n">
        <v>6</v>
      </c>
      <c r="AI1661" t="n">
        <v>9</v>
      </c>
      <c r="AJ1661" t="n">
        <v>17</v>
      </c>
      <c r="AK1661" t="n">
        <v>21</v>
      </c>
      <c r="AL1661" t="n">
        <v>10</v>
      </c>
      <c r="AM1661" t="n">
        <v>10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R1661">
        <f>HYPERLINK("http://catalog.hathitrust.org/Record/000144858","HathiTrust Record")</f>
        <v/>
      </c>
      <c r="AS1661">
        <f>HYPERLINK("https://creighton-primo.hosted.exlibrisgroup.com/primo-explore/search?tab=default_tab&amp;search_scope=EVERYTHING&amp;vid=01CRU&amp;lang=en_US&amp;offset=0&amp;query=any,contains,991002149499702656","Catalog Record")</f>
        <v/>
      </c>
      <c r="AT1661">
        <f>HYPERLINK("http://www.worldcat.org/oclc/271760","WorldCat Record")</f>
        <v/>
      </c>
      <c r="AU1661" t="inlineStr">
        <is>
          <t>1645258:eng</t>
        </is>
      </c>
      <c r="AV1661" t="inlineStr">
        <is>
          <t>271760</t>
        </is>
      </c>
      <c r="AW1661" t="inlineStr">
        <is>
          <t>991002149499702656</t>
        </is>
      </c>
      <c r="AX1661" t="inlineStr">
        <is>
          <t>991002149499702656</t>
        </is>
      </c>
      <c r="AY1661" t="inlineStr">
        <is>
          <t>2264236240002656</t>
        </is>
      </c>
      <c r="AZ1661" t="inlineStr">
        <is>
          <t>BOOK</t>
        </is>
      </c>
      <c r="BC1661" t="inlineStr">
        <is>
          <t>32285001152296</t>
        </is>
      </c>
      <c r="BD1661" t="inlineStr">
        <is>
          <t>893529605</t>
        </is>
      </c>
    </row>
    <row r="1662">
      <c r="A1662" t="inlineStr">
        <is>
          <t>No</t>
        </is>
      </c>
      <c r="B1662" t="inlineStr">
        <is>
          <t>QH96 .F7</t>
        </is>
      </c>
      <c r="C1662" t="inlineStr">
        <is>
          <t>0                      QH 0096000F  7</t>
        </is>
      </c>
      <c r="D1662" t="inlineStr">
        <is>
          <t>Limnology in North America.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Frey, David G. (David Grover), 1915-1992, editor.</t>
        </is>
      </c>
      <c r="L1662" t="inlineStr">
        <is>
          <t>Madison : University of Wisconsin Press, 1963.</t>
        </is>
      </c>
      <c r="M1662" t="inlineStr">
        <is>
          <t>1963</t>
        </is>
      </c>
      <c r="O1662" t="inlineStr">
        <is>
          <t>eng</t>
        </is>
      </c>
      <c r="P1662" t="inlineStr">
        <is>
          <t>wiu</t>
        </is>
      </c>
      <c r="R1662" t="inlineStr">
        <is>
          <t xml:space="preserve">QH </t>
        </is>
      </c>
      <c r="S1662" t="n">
        <v>89</v>
      </c>
      <c r="T1662" t="n">
        <v>89</v>
      </c>
      <c r="U1662" t="inlineStr">
        <is>
          <t>1999-11-07</t>
        </is>
      </c>
      <c r="V1662" t="inlineStr">
        <is>
          <t>1999-11-07</t>
        </is>
      </c>
      <c r="W1662" t="inlineStr">
        <is>
          <t>1991-01-15</t>
        </is>
      </c>
      <c r="X1662" t="inlineStr">
        <is>
          <t>1991-01-15</t>
        </is>
      </c>
      <c r="Y1662" t="n">
        <v>856</v>
      </c>
      <c r="Z1662" t="n">
        <v>766</v>
      </c>
      <c r="AA1662" t="n">
        <v>863</v>
      </c>
      <c r="AB1662" t="n">
        <v>7</v>
      </c>
      <c r="AC1662" t="n">
        <v>8</v>
      </c>
      <c r="AD1662" t="n">
        <v>25</v>
      </c>
      <c r="AE1662" t="n">
        <v>31</v>
      </c>
      <c r="AF1662" t="n">
        <v>11</v>
      </c>
      <c r="AG1662" t="n">
        <v>13</v>
      </c>
      <c r="AH1662" t="n">
        <v>3</v>
      </c>
      <c r="AI1662" t="n">
        <v>4</v>
      </c>
      <c r="AJ1662" t="n">
        <v>11</v>
      </c>
      <c r="AK1662" t="n">
        <v>15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No</t>
        </is>
      </c>
      <c r="AR1662">
        <f>HYPERLINK("http://catalog.hathitrust.org/Record/001490502","HathiTrust Record")</f>
        <v/>
      </c>
      <c r="AS1662">
        <f>HYPERLINK("https://creighton-primo.hosted.exlibrisgroup.com/primo-explore/search?tab=default_tab&amp;search_scope=EVERYTHING&amp;vid=01CRU&amp;lang=en_US&amp;offset=0&amp;query=any,contains,991001208949702656","Catalog Record")</f>
        <v/>
      </c>
      <c r="AT1662">
        <f>HYPERLINK("http://www.worldcat.org/oclc/192795","WorldCat Record")</f>
        <v/>
      </c>
      <c r="AU1662" t="inlineStr">
        <is>
          <t>54459165:eng</t>
        </is>
      </c>
      <c r="AV1662" t="inlineStr">
        <is>
          <t>192795</t>
        </is>
      </c>
      <c r="AW1662" t="inlineStr">
        <is>
          <t>991001208949702656</t>
        </is>
      </c>
      <c r="AX1662" t="inlineStr">
        <is>
          <t>991001208949702656</t>
        </is>
      </c>
      <c r="AY1662" t="inlineStr">
        <is>
          <t>2256338740002656</t>
        </is>
      </c>
      <c r="AZ1662" t="inlineStr">
        <is>
          <t>BOOK</t>
        </is>
      </c>
      <c r="BC1662" t="inlineStr">
        <is>
          <t>32285000428374</t>
        </is>
      </c>
      <c r="BD1662" t="inlineStr">
        <is>
          <t>893797394</t>
        </is>
      </c>
    </row>
    <row r="1663">
      <c r="A1663" t="inlineStr">
        <is>
          <t>No</t>
        </is>
      </c>
      <c r="B1663" t="inlineStr">
        <is>
          <t>QH96 .H9</t>
        </is>
      </c>
      <c r="C1663" t="inlineStr">
        <is>
          <t>0                      QH 0096000H  9</t>
        </is>
      </c>
      <c r="D1663" t="inlineStr">
        <is>
          <t>The biology of polluted waters / with an introduction by F.T.K. Pentelow.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Hynes, H. B. N. (Hugh Bernard Noel), 1917-2009.</t>
        </is>
      </c>
      <c r="L1663" t="inlineStr">
        <is>
          <t>[Liverpool] : Liverpool University Press, 1960.</t>
        </is>
      </c>
      <c r="M1663" t="inlineStr">
        <is>
          <t>1960</t>
        </is>
      </c>
      <c r="O1663" t="inlineStr">
        <is>
          <t>eng</t>
        </is>
      </c>
      <c r="P1663" t="inlineStr">
        <is>
          <t>enk</t>
        </is>
      </c>
      <c r="R1663" t="inlineStr">
        <is>
          <t xml:space="preserve">QH </t>
        </is>
      </c>
      <c r="S1663" t="n">
        <v>33</v>
      </c>
      <c r="T1663" t="n">
        <v>33</v>
      </c>
      <c r="U1663" t="inlineStr">
        <is>
          <t>2001-04-11</t>
        </is>
      </c>
      <c r="V1663" t="inlineStr">
        <is>
          <t>2001-04-11</t>
        </is>
      </c>
      <c r="W1663" t="inlineStr">
        <is>
          <t>1991-12-10</t>
        </is>
      </c>
      <c r="X1663" t="inlineStr">
        <is>
          <t>1991-12-10</t>
        </is>
      </c>
      <c r="Y1663" t="n">
        <v>494</v>
      </c>
      <c r="Z1663" t="n">
        <v>354</v>
      </c>
      <c r="AA1663" t="n">
        <v>653</v>
      </c>
      <c r="AB1663" t="n">
        <v>4</v>
      </c>
      <c r="AC1663" t="n">
        <v>4</v>
      </c>
      <c r="AD1663" t="n">
        <v>14</v>
      </c>
      <c r="AE1663" t="n">
        <v>26</v>
      </c>
      <c r="AF1663" t="n">
        <v>6</v>
      </c>
      <c r="AG1663" t="n">
        <v>13</v>
      </c>
      <c r="AH1663" t="n">
        <v>3</v>
      </c>
      <c r="AI1663" t="n">
        <v>3</v>
      </c>
      <c r="AJ1663" t="n">
        <v>7</v>
      </c>
      <c r="AK1663" t="n">
        <v>13</v>
      </c>
      <c r="AL1663" t="n">
        <v>3</v>
      </c>
      <c r="AM1663" t="n">
        <v>3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Yes</t>
        </is>
      </c>
      <c r="AR1663">
        <f>HYPERLINK("http://catalog.hathitrust.org/Record/001495815","HathiTrust Record")</f>
        <v/>
      </c>
      <c r="AS1663">
        <f>HYPERLINK("https://creighton-primo.hosted.exlibrisgroup.com/primo-explore/search?tab=default_tab&amp;search_scope=EVERYTHING&amp;vid=01CRU&amp;lang=en_US&amp;offset=0&amp;query=any,contains,991002274159702656","Catalog Record")</f>
        <v/>
      </c>
      <c r="AT1663">
        <f>HYPERLINK("http://www.worldcat.org/oclc/309655","WorldCat Record")</f>
        <v/>
      </c>
      <c r="AU1663" t="inlineStr">
        <is>
          <t>1368241:eng</t>
        </is>
      </c>
      <c r="AV1663" t="inlineStr">
        <is>
          <t>309655</t>
        </is>
      </c>
      <c r="AW1663" t="inlineStr">
        <is>
          <t>991002274159702656</t>
        </is>
      </c>
      <c r="AX1663" t="inlineStr">
        <is>
          <t>991002274159702656</t>
        </is>
      </c>
      <c r="AY1663" t="inlineStr">
        <is>
          <t>2264524470002656</t>
        </is>
      </c>
      <c r="AZ1663" t="inlineStr">
        <is>
          <t>BOOK</t>
        </is>
      </c>
      <c r="BC1663" t="inlineStr">
        <is>
          <t>32285000839281</t>
        </is>
      </c>
      <c r="BD1663" t="inlineStr">
        <is>
          <t>893226648</t>
        </is>
      </c>
    </row>
    <row r="1664">
      <c r="A1664" t="inlineStr">
        <is>
          <t>No</t>
        </is>
      </c>
      <c r="B1664" t="inlineStr">
        <is>
          <t>QH96 .K56</t>
        </is>
      </c>
      <c r="C1664" t="inlineStr">
        <is>
          <t>0                      QH 0096000K  56</t>
        </is>
      </c>
      <c r="D1664" t="inlineStr">
        <is>
          <t>The new field book of freshwater life / [by] Elsie B. Klots. Drawings by SuZan Noguchi Swain.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Klots, Elsie Broughton.</t>
        </is>
      </c>
      <c r="L1664" t="inlineStr">
        <is>
          <t>New York : Putnam, [1966]</t>
        </is>
      </c>
      <c r="M1664" t="inlineStr">
        <is>
          <t>1966</t>
        </is>
      </c>
      <c r="O1664" t="inlineStr">
        <is>
          <t>eng</t>
        </is>
      </c>
      <c r="P1664" t="inlineStr">
        <is>
          <t>nyu</t>
        </is>
      </c>
      <c r="Q1664" t="inlineStr">
        <is>
          <t>Putnam's nature field books</t>
        </is>
      </c>
      <c r="R1664" t="inlineStr">
        <is>
          <t xml:space="preserve">QH </t>
        </is>
      </c>
      <c r="S1664" t="n">
        <v>4</v>
      </c>
      <c r="T1664" t="n">
        <v>4</v>
      </c>
      <c r="U1664" t="inlineStr">
        <is>
          <t>1997-08-08</t>
        </is>
      </c>
      <c r="V1664" t="inlineStr">
        <is>
          <t>1997-08-08</t>
        </is>
      </c>
      <c r="W1664" t="inlineStr">
        <is>
          <t>1992-07-15</t>
        </is>
      </c>
      <c r="X1664" t="inlineStr">
        <is>
          <t>1992-07-15</t>
        </is>
      </c>
      <c r="Y1664" t="n">
        <v>829</v>
      </c>
      <c r="Z1664" t="n">
        <v>783</v>
      </c>
      <c r="AA1664" t="n">
        <v>790</v>
      </c>
      <c r="AB1664" t="n">
        <v>6</v>
      </c>
      <c r="AC1664" t="n">
        <v>6</v>
      </c>
      <c r="AD1664" t="n">
        <v>14</v>
      </c>
      <c r="AE1664" t="n">
        <v>14</v>
      </c>
      <c r="AF1664" t="n">
        <v>5</v>
      </c>
      <c r="AG1664" t="n">
        <v>5</v>
      </c>
      <c r="AH1664" t="n">
        <v>3</v>
      </c>
      <c r="AI1664" t="n">
        <v>3</v>
      </c>
      <c r="AJ1664" t="n">
        <v>6</v>
      </c>
      <c r="AK1664" t="n">
        <v>6</v>
      </c>
      <c r="AL1664" t="n">
        <v>4</v>
      </c>
      <c r="AM1664" t="n">
        <v>4</v>
      </c>
      <c r="AN1664" t="n">
        <v>0</v>
      </c>
      <c r="AO1664" t="n">
        <v>0</v>
      </c>
      <c r="AP1664" t="inlineStr">
        <is>
          <t>No</t>
        </is>
      </c>
      <c r="AQ1664" t="inlineStr">
        <is>
          <t>No</t>
        </is>
      </c>
      <c r="AS1664">
        <f>HYPERLINK("https://creighton-primo.hosted.exlibrisgroup.com/primo-explore/search?tab=default_tab&amp;search_scope=EVERYTHING&amp;vid=01CRU&amp;lang=en_US&amp;offset=0&amp;query=any,contains,991001389819702656","Catalog Record")</f>
        <v/>
      </c>
      <c r="AT1664">
        <f>HYPERLINK("http://www.worldcat.org/oclc/227837","WorldCat Record")</f>
        <v/>
      </c>
      <c r="AU1664" t="inlineStr">
        <is>
          <t>26627782:eng</t>
        </is>
      </c>
      <c r="AV1664" t="inlineStr">
        <is>
          <t>227837</t>
        </is>
      </c>
      <c r="AW1664" t="inlineStr">
        <is>
          <t>991001389819702656</t>
        </is>
      </c>
      <c r="AX1664" t="inlineStr">
        <is>
          <t>991001389819702656</t>
        </is>
      </c>
      <c r="AY1664" t="inlineStr">
        <is>
          <t>2255833640002656</t>
        </is>
      </c>
      <c r="AZ1664" t="inlineStr">
        <is>
          <t>BOOK</t>
        </is>
      </c>
      <c r="BC1664" t="inlineStr">
        <is>
          <t>32285001152288</t>
        </is>
      </c>
      <c r="BD1664" t="inlineStr">
        <is>
          <t>893690588</t>
        </is>
      </c>
    </row>
    <row r="1665">
      <c r="A1665" t="inlineStr">
        <is>
          <t>No</t>
        </is>
      </c>
      <c r="B1665" t="inlineStr">
        <is>
          <t>QH96 .S2913 1987</t>
        </is>
      </c>
      <c r="C1665" t="inlineStr">
        <is>
          <t>0                      QH 0096000S  2913        1987</t>
        </is>
      </c>
      <c r="D1665" t="inlineStr">
        <is>
          <t>Handbook of limnology / J. Schwoerbel ; translator, B. Hemmings ; translation editor, E.B. Pike.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K1665" t="inlineStr">
        <is>
          <t>Schwoerbel, Jürgen.</t>
        </is>
      </c>
      <c r="L1665" t="inlineStr">
        <is>
          <t>Chichester : E. Horwood ; New York : Halsted Press, 1987.</t>
        </is>
      </c>
      <c r="M1665" t="inlineStr">
        <is>
          <t>1987</t>
        </is>
      </c>
      <c r="N1665" t="inlineStr">
        <is>
          <t>[5th ed.].</t>
        </is>
      </c>
      <c r="O1665" t="inlineStr">
        <is>
          <t>eng</t>
        </is>
      </c>
      <c r="P1665" t="inlineStr">
        <is>
          <t>enk</t>
        </is>
      </c>
      <c r="Q1665" t="inlineStr">
        <is>
          <t>Ellis Horwood books in water and wastewater technology</t>
        </is>
      </c>
      <c r="R1665" t="inlineStr">
        <is>
          <t xml:space="preserve">QH </t>
        </is>
      </c>
      <c r="S1665" t="n">
        <v>97</v>
      </c>
      <c r="T1665" t="n">
        <v>97</v>
      </c>
      <c r="U1665" t="inlineStr">
        <is>
          <t>2008-03-14</t>
        </is>
      </c>
      <c r="V1665" t="inlineStr">
        <is>
          <t>2008-03-14</t>
        </is>
      </c>
      <c r="W1665" t="inlineStr">
        <is>
          <t>1991-10-02</t>
        </is>
      </c>
      <c r="X1665" t="inlineStr">
        <is>
          <t>1991-10-02</t>
        </is>
      </c>
      <c r="Y1665" t="n">
        <v>261</v>
      </c>
      <c r="Z1665" t="n">
        <v>194</v>
      </c>
      <c r="AA1665" t="n">
        <v>196</v>
      </c>
      <c r="AB1665" t="n">
        <v>1</v>
      </c>
      <c r="AC1665" t="n">
        <v>1</v>
      </c>
      <c r="AD1665" t="n">
        <v>4</v>
      </c>
      <c r="AE1665" t="n">
        <v>4</v>
      </c>
      <c r="AF1665" t="n">
        <v>2</v>
      </c>
      <c r="AG1665" t="n">
        <v>2</v>
      </c>
      <c r="AH1665" t="n">
        <v>0</v>
      </c>
      <c r="AI1665" t="n">
        <v>0</v>
      </c>
      <c r="AJ1665" t="n">
        <v>3</v>
      </c>
      <c r="AK1665" t="n">
        <v>3</v>
      </c>
      <c r="AL1665" t="n">
        <v>0</v>
      </c>
      <c r="AM1665" t="n">
        <v>0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Yes</t>
        </is>
      </c>
      <c r="AR1665">
        <f>HYPERLINK("http://catalog.hathitrust.org/Record/000823822","HathiTrust Record")</f>
        <v/>
      </c>
      <c r="AS1665">
        <f>HYPERLINK("https://creighton-primo.hosted.exlibrisgroup.com/primo-explore/search?tab=default_tab&amp;search_scope=EVERYTHING&amp;vid=01CRU&amp;lang=en_US&amp;offset=0&amp;query=any,contains,991000908589702656","Catalog Record")</f>
        <v/>
      </c>
      <c r="AT1665">
        <f>HYPERLINK("http://www.worldcat.org/oclc/14127828","WorldCat Record")</f>
        <v/>
      </c>
      <c r="AU1665" t="inlineStr">
        <is>
          <t>4851748:eng</t>
        </is>
      </c>
      <c r="AV1665" t="inlineStr">
        <is>
          <t>14127828</t>
        </is>
      </c>
      <c r="AW1665" t="inlineStr">
        <is>
          <t>991000908589702656</t>
        </is>
      </c>
      <c r="AX1665" t="inlineStr">
        <is>
          <t>991000908589702656</t>
        </is>
      </c>
      <c r="AY1665" t="inlineStr">
        <is>
          <t>2262432150002656</t>
        </is>
      </c>
      <c r="AZ1665" t="inlineStr">
        <is>
          <t>BOOK</t>
        </is>
      </c>
      <c r="BB1665" t="inlineStr">
        <is>
          <t>9780470207697</t>
        </is>
      </c>
      <c r="BC1665" t="inlineStr">
        <is>
          <t>32285000716380</t>
        </is>
      </c>
      <c r="BD1665" t="inlineStr">
        <is>
          <t>893690142</t>
        </is>
      </c>
    </row>
    <row r="1666">
      <c r="A1666" t="inlineStr">
        <is>
          <t>No</t>
        </is>
      </c>
      <c r="B1666" t="inlineStr">
        <is>
          <t>QH96 .W3 1918</t>
        </is>
      </c>
      <c r="C1666" t="inlineStr">
        <is>
          <t>0                      QH 0096000W  3           1918</t>
        </is>
      </c>
      <c r="D1666" t="inlineStr">
        <is>
          <t>Fresh-water biology, by Henry Baldwin Ward ... and George Chandler Whipple ... with the collaboration of a staff of specialists.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Yes</t>
        </is>
      </c>
      <c r="J1666" t="inlineStr">
        <is>
          <t>0</t>
        </is>
      </c>
      <c r="K1666" t="inlineStr">
        <is>
          <t>Ward, Henry Baldwin, 1865-1945.</t>
        </is>
      </c>
      <c r="L1666" t="inlineStr">
        <is>
          <t>New York, John Wiley &amp; sons, inc.; [etc., etc.] 1918.</t>
        </is>
      </c>
      <c r="M1666" t="inlineStr">
        <is>
          <t>1918</t>
        </is>
      </c>
      <c r="N1666" t="inlineStr">
        <is>
          <t>1st ed.</t>
        </is>
      </c>
      <c r="O1666" t="inlineStr">
        <is>
          <t>eng</t>
        </is>
      </c>
      <c r="P1666" t="inlineStr">
        <is>
          <t>nyu</t>
        </is>
      </c>
      <c r="R1666" t="inlineStr">
        <is>
          <t xml:space="preserve">QH </t>
        </is>
      </c>
      <c r="S1666" t="n">
        <v>2</v>
      </c>
      <c r="T1666" t="n">
        <v>2</v>
      </c>
      <c r="U1666" t="inlineStr">
        <is>
          <t>1999-11-07</t>
        </is>
      </c>
      <c r="V1666" t="inlineStr">
        <is>
          <t>1999-11-07</t>
        </is>
      </c>
      <c r="W1666" t="inlineStr">
        <is>
          <t>1992-06-10</t>
        </is>
      </c>
      <c r="X1666" t="inlineStr">
        <is>
          <t>1992-06-10</t>
        </is>
      </c>
      <c r="Y1666" t="n">
        <v>497</v>
      </c>
      <c r="Z1666" t="n">
        <v>413</v>
      </c>
      <c r="AA1666" t="n">
        <v>1202</v>
      </c>
      <c r="AB1666" t="n">
        <v>6</v>
      </c>
      <c r="AC1666" t="n">
        <v>12</v>
      </c>
      <c r="AD1666" t="n">
        <v>21</v>
      </c>
      <c r="AE1666" t="n">
        <v>48</v>
      </c>
      <c r="AF1666" t="n">
        <v>8</v>
      </c>
      <c r="AG1666" t="n">
        <v>19</v>
      </c>
      <c r="AH1666" t="n">
        <v>3</v>
      </c>
      <c r="AI1666" t="n">
        <v>9</v>
      </c>
      <c r="AJ1666" t="n">
        <v>9</v>
      </c>
      <c r="AK1666" t="n">
        <v>21</v>
      </c>
      <c r="AL1666" t="n">
        <v>4</v>
      </c>
      <c r="AM1666" t="n">
        <v>10</v>
      </c>
      <c r="AN1666" t="n">
        <v>0</v>
      </c>
      <c r="AO1666" t="n">
        <v>0</v>
      </c>
      <c r="AP1666" t="inlineStr">
        <is>
          <t>Yes</t>
        </is>
      </c>
      <c r="AQ1666" t="inlineStr">
        <is>
          <t>No</t>
        </is>
      </c>
      <c r="AR1666">
        <f>HYPERLINK("http://catalog.hathitrust.org/Record/001999858","HathiTrust Record")</f>
        <v/>
      </c>
      <c r="AS1666">
        <f>HYPERLINK("https://creighton-primo.hosted.exlibrisgroup.com/primo-explore/search?tab=default_tab&amp;search_scope=EVERYTHING&amp;vid=01CRU&amp;lang=en_US&amp;offset=0&amp;query=any,contains,991003745239702656","Catalog Record")</f>
        <v/>
      </c>
      <c r="AT1666">
        <f>HYPERLINK("http://www.worldcat.org/oclc/1415642","WorldCat Record")</f>
        <v/>
      </c>
      <c r="AU1666" t="inlineStr">
        <is>
          <t>1645258:eng</t>
        </is>
      </c>
      <c r="AV1666" t="inlineStr">
        <is>
          <t>1415642</t>
        </is>
      </c>
      <c r="AW1666" t="inlineStr">
        <is>
          <t>991003745239702656</t>
        </is>
      </c>
      <c r="AX1666" t="inlineStr">
        <is>
          <t>991003745239702656</t>
        </is>
      </c>
      <c r="AY1666" t="inlineStr">
        <is>
          <t>2262121660002656</t>
        </is>
      </c>
      <c r="AZ1666" t="inlineStr">
        <is>
          <t>BOOK</t>
        </is>
      </c>
      <c r="BC1666" t="inlineStr">
        <is>
          <t>32285001098804</t>
        </is>
      </c>
      <c r="BD1666" t="inlineStr">
        <is>
          <t>893605154</t>
        </is>
      </c>
    </row>
    <row r="1667">
      <c r="A1667" t="inlineStr">
        <is>
          <t>No</t>
        </is>
      </c>
      <c r="B1667" t="inlineStr">
        <is>
          <t>QH96 .W39 1948</t>
        </is>
      </c>
      <c r="C1667" t="inlineStr">
        <is>
          <t>0                      QH 0096000W  39          1948</t>
        </is>
      </c>
      <c r="D1667" t="inlineStr">
        <is>
          <t>Limnological methods.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Welch, Paul S. (Paul Smith), 1882-1959.</t>
        </is>
      </c>
      <c r="L1667" t="inlineStr">
        <is>
          <t>New York, McGraw-Hill [1948]</t>
        </is>
      </c>
      <c r="M1667" t="inlineStr">
        <is>
          <t>1948</t>
        </is>
      </c>
      <c r="O1667" t="inlineStr">
        <is>
          <t>eng</t>
        </is>
      </c>
      <c r="P1667" t="inlineStr">
        <is>
          <t xml:space="preserve">xx </t>
        </is>
      </c>
      <c r="R1667" t="inlineStr">
        <is>
          <t xml:space="preserve">QH </t>
        </is>
      </c>
      <c r="S1667" t="n">
        <v>11</v>
      </c>
      <c r="T1667" t="n">
        <v>11</v>
      </c>
      <c r="U1667" t="inlineStr">
        <is>
          <t>1998-10-12</t>
        </is>
      </c>
      <c r="V1667" t="inlineStr">
        <is>
          <t>1998-10-12</t>
        </is>
      </c>
      <c r="W1667" t="inlineStr">
        <is>
          <t>1992-06-10</t>
        </is>
      </c>
      <c r="X1667" t="inlineStr">
        <is>
          <t>1992-06-10</t>
        </is>
      </c>
      <c r="Y1667" t="n">
        <v>411</v>
      </c>
      <c r="Z1667" t="n">
        <v>331</v>
      </c>
      <c r="AA1667" t="n">
        <v>636</v>
      </c>
      <c r="AB1667" t="n">
        <v>4</v>
      </c>
      <c r="AC1667" t="n">
        <v>6</v>
      </c>
      <c r="AD1667" t="n">
        <v>11</v>
      </c>
      <c r="AE1667" t="n">
        <v>21</v>
      </c>
      <c r="AF1667" t="n">
        <v>5</v>
      </c>
      <c r="AG1667" t="n">
        <v>11</v>
      </c>
      <c r="AH1667" t="n">
        <v>0</v>
      </c>
      <c r="AI1667" t="n">
        <v>2</v>
      </c>
      <c r="AJ1667" t="n">
        <v>4</v>
      </c>
      <c r="AK1667" t="n">
        <v>7</v>
      </c>
      <c r="AL1667" t="n">
        <v>3</v>
      </c>
      <c r="AM1667" t="n">
        <v>5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Yes</t>
        </is>
      </c>
      <c r="AR1667">
        <f>HYPERLINK("http://catalog.hathitrust.org/Record/009067429","HathiTrust Record")</f>
        <v/>
      </c>
      <c r="AS1667">
        <f>HYPERLINK("https://creighton-primo.hosted.exlibrisgroup.com/primo-explore/search?tab=default_tab&amp;search_scope=EVERYTHING&amp;vid=01CRU&amp;lang=en_US&amp;offset=0&amp;query=any,contains,991003413599702656","Catalog Record")</f>
        <v/>
      </c>
      <c r="AT1667">
        <f>HYPERLINK("http://www.worldcat.org/oclc/34250673","WorldCat Record")</f>
        <v/>
      </c>
      <c r="AU1667" t="inlineStr">
        <is>
          <t>1915004:eng</t>
        </is>
      </c>
      <c r="AV1667" t="inlineStr">
        <is>
          <t>34250673</t>
        </is>
      </c>
      <c r="AW1667" t="inlineStr">
        <is>
          <t>991003413599702656</t>
        </is>
      </c>
      <c r="AX1667" t="inlineStr">
        <is>
          <t>991003413599702656</t>
        </is>
      </c>
      <c r="AY1667" t="inlineStr">
        <is>
          <t>2261613230002656</t>
        </is>
      </c>
      <c r="AZ1667" t="inlineStr">
        <is>
          <t>BOOK</t>
        </is>
      </c>
      <c r="BC1667" t="inlineStr">
        <is>
          <t>32285001099315</t>
        </is>
      </c>
      <c r="BD1667" t="inlineStr">
        <is>
          <t>893893704</t>
        </is>
      </c>
    </row>
    <row r="1668">
      <c r="A1668" t="inlineStr">
        <is>
          <t>No</t>
        </is>
      </c>
      <c r="B1668" t="inlineStr">
        <is>
          <t>QH96 .W4</t>
        </is>
      </c>
      <c r="C1668" t="inlineStr">
        <is>
          <t>0                      QH 0096000W  4</t>
        </is>
      </c>
      <c r="D1668" t="inlineStr">
        <is>
          <t>Limnology / by Paul S. Welch.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K1668" t="inlineStr">
        <is>
          <t>Welch, Paul S. (Paul Smith), 1882-1959.</t>
        </is>
      </c>
      <c r="L1668" t="inlineStr">
        <is>
          <t>New York ; London : McGraw-Hill Book Company, inc., 1935.</t>
        </is>
      </c>
      <c r="M1668" t="inlineStr">
        <is>
          <t>1935</t>
        </is>
      </c>
      <c r="N1668" t="inlineStr">
        <is>
          <t>1st ed.</t>
        </is>
      </c>
      <c r="O1668" t="inlineStr">
        <is>
          <t>eng</t>
        </is>
      </c>
      <c r="P1668" t="inlineStr">
        <is>
          <t>nyu</t>
        </is>
      </c>
      <c r="Q1668" t="inlineStr">
        <is>
          <t>McGraw-Hill publications in the zoological sciences</t>
        </is>
      </c>
      <c r="R1668" t="inlineStr">
        <is>
          <t xml:space="preserve">QH </t>
        </is>
      </c>
      <c r="S1668" t="n">
        <v>20</v>
      </c>
      <c r="T1668" t="n">
        <v>20</v>
      </c>
      <c r="U1668" t="inlineStr">
        <is>
          <t>2001-03-01</t>
        </is>
      </c>
      <c r="V1668" t="inlineStr">
        <is>
          <t>2001-03-01</t>
        </is>
      </c>
      <c r="W1668" t="inlineStr">
        <is>
          <t>1992-05-13</t>
        </is>
      </c>
      <c r="X1668" t="inlineStr">
        <is>
          <t>1992-05-13</t>
        </is>
      </c>
      <c r="Y1668" t="n">
        <v>330</v>
      </c>
      <c r="Z1668" t="n">
        <v>248</v>
      </c>
      <c r="AA1668" t="n">
        <v>697</v>
      </c>
      <c r="AB1668" t="n">
        <v>4</v>
      </c>
      <c r="AC1668" t="n">
        <v>7</v>
      </c>
      <c r="AD1668" t="n">
        <v>10</v>
      </c>
      <c r="AE1668" t="n">
        <v>25</v>
      </c>
      <c r="AF1668" t="n">
        <v>3</v>
      </c>
      <c r="AG1668" t="n">
        <v>7</v>
      </c>
      <c r="AH1668" t="n">
        <v>3</v>
      </c>
      <c r="AI1668" t="n">
        <v>5</v>
      </c>
      <c r="AJ1668" t="n">
        <v>5</v>
      </c>
      <c r="AK1668" t="n">
        <v>13</v>
      </c>
      <c r="AL1668" t="n">
        <v>3</v>
      </c>
      <c r="AM1668" t="n">
        <v>6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HYPERLINK("http://catalog.hathitrust.org/Record/001490524","HathiTrust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HYPERLINK("https://creighton-primo.hosted.exlibrisgroup.com/primo-explore/search?tab=default_tab&amp;search_scope=EVERYTHING&amp;vid=01CRU&amp;lang=en_US&amp;offset=0&amp;query=any,contains,991003791799702656","Catalog Record")</f>
        <v/>
      </c>
      <c r="AT1668">
        <f>HYPERLINK("http://www.worldcat.org/oclc/1510925","WorldCat Record")</f>
        <v/>
      </c>
      <c r="AU1668" t="inlineStr">
        <is>
          <t>347090813:eng</t>
        </is>
      </c>
      <c r="AV1668" t="inlineStr">
        <is>
          <t>1510925</t>
        </is>
      </c>
      <c r="AW1668" t="inlineStr">
        <is>
          <t>991003791799702656</t>
        </is>
      </c>
      <c r="AX1668" t="inlineStr">
        <is>
          <t>991003791799702656</t>
        </is>
      </c>
      <c r="AY1668" t="inlineStr">
        <is>
          <t>2268373210002656</t>
        </is>
      </c>
      <c r="AZ1668" t="inlineStr">
        <is>
          <t>BOOK</t>
        </is>
      </c>
      <c r="BC1668" t="inlineStr">
        <is>
          <t>32285001109965</t>
        </is>
      </c>
      <c r="BD1668" t="inlineStr">
        <is>
          <t>893518872</t>
        </is>
      </c>
    </row>
    <row r="1669">
      <c r="A1669" t="inlineStr">
        <is>
          <t>No</t>
        </is>
      </c>
      <c r="B1669" t="inlineStr">
        <is>
          <t>QH96 .Z5313</t>
        </is>
      </c>
      <c r="C1669" t="inlineStr">
        <is>
          <t>0                      QH 0096000Z  5313</t>
        </is>
      </c>
      <c r="D1669" t="inlineStr">
        <is>
          <t>Fauna and flora of the rivers, lakes and reservoirs of the U.S.S.R. : (Reki, ozera i vodokhranilishcha SSSR, ikh fauna i flora) / [by] V.I. Zhadin and S.V. Gerd. Translated from Russian [by A. Mercado. Edited by R. Finesilver].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Zhadin, V. I.</t>
        </is>
      </c>
      <c r="L1669" t="inlineStr">
        <is>
          <t>Jerusalem : Israel Program for Scientific Translations; [available from the Office of Technical Services, U.S. Dept. of Commerce, Washington], 1963.</t>
        </is>
      </c>
      <c r="M1669" t="inlineStr">
        <is>
          <t>1963</t>
        </is>
      </c>
      <c r="O1669" t="inlineStr">
        <is>
          <t>eng</t>
        </is>
      </c>
      <c r="P1669" t="inlineStr">
        <is>
          <t xml:space="preserve">is </t>
        </is>
      </c>
      <c r="R1669" t="inlineStr">
        <is>
          <t xml:space="preserve">QH </t>
        </is>
      </c>
      <c r="S1669" t="n">
        <v>2</v>
      </c>
      <c r="T1669" t="n">
        <v>2</v>
      </c>
      <c r="U1669" t="inlineStr">
        <is>
          <t>1993-10-07</t>
        </is>
      </c>
      <c r="V1669" t="inlineStr">
        <is>
          <t>1993-10-07</t>
        </is>
      </c>
      <c r="W1669" t="inlineStr">
        <is>
          <t>1993-08-09</t>
        </is>
      </c>
      <c r="X1669" t="inlineStr">
        <is>
          <t>1993-08-09</t>
        </is>
      </c>
      <c r="Y1669" t="n">
        <v>251</v>
      </c>
      <c r="Z1669" t="n">
        <v>213</v>
      </c>
      <c r="AA1669" t="n">
        <v>222</v>
      </c>
      <c r="AB1669" t="n">
        <v>2</v>
      </c>
      <c r="AC1669" t="n">
        <v>2</v>
      </c>
      <c r="AD1669" t="n">
        <v>7</v>
      </c>
      <c r="AE1669" t="n">
        <v>7</v>
      </c>
      <c r="AF1669" t="n">
        <v>1</v>
      </c>
      <c r="AG1669" t="n">
        <v>1</v>
      </c>
      <c r="AH1669" t="n">
        <v>2</v>
      </c>
      <c r="AI1669" t="n">
        <v>2</v>
      </c>
      <c r="AJ1669" t="n">
        <v>3</v>
      </c>
      <c r="AK1669" t="n">
        <v>3</v>
      </c>
      <c r="AL1669" t="n">
        <v>1</v>
      </c>
      <c r="AM1669" t="n">
        <v>1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HYPERLINK("http://catalog.hathitrust.org/Record/001495818","HathiTrust Record")</f>
        <v/>
      </c>
      <c r="AS1669">
        <f>HYPERLINK("https://creighton-primo.hosted.exlibrisgroup.com/primo-explore/search?tab=default_tab&amp;search_scope=EVERYTHING&amp;vid=01CRU&amp;lang=en_US&amp;offset=0&amp;query=any,contains,991002983109702656","Catalog Record")</f>
        <v/>
      </c>
      <c r="AT1669">
        <f>HYPERLINK("http://www.worldcat.org/oclc/556024","WorldCat Record")</f>
        <v/>
      </c>
      <c r="AU1669" t="inlineStr">
        <is>
          <t>793001669:eng</t>
        </is>
      </c>
      <c r="AV1669" t="inlineStr">
        <is>
          <t>556024</t>
        </is>
      </c>
      <c r="AW1669" t="inlineStr">
        <is>
          <t>991002983109702656</t>
        </is>
      </c>
      <c r="AX1669" t="inlineStr">
        <is>
          <t>991002983109702656</t>
        </is>
      </c>
      <c r="AY1669" t="inlineStr">
        <is>
          <t>2259828010002656</t>
        </is>
      </c>
      <c r="AZ1669" t="inlineStr">
        <is>
          <t>BOOK</t>
        </is>
      </c>
      <c r="BC1669" t="inlineStr">
        <is>
          <t>32285001751162</t>
        </is>
      </c>
      <c r="BD1669" t="inlineStr">
        <is>
          <t>893348197</t>
        </is>
      </c>
    </row>
    <row r="1670">
      <c r="A1670" t="inlineStr">
        <is>
          <t>No</t>
        </is>
      </c>
      <c r="B1670" t="inlineStr">
        <is>
          <t>QH96.1 .L55 1994</t>
        </is>
      </c>
      <c r="C1670" t="inlineStr">
        <is>
          <t>0                      QH 0096100L  55          1994</t>
        </is>
      </c>
      <c r="D1670" t="inlineStr">
        <is>
          <t>Limnology now : a paradigm of planetary problems / edited by R. Margalef.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L1670" t="inlineStr">
        <is>
          <t>Amsterdam ; New York : Elsevier, 1994.</t>
        </is>
      </c>
      <c r="M1670" t="inlineStr">
        <is>
          <t>1994</t>
        </is>
      </c>
      <c r="O1670" t="inlineStr">
        <is>
          <t>eng</t>
        </is>
      </c>
      <c r="P1670" t="inlineStr">
        <is>
          <t xml:space="preserve">ne </t>
        </is>
      </c>
      <c r="R1670" t="inlineStr">
        <is>
          <t xml:space="preserve">QH </t>
        </is>
      </c>
      <c r="S1670" t="n">
        <v>7</v>
      </c>
      <c r="T1670" t="n">
        <v>7</v>
      </c>
      <c r="U1670" t="inlineStr">
        <is>
          <t>2006-05-06</t>
        </is>
      </c>
      <c r="V1670" t="inlineStr">
        <is>
          <t>2006-05-06</t>
        </is>
      </c>
      <c r="W1670" t="inlineStr">
        <is>
          <t>1995-06-01</t>
        </is>
      </c>
      <c r="X1670" t="inlineStr">
        <is>
          <t>1995-06-01</t>
        </is>
      </c>
      <c r="Y1670" t="n">
        <v>193</v>
      </c>
      <c r="Z1670" t="n">
        <v>118</v>
      </c>
      <c r="AA1670" t="n">
        <v>119</v>
      </c>
      <c r="AB1670" t="n">
        <v>2</v>
      </c>
      <c r="AC1670" t="n">
        <v>2</v>
      </c>
      <c r="AD1670" t="n">
        <v>5</v>
      </c>
      <c r="AE1670" t="n">
        <v>5</v>
      </c>
      <c r="AF1670" t="n">
        <v>1</v>
      </c>
      <c r="AG1670" t="n">
        <v>1</v>
      </c>
      <c r="AH1670" t="n">
        <v>2</v>
      </c>
      <c r="AI1670" t="n">
        <v>2</v>
      </c>
      <c r="AJ1670" t="n">
        <v>3</v>
      </c>
      <c r="AK1670" t="n">
        <v>3</v>
      </c>
      <c r="AL1670" t="n">
        <v>1</v>
      </c>
      <c r="AM1670" t="n">
        <v>1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Yes</t>
        </is>
      </c>
      <c r="AR1670">
        <f>HYPERLINK("http://catalog.hathitrust.org/Record/002887610","HathiTrust Record")</f>
        <v/>
      </c>
      <c r="AS1670">
        <f>HYPERLINK("https://creighton-primo.hosted.exlibrisgroup.com/primo-explore/search?tab=default_tab&amp;search_scope=EVERYTHING&amp;vid=01CRU&amp;lang=en_US&amp;offset=0&amp;query=any,contains,991002361739702656","Catalog Record")</f>
        <v/>
      </c>
      <c r="AT1670">
        <f>HYPERLINK("http://www.worldcat.org/oclc/30703569","WorldCat Record")</f>
        <v/>
      </c>
      <c r="AU1670" t="inlineStr">
        <is>
          <t>836889239:eng</t>
        </is>
      </c>
      <c r="AV1670" t="inlineStr">
        <is>
          <t>30703569</t>
        </is>
      </c>
      <c r="AW1670" t="inlineStr">
        <is>
          <t>991002361739702656</t>
        </is>
      </c>
      <c r="AX1670" t="inlineStr">
        <is>
          <t>991002361739702656</t>
        </is>
      </c>
      <c r="AY1670" t="inlineStr">
        <is>
          <t>2258247710002656</t>
        </is>
      </c>
      <c r="AZ1670" t="inlineStr">
        <is>
          <t>BOOK</t>
        </is>
      </c>
      <c r="BB1670" t="inlineStr">
        <is>
          <t>9780444898265</t>
        </is>
      </c>
      <c r="BC1670" t="inlineStr">
        <is>
          <t>32285002048931</t>
        </is>
      </c>
      <c r="BD1670" t="inlineStr">
        <is>
          <t>893879822</t>
        </is>
      </c>
    </row>
    <row r="1671">
      <c r="A1671" t="inlineStr">
        <is>
          <t>No</t>
        </is>
      </c>
      <c r="B1671" t="inlineStr">
        <is>
          <t>QH96.15 .B87 1987</t>
        </is>
      </c>
      <c r="C1671" t="inlineStr">
        <is>
          <t>0                      QH 0096150B  87          1987</t>
        </is>
      </c>
      <c r="D1671" t="inlineStr">
        <is>
          <t>The natural history of lakes / Mary J. Burgis and Pat Morris ; with illustrations by Guy Troughton.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Burgis, Mary.</t>
        </is>
      </c>
      <c r="L1671" t="inlineStr">
        <is>
          <t>Cambridge ; New York, NY, USA : Cambridge University Press, 1987.</t>
        </is>
      </c>
      <c r="M1671" t="inlineStr">
        <is>
          <t>1987</t>
        </is>
      </c>
      <c r="O1671" t="inlineStr">
        <is>
          <t>eng</t>
        </is>
      </c>
      <c r="P1671" t="inlineStr">
        <is>
          <t>enk</t>
        </is>
      </c>
      <c r="R1671" t="inlineStr">
        <is>
          <t xml:space="preserve">QH </t>
        </is>
      </c>
      <c r="S1671" t="n">
        <v>9</v>
      </c>
      <c r="T1671" t="n">
        <v>9</v>
      </c>
      <c r="U1671" t="inlineStr">
        <is>
          <t>1999-11-07</t>
        </is>
      </c>
      <c r="V1671" t="inlineStr">
        <is>
          <t>1999-11-07</t>
        </is>
      </c>
      <c r="W1671" t="inlineStr">
        <is>
          <t>1992-05-13</t>
        </is>
      </c>
      <c r="X1671" t="inlineStr">
        <is>
          <t>1992-05-13</t>
        </is>
      </c>
      <c r="Y1671" t="n">
        <v>833</v>
      </c>
      <c r="Z1671" t="n">
        <v>645</v>
      </c>
      <c r="AA1671" t="n">
        <v>650</v>
      </c>
      <c r="AB1671" t="n">
        <v>5</v>
      </c>
      <c r="AC1671" t="n">
        <v>5</v>
      </c>
      <c r="AD1671" t="n">
        <v>21</v>
      </c>
      <c r="AE1671" t="n">
        <v>21</v>
      </c>
      <c r="AF1671" t="n">
        <v>8</v>
      </c>
      <c r="AG1671" t="n">
        <v>8</v>
      </c>
      <c r="AH1671" t="n">
        <v>3</v>
      </c>
      <c r="AI1671" t="n">
        <v>3</v>
      </c>
      <c r="AJ1671" t="n">
        <v>12</v>
      </c>
      <c r="AK1671" t="n">
        <v>12</v>
      </c>
      <c r="AL1671" t="n">
        <v>4</v>
      </c>
      <c r="AM1671" t="n">
        <v>4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HYPERLINK("https://creighton-primo.hosted.exlibrisgroup.com/primo-explore/search?tab=default_tab&amp;search_scope=EVERYTHING&amp;vid=01CRU&amp;lang=en_US&amp;offset=0&amp;query=any,contains,991000893239702656","Catalog Record")</f>
        <v/>
      </c>
      <c r="AT1671">
        <f>HYPERLINK("http://www.worldcat.org/oclc/13946952","WorldCat Record")</f>
        <v/>
      </c>
      <c r="AU1671" t="inlineStr">
        <is>
          <t>7476643:eng</t>
        </is>
      </c>
      <c r="AV1671" t="inlineStr">
        <is>
          <t>13946952</t>
        </is>
      </c>
      <c r="AW1671" t="inlineStr">
        <is>
          <t>991000893239702656</t>
        </is>
      </c>
      <c r="AX1671" t="inlineStr">
        <is>
          <t>991000893239702656</t>
        </is>
      </c>
      <c r="AY1671" t="inlineStr">
        <is>
          <t>2256302140002656</t>
        </is>
      </c>
      <c r="AZ1671" t="inlineStr">
        <is>
          <t>BOOK</t>
        </is>
      </c>
      <c r="BB1671" t="inlineStr">
        <is>
          <t>9780521307932</t>
        </is>
      </c>
      <c r="BC1671" t="inlineStr">
        <is>
          <t>32285001109973</t>
        </is>
      </c>
      <c r="BD1671" t="inlineStr">
        <is>
          <t>893790956</t>
        </is>
      </c>
    </row>
    <row r="1672">
      <c r="A1672" t="inlineStr">
        <is>
          <t>No</t>
        </is>
      </c>
      <c r="B1672" t="inlineStr">
        <is>
          <t>QH96.57.A1 E3</t>
        </is>
      </c>
      <c r="C1672" t="inlineStr">
        <is>
          <t>0                      QH 0096570A  1                  E  3</t>
        </is>
      </c>
      <c r="D1672" t="inlineStr">
        <is>
          <t>A manual on methods for the assessment of secondary productivity in fresh waters / edited by W.T. Edmondson with the collaboration of G.G. Winberg, co-editor.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Edmondson, W. T. (Walles Thomas), 1916-2000.</t>
        </is>
      </c>
      <c r="L1672" t="inlineStr">
        <is>
          <t>Oxford : Blackwell for the International Biological Programme, 1971.</t>
        </is>
      </c>
      <c r="M1672" t="inlineStr">
        <is>
          <t>1971</t>
        </is>
      </c>
      <c r="O1672" t="inlineStr">
        <is>
          <t>eng</t>
        </is>
      </c>
      <c r="P1672" t="inlineStr">
        <is>
          <t>enk</t>
        </is>
      </c>
      <c r="Q1672" t="inlineStr">
        <is>
          <t>Handbooks / International Biological Programme ; no.17</t>
        </is>
      </c>
      <c r="R1672" t="inlineStr">
        <is>
          <t xml:space="preserve">QH </t>
        </is>
      </c>
      <c r="S1672" t="n">
        <v>2</v>
      </c>
      <c r="T1672" t="n">
        <v>2</v>
      </c>
      <c r="U1672" t="inlineStr">
        <is>
          <t>2006-05-06</t>
        </is>
      </c>
      <c r="V1672" t="inlineStr">
        <is>
          <t>2006-05-06</t>
        </is>
      </c>
      <c r="W1672" t="inlineStr">
        <is>
          <t>1992-10-13</t>
        </is>
      </c>
      <c r="X1672" t="inlineStr">
        <is>
          <t>1992-10-13</t>
        </is>
      </c>
      <c r="Y1672" t="n">
        <v>398</v>
      </c>
      <c r="Z1672" t="n">
        <v>269</v>
      </c>
      <c r="AA1672" t="n">
        <v>273</v>
      </c>
      <c r="AB1672" t="n">
        <v>2</v>
      </c>
      <c r="AC1672" t="n">
        <v>2</v>
      </c>
      <c r="AD1672" t="n">
        <v>4</v>
      </c>
      <c r="AE1672" t="n">
        <v>4</v>
      </c>
      <c r="AF1672" t="n">
        <v>0</v>
      </c>
      <c r="AG1672" t="n">
        <v>0</v>
      </c>
      <c r="AH1672" t="n">
        <v>2</v>
      </c>
      <c r="AI1672" t="n">
        <v>2</v>
      </c>
      <c r="AJ1672" t="n">
        <v>2</v>
      </c>
      <c r="AK1672" t="n">
        <v>2</v>
      </c>
      <c r="AL1672" t="n">
        <v>1</v>
      </c>
      <c r="AM1672" t="n">
        <v>1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Yes</t>
        </is>
      </c>
      <c r="AR1672">
        <f>HYPERLINK("http://catalog.hathitrust.org/Record/008339193","HathiTrust Record")</f>
        <v/>
      </c>
      <c r="AS1672">
        <f>HYPERLINK("https://creighton-primo.hosted.exlibrisgroup.com/primo-explore/search?tab=default_tab&amp;search_scope=EVERYTHING&amp;vid=01CRU&amp;lang=en_US&amp;offset=0&amp;query=any,contains,991001090009702656","Catalog Record")</f>
        <v/>
      </c>
      <c r="AT1672">
        <f>HYPERLINK("http://www.worldcat.org/oclc/16197321","WorldCat Record")</f>
        <v/>
      </c>
      <c r="AU1672" t="inlineStr">
        <is>
          <t>180465681:eng</t>
        </is>
      </c>
      <c r="AV1672" t="inlineStr">
        <is>
          <t>16197321</t>
        </is>
      </c>
      <c r="AW1672" t="inlineStr">
        <is>
          <t>991001090009702656</t>
        </is>
      </c>
      <c r="AX1672" t="inlineStr">
        <is>
          <t>991001090009702656</t>
        </is>
      </c>
      <c r="AY1672" t="inlineStr">
        <is>
          <t>2271600120002656</t>
        </is>
      </c>
      <c r="AZ1672" t="inlineStr">
        <is>
          <t>BOOK</t>
        </is>
      </c>
      <c r="BB1672" t="inlineStr">
        <is>
          <t>9780632064304</t>
        </is>
      </c>
      <c r="BC1672" t="inlineStr">
        <is>
          <t>32285001346252</t>
        </is>
      </c>
      <c r="BD1672" t="inlineStr">
        <is>
          <t>893608538</t>
        </is>
      </c>
    </row>
    <row r="1673">
      <c r="A1673" t="inlineStr">
        <is>
          <t>No</t>
        </is>
      </c>
      <c r="B1673" t="inlineStr">
        <is>
          <t>QH96.57.A1 L55 1985</t>
        </is>
      </c>
      <c r="C1673" t="inlineStr">
        <is>
          <t>0                      QH 0096570A  1                  L  55          1985</t>
        </is>
      </c>
      <c r="D1673" t="inlineStr">
        <is>
          <t>Handbook of common methods in limnology / Owen T. Lind.</t>
        </is>
      </c>
      <c r="F1673" t="inlineStr">
        <is>
          <t>No</t>
        </is>
      </c>
      <c r="G1673" t="inlineStr">
        <is>
          <t>1</t>
        </is>
      </c>
      <c r="H1673" t="inlineStr">
        <is>
          <t>Yes</t>
        </is>
      </c>
      <c r="I1673" t="inlineStr">
        <is>
          <t>No</t>
        </is>
      </c>
      <c r="J1673" t="inlineStr">
        <is>
          <t>0</t>
        </is>
      </c>
      <c r="K1673" t="inlineStr">
        <is>
          <t>Lind, Owen T., 1934-</t>
        </is>
      </c>
      <c r="L1673" t="inlineStr">
        <is>
          <t>Dubuque, Iowa : Kendall/Hunt Pub. Co., c1985.</t>
        </is>
      </c>
      <c r="M1673" t="inlineStr">
        <is>
          <t>1985</t>
        </is>
      </c>
      <c r="N1673" t="inlineStr">
        <is>
          <t>2nd ed.</t>
        </is>
      </c>
      <c r="O1673" t="inlineStr">
        <is>
          <t>eng</t>
        </is>
      </c>
      <c r="P1673" t="inlineStr">
        <is>
          <t>iau</t>
        </is>
      </c>
      <c r="R1673" t="inlineStr">
        <is>
          <t xml:space="preserve">QH </t>
        </is>
      </c>
      <c r="S1673" t="n">
        <v>16</v>
      </c>
      <c r="T1673" t="n">
        <v>64</v>
      </c>
      <c r="U1673" t="inlineStr">
        <is>
          <t>2003-05-05</t>
        </is>
      </c>
      <c r="V1673" t="inlineStr">
        <is>
          <t>2006-05-06</t>
        </is>
      </c>
      <c r="W1673" t="inlineStr">
        <is>
          <t>1991-01-22</t>
        </is>
      </c>
      <c r="X1673" t="inlineStr">
        <is>
          <t>1991-01-22</t>
        </is>
      </c>
      <c r="Y1673" t="n">
        <v>178</v>
      </c>
      <c r="Z1673" t="n">
        <v>158</v>
      </c>
      <c r="AA1673" t="n">
        <v>555</v>
      </c>
      <c r="AB1673" t="n">
        <v>5</v>
      </c>
      <c r="AC1673" t="n">
        <v>6</v>
      </c>
      <c r="AD1673" t="n">
        <v>11</v>
      </c>
      <c r="AE1673" t="n">
        <v>16</v>
      </c>
      <c r="AF1673" t="n">
        <v>5</v>
      </c>
      <c r="AG1673" t="n">
        <v>7</v>
      </c>
      <c r="AH1673" t="n">
        <v>1</v>
      </c>
      <c r="AI1673" t="n">
        <v>2</v>
      </c>
      <c r="AJ1673" t="n">
        <v>3</v>
      </c>
      <c r="AK1673" t="n">
        <v>6</v>
      </c>
      <c r="AL1673" t="n">
        <v>5</v>
      </c>
      <c r="AM1673" t="n">
        <v>5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No</t>
        </is>
      </c>
      <c r="AS1673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3">
        <f>HYPERLINK("http://www.worldcat.org/oclc/13270671","WorldCat Record")</f>
        <v/>
      </c>
      <c r="AU1673" t="inlineStr">
        <is>
          <t>1834813:eng</t>
        </is>
      </c>
      <c r="AV1673" t="inlineStr">
        <is>
          <t>13270671</t>
        </is>
      </c>
      <c r="AW1673" t="inlineStr">
        <is>
          <t>991000804659702656</t>
        </is>
      </c>
      <c r="AX1673" t="inlineStr">
        <is>
          <t>991000804659702656</t>
        </is>
      </c>
      <c r="AY1673" t="inlineStr">
        <is>
          <t>2271828870002656</t>
        </is>
      </c>
      <c r="AZ1673" t="inlineStr">
        <is>
          <t>BOOK</t>
        </is>
      </c>
      <c r="BB1673" t="inlineStr">
        <is>
          <t>9780840337535</t>
        </is>
      </c>
      <c r="BC1673" t="inlineStr">
        <is>
          <t>32285000409903</t>
        </is>
      </c>
      <c r="BD1673" t="inlineStr">
        <is>
          <t>893321356</t>
        </is>
      </c>
    </row>
    <row r="1674">
      <c r="A1674" t="inlineStr">
        <is>
          <t>No</t>
        </is>
      </c>
      <c r="B1674" t="inlineStr">
        <is>
          <t>QH96.57.A1 L55 1985</t>
        </is>
      </c>
      <c r="C1674" t="inlineStr">
        <is>
          <t>0                      QH 0096570A  1                  L  55          1985</t>
        </is>
      </c>
      <c r="D1674" t="inlineStr">
        <is>
          <t>Handbook of common methods in limnology / Owen T. Lind.</t>
        </is>
      </c>
      <c r="F1674" t="inlineStr">
        <is>
          <t>No</t>
        </is>
      </c>
      <c r="G1674" t="inlineStr">
        <is>
          <t>1</t>
        </is>
      </c>
      <c r="H1674" t="inlineStr">
        <is>
          <t>Yes</t>
        </is>
      </c>
      <c r="I1674" t="inlineStr">
        <is>
          <t>No</t>
        </is>
      </c>
      <c r="J1674" t="inlineStr">
        <is>
          <t>0</t>
        </is>
      </c>
      <c r="K1674" t="inlineStr">
        <is>
          <t>Lind, Owen T., 1934-</t>
        </is>
      </c>
      <c r="L1674" t="inlineStr">
        <is>
          <t>Dubuque, Iowa : Kendall/Hunt Pub. Co., c1985.</t>
        </is>
      </c>
      <c r="M1674" t="inlineStr">
        <is>
          <t>1985</t>
        </is>
      </c>
      <c r="N1674" t="inlineStr">
        <is>
          <t>2nd ed.</t>
        </is>
      </c>
      <c r="O1674" t="inlineStr">
        <is>
          <t>eng</t>
        </is>
      </c>
      <c r="P1674" t="inlineStr">
        <is>
          <t>iau</t>
        </is>
      </c>
      <c r="R1674" t="inlineStr">
        <is>
          <t xml:space="preserve">QH </t>
        </is>
      </c>
      <c r="S1674" t="n">
        <v>48</v>
      </c>
      <c r="T1674" t="n">
        <v>64</v>
      </c>
      <c r="U1674" t="inlineStr">
        <is>
          <t>2006-05-06</t>
        </is>
      </c>
      <c r="V1674" t="inlineStr">
        <is>
          <t>2006-05-06</t>
        </is>
      </c>
      <c r="W1674" t="inlineStr">
        <is>
          <t>1991-01-22</t>
        </is>
      </c>
      <c r="X1674" t="inlineStr">
        <is>
          <t>1991-01-22</t>
        </is>
      </c>
      <c r="Y1674" t="n">
        <v>178</v>
      </c>
      <c r="Z1674" t="n">
        <v>158</v>
      </c>
      <c r="AA1674" t="n">
        <v>555</v>
      </c>
      <c r="AB1674" t="n">
        <v>5</v>
      </c>
      <c r="AC1674" t="n">
        <v>6</v>
      </c>
      <c r="AD1674" t="n">
        <v>11</v>
      </c>
      <c r="AE1674" t="n">
        <v>16</v>
      </c>
      <c r="AF1674" t="n">
        <v>5</v>
      </c>
      <c r="AG1674" t="n">
        <v>7</v>
      </c>
      <c r="AH1674" t="n">
        <v>1</v>
      </c>
      <c r="AI1674" t="n">
        <v>2</v>
      </c>
      <c r="AJ1674" t="n">
        <v>3</v>
      </c>
      <c r="AK1674" t="n">
        <v>6</v>
      </c>
      <c r="AL1674" t="n">
        <v>5</v>
      </c>
      <c r="AM1674" t="n">
        <v>5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No</t>
        </is>
      </c>
      <c r="AS1674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4">
        <f>HYPERLINK("http://www.worldcat.org/oclc/13270671","WorldCat Record")</f>
        <v/>
      </c>
      <c r="AU1674" t="inlineStr">
        <is>
          <t>1834813:eng</t>
        </is>
      </c>
      <c r="AV1674" t="inlineStr">
        <is>
          <t>13270671</t>
        </is>
      </c>
      <c r="AW1674" t="inlineStr">
        <is>
          <t>991000804659702656</t>
        </is>
      </c>
      <c r="AX1674" t="inlineStr">
        <is>
          <t>991000804659702656</t>
        </is>
      </c>
      <c r="AY1674" t="inlineStr">
        <is>
          <t>2271828870002656</t>
        </is>
      </c>
      <c r="AZ1674" t="inlineStr">
        <is>
          <t>BOOK</t>
        </is>
      </c>
      <c r="BB1674" t="inlineStr">
        <is>
          <t>9780840337535</t>
        </is>
      </c>
      <c r="BC1674" t="inlineStr">
        <is>
          <t>32285000409911</t>
        </is>
      </c>
      <c r="BD1674" t="inlineStr">
        <is>
          <t>893345992</t>
        </is>
      </c>
    </row>
    <row r="1675">
      <c r="A1675" t="inlineStr">
        <is>
          <t>No</t>
        </is>
      </c>
      <c r="B1675" t="inlineStr">
        <is>
          <t>QH96.8.B5 F86 1988</t>
        </is>
      </c>
      <c r="C1675" t="inlineStr">
        <is>
          <t>0                      QH 0096800B  5                  F  86          1988</t>
        </is>
      </c>
      <c r="D1675" t="inlineStr">
        <is>
          <t>Functional testing of aquatic biota for estimating hazards of chemicals / John Cairns, Jr. and James R. Pratt, editors.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L1675" t="inlineStr">
        <is>
          <t>Philadelphia, PA : ASTM, c1988, 1989 printing.</t>
        </is>
      </c>
      <c r="M1675" t="inlineStr">
        <is>
          <t>1988</t>
        </is>
      </c>
      <c r="O1675" t="inlineStr">
        <is>
          <t>eng</t>
        </is>
      </c>
      <c r="P1675" t="inlineStr">
        <is>
          <t>pau</t>
        </is>
      </c>
      <c r="Q1675" t="inlineStr">
        <is>
          <t>STP ; 988</t>
        </is>
      </c>
      <c r="R1675" t="inlineStr">
        <is>
          <t xml:space="preserve">QH </t>
        </is>
      </c>
      <c r="S1675" t="n">
        <v>10</v>
      </c>
      <c r="T1675" t="n">
        <v>10</v>
      </c>
      <c r="U1675" t="inlineStr">
        <is>
          <t>1998-09-19</t>
        </is>
      </c>
      <c r="V1675" t="inlineStr">
        <is>
          <t>1998-09-19</t>
        </is>
      </c>
      <c r="W1675" t="inlineStr">
        <is>
          <t>1993-03-11</t>
        </is>
      </c>
      <c r="X1675" t="inlineStr">
        <is>
          <t>1993-03-11</t>
        </is>
      </c>
      <c r="Y1675" t="n">
        <v>170</v>
      </c>
      <c r="Z1675" t="n">
        <v>118</v>
      </c>
      <c r="AA1675" t="n">
        <v>157</v>
      </c>
      <c r="AB1675" t="n">
        <v>2</v>
      </c>
      <c r="AC1675" t="n">
        <v>2</v>
      </c>
      <c r="AD1675" t="n">
        <v>4</v>
      </c>
      <c r="AE1675" t="n">
        <v>4</v>
      </c>
      <c r="AF1675" t="n">
        <v>2</v>
      </c>
      <c r="AG1675" t="n">
        <v>2</v>
      </c>
      <c r="AH1675" t="n">
        <v>1</v>
      </c>
      <c r="AI1675" t="n">
        <v>1</v>
      </c>
      <c r="AJ1675" t="n">
        <v>0</v>
      </c>
      <c r="AK1675" t="n">
        <v>0</v>
      </c>
      <c r="AL1675" t="n">
        <v>1</v>
      </c>
      <c r="AM1675" t="n">
        <v>1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Yes</t>
        </is>
      </c>
      <c r="AR1675">
        <f>HYPERLINK("http://catalog.hathitrust.org/Record/001095940","HathiTrust Record")</f>
        <v/>
      </c>
      <c r="AS1675">
        <f>HYPERLINK("https://creighton-primo.hosted.exlibrisgroup.com/primo-explore/search?tab=default_tab&amp;search_scope=EVERYTHING&amp;vid=01CRU&amp;lang=en_US&amp;offset=0&amp;query=any,contains,991001405879702656","Catalog Record")</f>
        <v/>
      </c>
      <c r="AT1675">
        <f>HYPERLINK("http://www.worldcat.org/oclc/18835632","WorldCat Record")</f>
        <v/>
      </c>
      <c r="AU1675" t="inlineStr">
        <is>
          <t>375542826:eng</t>
        </is>
      </c>
      <c r="AV1675" t="inlineStr">
        <is>
          <t>18835632</t>
        </is>
      </c>
      <c r="AW1675" t="inlineStr">
        <is>
          <t>991001405879702656</t>
        </is>
      </c>
      <c r="AX1675" t="inlineStr">
        <is>
          <t>991001405879702656</t>
        </is>
      </c>
      <c r="AY1675" t="inlineStr">
        <is>
          <t>2257221080002656</t>
        </is>
      </c>
      <c r="AZ1675" t="inlineStr">
        <is>
          <t>BOOK</t>
        </is>
      </c>
      <c r="BB1675" t="inlineStr">
        <is>
          <t>9780803111653</t>
        </is>
      </c>
      <c r="BC1675" t="inlineStr">
        <is>
          <t>32285001551638</t>
        </is>
      </c>
      <c r="BD1675" t="inlineStr">
        <is>
          <t>893250229</t>
        </is>
      </c>
    </row>
    <row r="1676">
      <c r="A1676" t="inlineStr">
        <is>
          <t>No</t>
        </is>
      </c>
      <c r="B1676" t="inlineStr">
        <is>
          <t>QH96.8.B5 R38 1986</t>
        </is>
      </c>
      <c r="C1676" t="inlineStr">
        <is>
          <t>0                      QH 0096800B  5                  R  38          1986</t>
        </is>
      </c>
      <c r="D1676" t="inlineStr">
        <is>
          <t>Rationale for sampling and interpretation of ecological data in the assessment of freshwater ecosystems : a symposium sponsored by ASTM Committee D-19 on Water, Philadelphia, PA, 31 Oct.-1 Nov. 1983 / Billy G. Isom, editor.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L1676" t="inlineStr">
        <is>
          <t>Philadelphia, PA : American Society for Testing and Materials, c1986.</t>
        </is>
      </c>
      <c r="M1676" t="inlineStr">
        <is>
          <t>1986</t>
        </is>
      </c>
      <c r="O1676" t="inlineStr">
        <is>
          <t>eng</t>
        </is>
      </c>
      <c r="P1676" t="inlineStr">
        <is>
          <t>pau</t>
        </is>
      </c>
      <c r="Q1676" t="inlineStr">
        <is>
          <t>ASTM special technical publication ; 894</t>
        </is>
      </c>
      <c r="R1676" t="inlineStr">
        <is>
          <t xml:space="preserve">QH </t>
        </is>
      </c>
      <c r="S1676" t="n">
        <v>15</v>
      </c>
      <c r="T1676" t="n">
        <v>15</v>
      </c>
      <c r="U1676" t="inlineStr">
        <is>
          <t>2003-03-30</t>
        </is>
      </c>
      <c r="V1676" t="inlineStr">
        <is>
          <t>2003-03-30</t>
        </is>
      </c>
      <c r="W1676" t="inlineStr">
        <is>
          <t>1992-06-10</t>
        </is>
      </c>
      <c r="X1676" t="inlineStr">
        <is>
          <t>1992-06-10</t>
        </is>
      </c>
      <c r="Y1676" t="n">
        <v>225</v>
      </c>
      <c r="Z1676" t="n">
        <v>174</v>
      </c>
      <c r="AA1676" t="n">
        <v>201</v>
      </c>
      <c r="AB1676" t="n">
        <v>2</v>
      </c>
      <c r="AC1676" t="n">
        <v>2</v>
      </c>
      <c r="AD1676" t="n">
        <v>3</v>
      </c>
      <c r="AE1676" t="n">
        <v>3</v>
      </c>
      <c r="AF1676" t="n">
        <v>0</v>
      </c>
      <c r="AG1676" t="n">
        <v>0</v>
      </c>
      <c r="AH1676" t="n">
        <v>1</v>
      </c>
      <c r="AI1676" t="n">
        <v>1</v>
      </c>
      <c r="AJ1676" t="n">
        <v>1</v>
      </c>
      <c r="AK1676" t="n">
        <v>1</v>
      </c>
      <c r="AL1676" t="n">
        <v>1</v>
      </c>
      <c r="AM1676" t="n">
        <v>1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Yes</t>
        </is>
      </c>
      <c r="AR1676">
        <f>HYPERLINK("http://catalog.hathitrust.org/Record/000557172","HathiTrust Record")</f>
        <v/>
      </c>
      <c r="AS1676">
        <f>HYPERLINK("https://creighton-primo.hosted.exlibrisgroup.com/primo-explore/search?tab=default_tab&amp;search_scope=EVERYTHING&amp;vid=01CRU&amp;lang=en_US&amp;offset=0&amp;query=any,contains,991000802339702656","Catalog Record")</f>
        <v/>
      </c>
      <c r="AT1676">
        <f>HYPERLINK("http://www.worldcat.org/oclc/13268775","WorldCat Record")</f>
        <v/>
      </c>
      <c r="AU1676" t="inlineStr">
        <is>
          <t>432899352:eng</t>
        </is>
      </c>
      <c r="AV1676" t="inlineStr">
        <is>
          <t>13268775</t>
        </is>
      </c>
      <c r="AW1676" t="inlineStr">
        <is>
          <t>991000802339702656</t>
        </is>
      </c>
      <c r="AX1676" t="inlineStr">
        <is>
          <t>991000802339702656</t>
        </is>
      </c>
      <c r="AY1676" t="inlineStr">
        <is>
          <t>2260140110002656</t>
        </is>
      </c>
      <c r="AZ1676" t="inlineStr">
        <is>
          <t>BOOK</t>
        </is>
      </c>
      <c r="BB1676" t="inlineStr">
        <is>
          <t>9780803104556</t>
        </is>
      </c>
      <c r="BC1676" t="inlineStr">
        <is>
          <t>32285001098978</t>
        </is>
      </c>
      <c r="BD1676" t="inlineStr">
        <is>
          <t>893903173</t>
        </is>
      </c>
    </row>
    <row r="1677">
      <c r="A1677" t="inlineStr">
        <is>
          <t>No</t>
        </is>
      </c>
      <c r="B1677" t="inlineStr">
        <is>
          <t>QH96.8.E9 A42 1979</t>
        </is>
      </c>
      <c r="C1677" t="inlineStr">
        <is>
          <t>0                      QH 0096800E  9                  A  42          1979</t>
        </is>
      </c>
      <c r="D1677" t="inlineStr">
        <is>
          <t>Algal assays and monitoring eutrophication / editors, P. Marvan, S. Přibil, O. Lhotský.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Stuttgart : Schweizerbart, 1979.</t>
        </is>
      </c>
      <c r="M1677" t="inlineStr">
        <is>
          <t>1979</t>
        </is>
      </c>
      <c r="O1677" t="inlineStr">
        <is>
          <t>eng</t>
        </is>
      </c>
      <c r="P1677" t="inlineStr">
        <is>
          <t xml:space="preserve">gw </t>
        </is>
      </c>
      <c r="R1677" t="inlineStr">
        <is>
          <t xml:space="preserve">QH </t>
        </is>
      </c>
      <c r="S1677" t="n">
        <v>14</v>
      </c>
      <c r="T1677" t="n">
        <v>14</v>
      </c>
      <c r="U1677" t="inlineStr">
        <is>
          <t>1998-09-19</t>
        </is>
      </c>
      <c r="V1677" t="inlineStr">
        <is>
          <t>1998-09-19</t>
        </is>
      </c>
      <c r="W1677" t="inlineStr">
        <is>
          <t>1990-06-13</t>
        </is>
      </c>
      <c r="X1677" t="inlineStr">
        <is>
          <t>1990-06-13</t>
        </is>
      </c>
      <c r="Y1677" t="n">
        <v>170</v>
      </c>
      <c r="Z1677" t="n">
        <v>91</v>
      </c>
      <c r="AA1677" t="n">
        <v>93</v>
      </c>
      <c r="AB1677" t="n">
        <v>2</v>
      </c>
      <c r="AC1677" t="n">
        <v>2</v>
      </c>
      <c r="AD1677" t="n">
        <v>3</v>
      </c>
      <c r="AE1677" t="n">
        <v>3</v>
      </c>
      <c r="AF1677" t="n">
        <v>0</v>
      </c>
      <c r="AG1677" t="n">
        <v>0</v>
      </c>
      <c r="AH1677" t="n">
        <v>1</v>
      </c>
      <c r="AI1677" t="n">
        <v>1</v>
      </c>
      <c r="AJ1677" t="n">
        <v>1</v>
      </c>
      <c r="AK1677" t="n">
        <v>1</v>
      </c>
      <c r="AL1677" t="n">
        <v>1</v>
      </c>
      <c r="AM1677" t="n">
        <v>1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HYPERLINK("http://catalog.hathitrust.org/Record/000141179","HathiTrust Record")</f>
        <v/>
      </c>
      <c r="AS1677">
        <f>HYPERLINK("https://creighton-primo.hosted.exlibrisgroup.com/primo-explore/search?tab=default_tab&amp;search_scope=EVERYTHING&amp;vid=01CRU&amp;lang=en_US&amp;offset=0&amp;query=any,contains,991005117229702656","Catalog Record")</f>
        <v/>
      </c>
      <c r="AT1677">
        <f>HYPERLINK("http://www.worldcat.org/oclc/7464065","WorldCat Record")</f>
        <v/>
      </c>
      <c r="AU1677" t="inlineStr">
        <is>
          <t>477856698:eng</t>
        </is>
      </c>
      <c r="AV1677" t="inlineStr">
        <is>
          <t>7464065</t>
        </is>
      </c>
      <c r="AW1677" t="inlineStr">
        <is>
          <t>991005117229702656</t>
        </is>
      </c>
      <c r="AX1677" t="inlineStr">
        <is>
          <t>991005117229702656</t>
        </is>
      </c>
      <c r="AY1677" t="inlineStr">
        <is>
          <t>2262351230002656</t>
        </is>
      </c>
      <c r="AZ1677" t="inlineStr">
        <is>
          <t>BOOK</t>
        </is>
      </c>
      <c r="BB1677" t="inlineStr">
        <is>
          <t>9783510650910</t>
        </is>
      </c>
      <c r="BC1677" t="inlineStr">
        <is>
          <t>32285000177286</t>
        </is>
      </c>
      <c r="BD1677" t="inlineStr">
        <is>
          <t>893713467</t>
        </is>
      </c>
    </row>
    <row r="1678">
      <c r="A1678" t="inlineStr">
        <is>
          <t>No</t>
        </is>
      </c>
      <c r="B1678" t="inlineStr">
        <is>
          <t>QH96.8.E9 C373 1986</t>
        </is>
      </c>
      <c r="C1678" t="inlineStr">
        <is>
          <t>0                      QH 0096800E  9                  C  373         1986</t>
        </is>
      </c>
      <c r="D1678" t="inlineStr">
        <is>
          <t>Carbon dynamics in eutrophic, temperate lakes / edited by Bo Riemann and Morten Søndergaard.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L1678" t="inlineStr">
        <is>
          <t>Amsterdam, the Netherlands : Elsevier Science Publishers ; New York, NY : Distributors for the U.S. and Canada, Elsevier Science Pub. Co., c1986.</t>
        </is>
      </c>
      <c r="M1678" t="inlineStr">
        <is>
          <t>1986</t>
        </is>
      </c>
      <c r="O1678" t="inlineStr">
        <is>
          <t>eng</t>
        </is>
      </c>
      <c r="P1678" t="inlineStr">
        <is>
          <t xml:space="preserve">ne </t>
        </is>
      </c>
      <c r="R1678" t="inlineStr">
        <is>
          <t xml:space="preserve">QH </t>
        </is>
      </c>
      <c r="S1678" t="n">
        <v>14</v>
      </c>
      <c r="T1678" t="n">
        <v>14</v>
      </c>
      <c r="U1678" t="inlineStr">
        <is>
          <t>1999-11-07</t>
        </is>
      </c>
      <c r="V1678" t="inlineStr">
        <is>
          <t>1999-11-07</t>
        </is>
      </c>
      <c r="W1678" t="inlineStr">
        <is>
          <t>1992-06-10</t>
        </is>
      </c>
      <c r="X1678" t="inlineStr">
        <is>
          <t>1992-06-10</t>
        </is>
      </c>
      <c r="Y1678" t="n">
        <v>197</v>
      </c>
      <c r="Z1678" t="n">
        <v>138</v>
      </c>
      <c r="AA1678" t="n">
        <v>139</v>
      </c>
      <c r="AB1678" t="n">
        <v>3</v>
      </c>
      <c r="AC1678" t="n">
        <v>3</v>
      </c>
      <c r="AD1678" t="n">
        <v>3</v>
      </c>
      <c r="AE1678" t="n">
        <v>3</v>
      </c>
      <c r="AF1678" t="n">
        <v>0</v>
      </c>
      <c r="AG1678" t="n">
        <v>0</v>
      </c>
      <c r="AH1678" t="n">
        <v>1</v>
      </c>
      <c r="AI1678" t="n">
        <v>1</v>
      </c>
      <c r="AJ1678" t="n">
        <v>1</v>
      </c>
      <c r="AK1678" t="n">
        <v>1</v>
      </c>
      <c r="AL1678" t="n">
        <v>2</v>
      </c>
      <c r="AM1678" t="n">
        <v>2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Yes</t>
        </is>
      </c>
      <c r="AR1678">
        <f>HYPERLINK("http://catalog.hathitrust.org/Record/000831978","HathiTrust Record")</f>
        <v/>
      </c>
      <c r="AS1678">
        <f>HYPERLINK("https://creighton-primo.hosted.exlibrisgroup.com/primo-explore/search?tab=default_tab&amp;search_scope=EVERYTHING&amp;vid=01CRU&amp;lang=en_US&amp;offset=0&amp;query=any,contains,991001013229702656","Catalog Record")</f>
        <v/>
      </c>
      <c r="AT1678">
        <f>HYPERLINK("http://www.worldcat.org/oclc/15309699","WorldCat Record")</f>
        <v/>
      </c>
      <c r="AU1678" t="inlineStr">
        <is>
          <t>350080322:eng</t>
        </is>
      </c>
      <c r="AV1678" t="inlineStr">
        <is>
          <t>15309699</t>
        </is>
      </c>
      <c r="AW1678" t="inlineStr">
        <is>
          <t>991001013229702656</t>
        </is>
      </c>
      <c r="AX1678" t="inlineStr">
        <is>
          <t>991001013229702656</t>
        </is>
      </c>
      <c r="AY1678" t="inlineStr">
        <is>
          <t>2255491780002656</t>
        </is>
      </c>
      <c r="AZ1678" t="inlineStr">
        <is>
          <t>BOOK</t>
        </is>
      </c>
      <c r="BB1678" t="inlineStr">
        <is>
          <t>9780444427366</t>
        </is>
      </c>
      <c r="BC1678" t="inlineStr">
        <is>
          <t>32285001098960</t>
        </is>
      </c>
      <c r="BD1678" t="inlineStr">
        <is>
          <t>893231628</t>
        </is>
      </c>
    </row>
    <row r="1679">
      <c r="A1679" t="inlineStr">
        <is>
          <t>No</t>
        </is>
      </c>
      <c r="B1679" t="inlineStr">
        <is>
          <t>QH96.8.E9 E93 1995</t>
        </is>
      </c>
      <c r="C1679" t="inlineStr">
        <is>
          <t>0                      QH 0096800E  9                  E  93          1995</t>
        </is>
      </c>
      <c r="D1679" t="inlineStr">
        <is>
          <t>Eutrophic shallow estuaries and lagoons / edited by Arthur J. McComb.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L1679" t="inlineStr">
        <is>
          <t>Boca Raton : CRC Press, c1995.</t>
        </is>
      </c>
      <c r="M1679" t="inlineStr">
        <is>
          <t>1995</t>
        </is>
      </c>
      <c r="O1679" t="inlineStr">
        <is>
          <t>eng</t>
        </is>
      </c>
      <c r="P1679" t="inlineStr">
        <is>
          <t>flu</t>
        </is>
      </c>
      <c r="R1679" t="inlineStr">
        <is>
          <t xml:space="preserve">QH </t>
        </is>
      </c>
      <c r="S1679" t="n">
        <v>12</v>
      </c>
      <c r="T1679" t="n">
        <v>12</v>
      </c>
      <c r="U1679" t="inlineStr">
        <is>
          <t>1998-12-10</t>
        </is>
      </c>
      <c r="V1679" t="inlineStr">
        <is>
          <t>1998-12-10</t>
        </is>
      </c>
      <c r="W1679" t="inlineStr">
        <is>
          <t>1997-03-04</t>
        </is>
      </c>
      <c r="X1679" t="inlineStr">
        <is>
          <t>1997-03-04</t>
        </is>
      </c>
      <c r="Y1679" t="n">
        <v>204</v>
      </c>
      <c r="Z1679" t="n">
        <v>141</v>
      </c>
      <c r="AA1679" t="n">
        <v>141</v>
      </c>
      <c r="AB1679" t="n">
        <v>1</v>
      </c>
      <c r="AC1679" t="n">
        <v>1</v>
      </c>
      <c r="AD1679" t="n">
        <v>3</v>
      </c>
      <c r="AE1679" t="n">
        <v>3</v>
      </c>
      <c r="AF1679" t="n">
        <v>1</v>
      </c>
      <c r="AG1679" t="n">
        <v>1</v>
      </c>
      <c r="AH1679" t="n">
        <v>1</v>
      </c>
      <c r="AI1679" t="n">
        <v>1</v>
      </c>
      <c r="AJ1679" t="n">
        <v>2</v>
      </c>
      <c r="AK1679" t="n">
        <v>2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No</t>
        </is>
      </c>
      <c r="AS1679">
        <f>HYPERLINK("https://creighton-primo.hosted.exlibrisgroup.com/primo-explore/search?tab=default_tab&amp;search_scope=EVERYTHING&amp;vid=01CRU&amp;lang=en_US&amp;offset=0&amp;query=any,contains,991002402629702656","Catalog Record")</f>
        <v/>
      </c>
      <c r="AT1679">
        <f>HYPERLINK("http://www.worldcat.org/oclc/31240361","WorldCat Record")</f>
        <v/>
      </c>
      <c r="AU1679" t="inlineStr">
        <is>
          <t>2286833:eng</t>
        </is>
      </c>
      <c r="AV1679" t="inlineStr">
        <is>
          <t>31240361</t>
        </is>
      </c>
      <c r="AW1679" t="inlineStr">
        <is>
          <t>991002402629702656</t>
        </is>
      </c>
      <c r="AX1679" t="inlineStr">
        <is>
          <t>991002402629702656</t>
        </is>
      </c>
      <c r="AY1679" t="inlineStr">
        <is>
          <t>2256388930002656</t>
        </is>
      </c>
      <c r="AZ1679" t="inlineStr">
        <is>
          <t>BOOK</t>
        </is>
      </c>
      <c r="BB1679" t="inlineStr">
        <is>
          <t>9780849368394</t>
        </is>
      </c>
      <c r="BC1679" t="inlineStr">
        <is>
          <t>32285002434263</t>
        </is>
      </c>
      <c r="BD1679" t="inlineStr">
        <is>
          <t>893257251</t>
        </is>
      </c>
    </row>
    <row r="1680">
      <c r="A1680" t="inlineStr">
        <is>
          <t>No</t>
        </is>
      </c>
      <c r="B1680" t="inlineStr">
        <is>
          <t>QH96.A1 I63 1967</t>
        </is>
      </c>
      <c r="C1680" t="inlineStr">
        <is>
          <t>0                      QH 0096000A  1                  I  63          1967</t>
        </is>
      </c>
      <c r="D1680" t="inlineStr">
        <is>
          <t>Eutrophication: causes, consequences, correctives; proceedings of a symposium.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International Symposium on Eutrophication (1967 : University of Wisconsin)</t>
        </is>
      </c>
      <c r="L1680" t="inlineStr">
        <is>
          <t>Washington, National Academy of Sciences, 1969.</t>
        </is>
      </c>
      <c r="M1680" t="inlineStr">
        <is>
          <t>1969</t>
        </is>
      </c>
      <c r="O1680" t="inlineStr">
        <is>
          <t>eng</t>
        </is>
      </c>
      <c r="P1680" t="inlineStr">
        <is>
          <t>dcu</t>
        </is>
      </c>
      <c r="R1680" t="inlineStr">
        <is>
          <t xml:space="preserve">QH </t>
        </is>
      </c>
      <c r="S1680" t="n">
        <v>25</v>
      </c>
      <c r="T1680" t="n">
        <v>25</v>
      </c>
      <c r="U1680" t="inlineStr">
        <is>
          <t>1999-11-07</t>
        </is>
      </c>
      <c r="V1680" t="inlineStr">
        <is>
          <t>1999-11-07</t>
        </is>
      </c>
      <c r="W1680" t="inlineStr">
        <is>
          <t>1991-10-02</t>
        </is>
      </c>
      <c r="X1680" t="inlineStr">
        <is>
          <t>1991-10-02</t>
        </is>
      </c>
      <c r="Y1680" t="n">
        <v>800</v>
      </c>
      <c r="Z1680" t="n">
        <v>664</v>
      </c>
      <c r="AA1680" t="n">
        <v>671</v>
      </c>
      <c r="AB1680" t="n">
        <v>5</v>
      </c>
      <c r="AC1680" t="n">
        <v>5</v>
      </c>
      <c r="AD1680" t="n">
        <v>20</v>
      </c>
      <c r="AE1680" t="n">
        <v>20</v>
      </c>
      <c r="AF1680" t="n">
        <v>9</v>
      </c>
      <c r="AG1680" t="n">
        <v>9</v>
      </c>
      <c r="AH1680" t="n">
        <v>5</v>
      </c>
      <c r="AI1680" t="n">
        <v>5</v>
      </c>
      <c r="AJ1680" t="n">
        <v>7</v>
      </c>
      <c r="AK1680" t="n">
        <v>7</v>
      </c>
      <c r="AL1680" t="n">
        <v>4</v>
      </c>
      <c r="AM1680" t="n">
        <v>4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HYPERLINK("http://catalog.hathitrust.org/Record/001490503","HathiTrust Record")</f>
        <v/>
      </c>
      <c r="AS1680">
        <f>HYPERLINK("https://creighton-primo.hosted.exlibrisgroup.com/primo-explore/search?tab=default_tab&amp;search_scope=EVERYTHING&amp;vid=01CRU&amp;lang=en_US&amp;offset=0&amp;query=any,contains,991000169909702656","Catalog Record")</f>
        <v/>
      </c>
      <c r="AT1680">
        <f>HYPERLINK("http://www.worldcat.org/oclc/61932","WorldCat Record")</f>
        <v/>
      </c>
      <c r="AU1680" t="inlineStr">
        <is>
          <t>203277410:eng</t>
        </is>
      </c>
      <c r="AV1680" t="inlineStr">
        <is>
          <t>61932</t>
        </is>
      </c>
      <c r="AW1680" t="inlineStr">
        <is>
          <t>991000169909702656</t>
        </is>
      </c>
      <c r="AX1680" t="inlineStr">
        <is>
          <t>991000169909702656</t>
        </is>
      </c>
      <c r="AY1680" t="inlineStr">
        <is>
          <t>2255171270002656</t>
        </is>
      </c>
      <c r="AZ1680" t="inlineStr">
        <is>
          <t>BOOK</t>
        </is>
      </c>
      <c r="BB1680" t="inlineStr">
        <is>
          <t>9780309017008</t>
        </is>
      </c>
      <c r="BC1680" t="inlineStr">
        <is>
          <t>32285000716364</t>
        </is>
      </c>
      <c r="BD1680" t="inlineStr">
        <is>
          <t>893877861</t>
        </is>
      </c>
    </row>
    <row r="1681">
      <c r="A1681" t="inlineStr">
        <is>
          <t>No</t>
        </is>
      </c>
      <c r="B1681" t="inlineStr">
        <is>
          <t>QH96.A3 C44 1989</t>
        </is>
      </c>
      <c r="C1681" t="inlineStr">
        <is>
          <t>0                      QH 0096000A  3                  C  44          1989</t>
        </is>
      </c>
      <c r="D1681" t="inlineStr">
        <is>
          <t>Chemical limnology, primary production, plankton, benthos and fish interactions : proceedings of the International Conference on Reservoir Limnology and Water Quality / eds. J.F. Talling, Z. Brandl and V. Straškrabová.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L1681" t="inlineStr">
        <is>
          <t>Stuttgart : Schweizerbartsche Verlagsbuchhandlung, 1989.</t>
        </is>
      </c>
      <c r="M1681" t="inlineStr">
        <is>
          <t>1989</t>
        </is>
      </c>
      <c r="O1681" t="inlineStr">
        <is>
          <t>eng</t>
        </is>
      </c>
      <c r="P1681" t="inlineStr">
        <is>
          <t xml:space="preserve">gw </t>
        </is>
      </c>
      <c r="Q1681" t="inlineStr">
        <is>
          <t>Archiv für Hydrobiologie ; Beiheft 33a</t>
        </is>
      </c>
      <c r="R1681" t="inlineStr">
        <is>
          <t xml:space="preserve">QH </t>
        </is>
      </c>
      <c r="S1681" t="n">
        <v>8</v>
      </c>
      <c r="T1681" t="n">
        <v>8</v>
      </c>
      <c r="U1681" t="inlineStr">
        <is>
          <t>1999-11-07</t>
        </is>
      </c>
      <c r="V1681" t="inlineStr">
        <is>
          <t>1999-11-07</t>
        </is>
      </c>
      <c r="W1681" t="inlineStr">
        <is>
          <t>1990-06-28</t>
        </is>
      </c>
      <c r="X1681" t="inlineStr">
        <is>
          <t>1990-06-28</t>
        </is>
      </c>
      <c r="Y1681" t="n">
        <v>9</v>
      </c>
      <c r="Z1681" t="n">
        <v>8</v>
      </c>
      <c r="AA1681" t="n">
        <v>8</v>
      </c>
      <c r="AB1681" t="n">
        <v>1</v>
      </c>
      <c r="AC1681" t="n">
        <v>1</v>
      </c>
      <c r="AD1681" t="n">
        <v>0</v>
      </c>
      <c r="AE1681" t="n">
        <v>0</v>
      </c>
      <c r="AF1681" t="n">
        <v>0</v>
      </c>
      <c r="AG1681" t="n">
        <v>0</v>
      </c>
      <c r="AH1681" t="n">
        <v>0</v>
      </c>
      <c r="AI1681" t="n">
        <v>0</v>
      </c>
      <c r="AJ1681" t="n">
        <v>0</v>
      </c>
      <c r="AK1681" t="n">
        <v>0</v>
      </c>
      <c r="AL1681" t="n">
        <v>0</v>
      </c>
      <c r="AM1681" t="n">
        <v>0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HYPERLINK("https://creighton-primo.hosted.exlibrisgroup.com/primo-explore/search?tab=default_tab&amp;search_scope=EVERYTHING&amp;vid=01CRU&amp;lang=en_US&amp;offset=0&amp;query=any,contains,991001647359702656","Catalog Record")</f>
        <v/>
      </c>
      <c r="AT1681">
        <f>HYPERLINK("http://www.worldcat.org/oclc/21073247","WorldCat Record")</f>
        <v/>
      </c>
      <c r="AU1681" t="inlineStr">
        <is>
          <t>350539885:eng</t>
        </is>
      </c>
      <c r="AV1681" t="inlineStr">
        <is>
          <t>21073247</t>
        </is>
      </c>
      <c r="AW1681" t="inlineStr">
        <is>
          <t>991001647359702656</t>
        </is>
      </c>
      <c r="AX1681" t="inlineStr">
        <is>
          <t>991001647359702656</t>
        </is>
      </c>
      <c r="AY1681" t="inlineStr">
        <is>
          <t>2260678150002656</t>
        </is>
      </c>
      <c r="AZ1681" t="inlineStr">
        <is>
          <t>BOOK</t>
        </is>
      </c>
      <c r="BB1681" t="inlineStr">
        <is>
          <t>9783510470334</t>
        </is>
      </c>
      <c r="BC1681" t="inlineStr">
        <is>
          <t>32285000206119</t>
        </is>
      </c>
      <c r="BD1681" t="inlineStr">
        <is>
          <t>893340571</t>
        </is>
      </c>
    </row>
    <row r="1682">
      <c r="A1682" t="inlineStr">
        <is>
          <t>No</t>
        </is>
      </c>
      <c r="B1682" t="inlineStr">
        <is>
          <t>QH96.A3 K49 1990</t>
        </is>
      </c>
      <c r="C1682" t="inlineStr">
        <is>
          <t>0                      QH 0096000A  3                  K  49          1990</t>
        </is>
      </c>
      <c r="D1682" t="inlineStr">
        <is>
          <t>Key factors of reservoir limnology, eutrophication, water quality and its prediction : proceedings of the International Conference on Reservoir Limnology and Water Quality / eds. O.T. Lind, V. Sládeček and V. Straškrabová.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L1682" t="inlineStr">
        <is>
          <t>Stuttgart : Schweizerbartsche Verlagsbuchhandlung, c1990.</t>
        </is>
      </c>
      <c r="M1682" t="inlineStr">
        <is>
          <t>1990</t>
        </is>
      </c>
      <c r="O1682" t="inlineStr">
        <is>
          <t>eng</t>
        </is>
      </c>
      <c r="P1682" t="inlineStr">
        <is>
          <t xml:space="preserve">gw </t>
        </is>
      </c>
      <c r="Q1682" t="inlineStr">
        <is>
          <t>Archiv für Hydrobiologie ; Beiheft 33, pt. 3</t>
        </is>
      </c>
      <c r="R1682" t="inlineStr">
        <is>
          <t xml:space="preserve">QH </t>
        </is>
      </c>
      <c r="S1682" t="n">
        <v>8</v>
      </c>
      <c r="T1682" t="n">
        <v>8</v>
      </c>
      <c r="U1682" t="inlineStr">
        <is>
          <t>1999-11-14</t>
        </is>
      </c>
      <c r="V1682" t="inlineStr">
        <is>
          <t>1999-11-14</t>
        </is>
      </c>
      <c r="W1682" t="inlineStr">
        <is>
          <t>1991-06-20</t>
        </is>
      </c>
      <c r="X1682" t="inlineStr">
        <is>
          <t>1991-06-20</t>
        </is>
      </c>
      <c r="Y1682" t="n">
        <v>12</v>
      </c>
      <c r="Z1682" t="n">
        <v>10</v>
      </c>
      <c r="AA1682" t="n">
        <v>10</v>
      </c>
      <c r="AB1682" t="n">
        <v>1</v>
      </c>
      <c r="AC1682" t="n">
        <v>1</v>
      </c>
      <c r="AD1682" t="n">
        <v>0</v>
      </c>
      <c r="AE1682" t="n">
        <v>0</v>
      </c>
      <c r="AF1682" t="n">
        <v>0</v>
      </c>
      <c r="AG1682" t="n">
        <v>0</v>
      </c>
      <c r="AH1682" t="n">
        <v>0</v>
      </c>
      <c r="AI1682" t="n">
        <v>0</v>
      </c>
      <c r="AJ1682" t="n">
        <v>0</v>
      </c>
      <c r="AK1682" t="n">
        <v>0</v>
      </c>
      <c r="AL1682" t="n">
        <v>0</v>
      </c>
      <c r="AM1682" t="n">
        <v>0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No</t>
        </is>
      </c>
      <c r="AS1682">
        <f>HYPERLINK("https://creighton-primo.hosted.exlibrisgroup.com/primo-explore/search?tab=default_tab&amp;search_scope=EVERYTHING&amp;vid=01CRU&amp;lang=en_US&amp;offset=0&amp;query=any,contains,991001777749702656","Catalog Record")</f>
        <v/>
      </c>
      <c r="AT1682">
        <f>HYPERLINK("http://www.worldcat.org/oclc/22425450","WorldCat Record")</f>
        <v/>
      </c>
      <c r="AU1682" t="inlineStr">
        <is>
          <t>350541373:eng</t>
        </is>
      </c>
      <c r="AV1682" t="inlineStr">
        <is>
          <t>22425450</t>
        </is>
      </c>
      <c r="AW1682" t="inlineStr">
        <is>
          <t>991001777749702656</t>
        </is>
      </c>
      <c r="AX1682" t="inlineStr">
        <is>
          <t>991001777749702656</t>
        </is>
      </c>
      <c r="AY1682" t="inlineStr">
        <is>
          <t>2270175440002656</t>
        </is>
      </c>
      <c r="AZ1682" t="inlineStr">
        <is>
          <t>BOOK</t>
        </is>
      </c>
      <c r="BB1682" t="inlineStr">
        <is>
          <t>9783510470341</t>
        </is>
      </c>
      <c r="BC1682" t="inlineStr">
        <is>
          <t>32285000657378</t>
        </is>
      </c>
      <c r="BD1682" t="inlineStr">
        <is>
          <t>893426855</t>
        </is>
      </c>
    </row>
    <row r="1683">
      <c r="A1683" t="inlineStr">
        <is>
          <t>No</t>
        </is>
      </c>
      <c r="B1683" t="inlineStr">
        <is>
          <t>QH96.A3 L34 1982</t>
        </is>
      </c>
      <c r="C1683" t="inlineStr">
        <is>
          <t>0                      QH 0096000A  3                  L  34          1982</t>
        </is>
      </c>
      <c r="D1683" t="inlineStr">
        <is>
          <t>Lakes and water management : proceedings of the 30 years jubilee symposium of the Finnish Limnological Society, held in Helsinki, Finland, 22-23 September 1980 / edited by V. Ilmavirta, R.I. Jones, and P.-E. Persson.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L1683" t="inlineStr">
        <is>
          <t>The Hague ; Boston : W. Junk ; Hingham, MA : Distributors for the U.S. and Canada, Kluwer Boston, 1982.</t>
        </is>
      </c>
      <c r="M1683" t="inlineStr">
        <is>
          <t>1982</t>
        </is>
      </c>
      <c r="O1683" t="inlineStr">
        <is>
          <t>eng</t>
        </is>
      </c>
      <c r="P1683" t="inlineStr">
        <is>
          <t xml:space="preserve">ne </t>
        </is>
      </c>
      <c r="Q1683" t="inlineStr">
        <is>
          <t>Developments in hydrobiology ; 7</t>
        </is>
      </c>
      <c r="R1683" t="inlineStr">
        <is>
          <t xml:space="preserve">QH </t>
        </is>
      </c>
      <c r="S1683" t="n">
        <v>4</v>
      </c>
      <c r="T1683" t="n">
        <v>4</v>
      </c>
      <c r="U1683" t="inlineStr">
        <is>
          <t>1999-11-07</t>
        </is>
      </c>
      <c r="V1683" t="inlineStr">
        <is>
          <t>1999-11-07</t>
        </is>
      </c>
      <c r="W1683" t="inlineStr">
        <is>
          <t>1991-12-09</t>
        </is>
      </c>
      <c r="X1683" t="inlineStr">
        <is>
          <t>1991-12-09</t>
        </is>
      </c>
      <c r="Y1683" t="n">
        <v>88</v>
      </c>
      <c r="Z1683" t="n">
        <v>58</v>
      </c>
      <c r="AA1683" t="n">
        <v>61</v>
      </c>
      <c r="AB1683" t="n">
        <v>1</v>
      </c>
      <c r="AC1683" t="n">
        <v>1</v>
      </c>
      <c r="AD1683" t="n">
        <v>1</v>
      </c>
      <c r="AE1683" t="n">
        <v>1</v>
      </c>
      <c r="AF1683" t="n">
        <v>0</v>
      </c>
      <c r="AG1683" t="n">
        <v>0</v>
      </c>
      <c r="AH1683" t="n">
        <v>1</v>
      </c>
      <c r="AI1683" t="n">
        <v>1</v>
      </c>
      <c r="AJ1683" t="n">
        <v>1</v>
      </c>
      <c r="AK1683" t="n">
        <v>1</v>
      </c>
      <c r="AL1683" t="n">
        <v>0</v>
      </c>
      <c r="AM1683" t="n">
        <v>0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Yes</t>
        </is>
      </c>
      <c r="AR1683">
        <f>HYPERLINK("http://catalog.hathitrust.org/Record/000330080","HathiTrust Record")</f>
        <v/>
      </c>
      <c r="AS1683">
        <f>HYPERLINK("https://creighton-primo.hosted.exlibrisgroup.com/primo-explore/search?tab=default_tab&amp;search_scope=EVERYTHING&amp;vid=01CRU&amp;lang=en_US&amp;offset=0&amp;query=any,contains,991005198619702656","Catalog Record")</f>
        <v/>
      </c>
      <c r="AT1683">
        <f>HYPERLINK("http://www.worldcat.org/oclc/8052912","WorldCat Record")</f>
        <v/>
      </c>
      <c r="AU1683" t="inlineStr">
        <is>
          <t>806987769:eng</t>
        </is>
      </c>
      <c r="AV1683" t="inlineStr">
        <is>
          <t>8052912</t>
        </is>
      </c>
      <c r="AW1683" t="inlineStr">
        <is>
          <t>991005198619702656</t>
        </is>
      </c>
      <c r="AX1683" t="inlineStr">
        <is>
          <t>991005198619702656</t>
        </is>
      </c>
      <c r="AY1683" t="inlineStr">
        <is>
          <t>2256213060002656</t>
        </is>
      </c>
      <c r="AZ1683" t="inlineStr">
        <is>
          <t>BOOK</t>
        </is>
      </c>
      <c r="BB1683" t="inlineStr">
        <is>
          <t>9789061937586</t>
        </is>
      </c>
      <c r="BC1683" t="inlineStr">
        <is>
          <t>32285000872464</t>
        </is>
      </c>
      <c r="BD1683" t="inlineStr">
        <is>
          <t>893801899</t>
        </is>
      </c>
    </row>
    <row r="1684">
      <c r="A1684" t="inlineStr">
        <is>
          <t>No</t>
        </is>
      </c>
      <c r="B1684" t="inlineStr">
        <is>
          <t>QH96.A3 P49 1989</t>
        </is>
      </c>
      <c r="C1684" t="inlineStr">
        <is>
          <t>0                      QH 0096000A  3                  P  49          1989</t>
        </is>
      </c>
      <c r="D1684" t="inlineStr">
        <is>
          <t>Physical limnology, mathematical models and microbial decomposition : proceedings of the International Conference on Reservoir Limnology and Water Quality / eds. B. Henderson-Sellers and V. Straškrabová.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L1684" t="inlineStr">
        <is>
          <t>Stuttgart : E. Schweizerbartsche Verlagsbuchhandlung, 1989.</t>
        </is>
      </c>
      <c r="M1684" t="inlineStr">
        <is>
          <t>1989</t>
        </is>
      </c>
      <c r="O1684" t="inlineStr">
        <is>
          <t>eng</t>
        </is>
      </c>
      <c r="P1684" t="inlineStr">
        <is>
          <t xml:space="preserve">gw </t>
        </is>
      </c>
      <c r="Q1684" t="inlineStr">
        <is>
          <t>Archiv für Hydrobiologie. Beiheft ; 33</t>
        </is>
      </c>
      <c r="R1684" t="inlineStr">
        <is>
          <t xml:space="preserve">QH </t>
        </is>
      </c>
      <c r="S1684" t="n">
        <v>2</v>
      </c>
      <c r="T1684" t="n">
        <v>2</v>
      </c>
      <c r="U1684" t="inlineStr">
        <is>
          <t>2001-05-21</t>
        </is>
      </c>
      <c r="V1684" t="inlineStr">
        <is>
          <t>2001-05-21</t>
        </is>
      </c>
      <c r="W1684" t="inlineStr">
        <is>
          <t>1990-06-29</t>
        </is>
      </c>
      <c r="X1684" t="inlineStr">
        <is>
          <t>1990-06-29</t>
        </is>
      </c>
      <c r="Y1684" t="n">
        <v>12</v>
      </c>
      <c r="Z1684" t="n">
        <v>9</v>
      </c>
      <c r="AA1684" t="n">
        <v>9</v>
      </c>
      <c r="AB1684" t="n">
        <v>1</v>
      </c>
      <c r="AC1684" t="n">
        <v>1</v>
      </c>
      <c r="AD1684" t="n">
        <v>0</v>
      </c>
      <c r="AE1684" t="n">
        <v>0</v>
      </c>
      <c r="AF1684" t="n">
        <v>0</v>
      </c>
      <c r="AG1684" t="n">
        <v>0</v>
      </c>
      <c r="AH1684" t="n">
        <v>0</v>
      </c>
      <c r="AI1684" t="n">
        <v>0</v>
      </c>
      <c r="AJ1684" t="n">
        <v>0</v>
      </c>
      <c r="AK1684" t="n">
        <v>0</v>
      </c>
      <c r="AL1684" t="n">
        <v>0</v>
      </c>
      <c r="AM1684" t="n">
        <v>0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HYPERLINK("https://creighton-primo.hosted.exlibrisgroup.com/primo-explore/search?tab=default_tab&amp;search_scope=EVERYTHING&amp;vid=01CRU&amp;lang=en_US&amp;offset=0&amp;query=any,contains,991001637039702656","Catalog Record")</f>
        <v/>
      </c>
      <c r="AT1684">
        <f>HYPERLINK("http://www.worldcat.org/oclc/20986018","WorldCat Record")</f>
        <v/>
      </c>
      <c r="AU1684" t="inlineStr">
        <is>
          <t>3768782649:eng</t>
        </is>
      </c>
      <c r="AV1684" t="inlineStr">
        <is>
          <t>20986018</t>
        </is>
      </c>
      <c r="AW1684" t="inlineStr">
        <is>
          <t>991001637039702656</t>
        </is>
      </c>
      <c r="AX1684" t="inlineStr">
        <is>
          <t>991001637039702656</t>
        </is>
      </c>
      <c r="AY1684" t="inlineStr">
        <is>
          <t>2265685210002656</t>
        </is>
      </c>
      <c r="AZ1684" t="inlineStr">
        <is>
          <t>BOOK</t>
        </is>
      </c>
      <c r="BB1684" t="inlineStr">
        <is>
          <t>9783510470310</t>
        </is>
      </c>
      <c r="BC1684" t="inlineStr">
        <is>
          <t>32285000206093</t>
        </is>
      </c>
      <c r="BD1684" t="inlineStr">
        <is>
          <t>893340564</t>
        </is>
      </c>
    </row>
    <row r="1685">
      <c r="A1685" t="inlineStr">
        <is>
          <t>No</t>
        </is>
      </c>
      <c r="B1685" t="inlineStr">
        <is>
          <t>QH98 .H82</t>
        </is>
      </c>
      <c r="C1685" t="inlineStr">
        <is>
          <t>0                      QH 0098000H  82</t>
        </is>
      </c>
      <c r="D1685" t="inlineStr">
        <is>
          <t>A treatise on limnology.</t>
        </is>
      </c>
      <c r="E1685" t="inlineStr">
        <is>
          <t>V.2</t>
        </is>
      </c>
      <c r="F1685" t="inlineStr">
        <is>
          <t>Yes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Hutchinson, G. Evelyn (George Evelyn), 1903-1991.</t>
        </is>
      </c>
      <c r="L1685" t="inlineStr">
        <is>
          <t>New York : Wiley, [1957-1993]</t>
        </is>
      </c>
      <c r="M1685" t="inlineStr">
        <is>
          <t>1957</t>
        </is>
      </c>
      <c r="O1685" t="inlineStr">
        <is>
          <t>eng</t>
        </is>
      </c>
      <c r="P1685" t="inlineStr">
        <is>
          <t>nyu</t>
        </is>
      </c>
      <c r="R1685" t="inlineStr">
        <is>
          <t xml:space="preserve">QH </t>
        </is>
      </c>
      <c r="S1685" t="n">
        <v>21</v>
      </c>
      <c r="T1685" t="n">
        <v>88</v>
      </c>
      <c r="U1685" t="inlineStr">
        <is>
          <t>1999-11-06</t>
        </is>
      </c>
      <c r="V1685" t="inlineStr">
        <is>
          <t>1999-11-11</t>
        </is>
      </c>
      <c r="W1685" t="inlineStr">
        <is>
          <t>1991-10-02</t>
        </is>
      </c>
      <c r="X1685" t="inlineStr">
        <is>
          <t>1994-07-15</t>
        </is>
      </c>
      <c r="Y1685" t="n">
        <v>1141</v>
      </c>
      <c r="Z1685" t="n">
        <v>963</v>
      </c>
      <c r="AA1685" t="n">
        <v>971</v>
      </c>
      <c r="AB1685" t="n">
        <v>7</v>
      </c>
      <c r="AC1685" t="n">
        <v>7</v>
      </c>
      <c r="AD1685" t="n">
        <v>36</v>
      </c>
      <c r="AE1685" t="n">
        <v>36</v>
      </c>
      <c r="AF1685" t="n">
        <v>14</v>
      </c>
      <c r="AG1685" t="n">
        <v>14</v>
      </c>
      <c r="AH1685" t="n">
        <v>6</v>
      </c>
      <c r="AI1685" t="n">
        <v>6</v>
      </c>
      <c r="AJ1685" t="n">
        <v>18</v>
      </c>
      <c r="AK1685" t="n">
        <v>18</v>
      </c>
      <c r="AL1685" t="n">
        <v>6</v>
      </c>
      <c r="AM1685" t="n">
        <v>6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Yes</t>
        </is>
      </c>
      <c r="AR1685">
        <f>HYPERLINK("http://catalog.hathitrust.org/Record/000695024","HathiTrust Record")</f>
        <v/>
      </c>
      <c r="AS1685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5">
        <f>HYPERLINK("http://www.worldcat.org/oclc/271888","WorldCat Record")</f>
        <v/>
      </c>
      <c r="AU1685" t="inlineStr">
        <is>
          <t>3858723159:eng</t>
        </is>
      </c>
      <c r="AV1685" t="inlineStr">
        <is>
          <t>271888</t>
        </is>
      </c>
      <c r="AW1685" t="inlineStr">
        <is>
          <t>991002149769702656</t>
        </is>
      </c>
      <c r="AX1685" t="inlineStr">
        <is>
          <t>991002149769702656</t>
        </is>
      </c>
      <c r="AY1685" t="inlineStr">
        <is>
          <t>2264221240002656</t>
        </is>
      </c>
      <c r="AZ1685" t="inlineStr">
        <is>
          <t>BOOK</t>
        </is>
      </c>
      <c r="BC1685" t="inlineStr">
        <is>
          <t>32285000716406</t>
        </is>
      </c>
      <c r="BD1685" t="inlineStr">
        <is>
          <t>893316449</t>
        </is>
      </c>
    </row>
    <row r="1686">
      <c r="A1686" t="inlineStr">
        <is>
          <t>No</t>
        </is>
      </c>
      <c r="B1686" t="inlineStr">
        <is>
          <t>QH98 .H82</t>
        </is>
      </c>
      <c r="C1686" t="inlineStr">
        <is>
          <t>0                      QH 0098000H  82</t>
        </is>
      </c>
      <c r="D1686" t="inlineStr">
        <is>
          <t>A treatise on limnology.</t>
        </is>
      </c>
      <c r="E1686" t="inlineStr">
        <is>
          <t>V.3</t>
        </is>
      </c>
      <c r="F1686" t="inlineStr">
        <is>
          <t>Yes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Hutchinson, G. Evelyn (George Evelyn), 1903-1991.</t>
        </is>
      </c>
      <c r="L1686" t="inlineStr">
        <is>
          <t>New York : Wiley, [1957-1993]</t>
        </is>
      </c>
      <c r="M1686" t="inlineStr">
        <is>
          <t>1957</t>
        </is>
      </c>
      <c r="O1686" t="inlineStr">
        <is>
          <t>eng</t>
        </is>
      </c>
      <c r="P1686" t="inlineStr">
        <is>
          <t>nyu</t>
        </is>
      </c>
      <c r="R1686" t="inlineStr">
        <is>
          <t xml:space="preserve">QH </t>
        </is>
      </c>
      <c r="S1686" t="n">
        <v>4</v>
      </c>
      <c r="T1686" t="n">
        <v>88</v>
      </c>
      <c r="U1686" t="inlineStr">
        <is>
          <t>1999-11-11</t>
        </is>
      </c>
      <c r="V1686" t="inlineStr">
        <is>
          <t>1999-11-11</t>
        </is>
      </c>
      <c r="W1686" t="inlineStr">
        <is>
          <t>1994-07-15</t>
        </is>
      </c>
      <c r="X1686" t="inlineStr">
        <is>
          <t>1994-07-15</t>
        </is>
      </c>
      <c r="Y1686" t="n">
        <v>1141</v>
      </c>
      <c r="Z1686" t="n">
        <v>963</v>
      </c>
      <c r="AA1686" t="n">
        <v>971</v>
      </c>
      <c r="AB1686" t="n">
        <v>7</v>
      </c>
      <c r="AC1686" t="n">
        <v>7</v>
      </c>
      <c r="AD1686" t="n">
        <v>36</v>
      </c>
      <c r="AE1686" t="n">
        <v>36</v>
      </c>
      <c r="AF1686" t="n">
        <v>14</v>
      </c>
      <c r="AG1686" t="n">
        <v>14</v>
      </c>
      <c r="AH1686" t="n">
        <v>6</v>
      </c>
      <c r="AI1686" t="n">
        <v>6</v>
      </c>
      <c r="AJ1686" t="n">
        <v>18</v>
      </c>
      <c r="AK1686" t="n">
        <v>18</v>
      </c>
      <c r="AL1686" t="n">
        <v>6</v>
      </c>
      <c r="AM1686" t="n">
        <v>6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Yes</t>
        </is>
      </c>
      <c r="AR1686">
        <f>HYPERLINK("http://catalog.hathitrust.org/Record/000695024","HathiTrust Record")</f>
        <v/>
      </c>
      <c r="AS1686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6">
        <f>HYPERLINK("http://www.worldcat.org/oclc/271888","WorldCat Record")</f>
        <v/>
      </c>
      <c r="AU1686" t="inlineStr">
        <is>
          <t>3858723159:eng</t>
        </is>
      </c>
      <c r="AV1686" t="inlineStr">
        <is>
          <t>271888</t>
        </is>
      </c>
      <c r="AW1686" t="inlineStr">
        <is>
          <t>991002149769702656</t>
        </is>
      </c>
      <c r="AX1686" t="inlineStr">
        <is>
          <t>991002149769702656</t>
        </is>
      </c>
      <c r="AY1686" t="inlineStr">
        <is>
          <t>2264221240002656</t>
        </is>
      </c>
      <c r="AZ1686" t="inlineStr">
        <is>
          <t>BOOK</t>
        </is>
      </c>
      <c r="BC1686" t="inlineStr">
        <is>
          <t>32285001936771</t>
        </is>
      </c>
      <c r="BD1686" t="inlineStr">
        <is>
          <t>893341086</t>
        </is>
      </c>
    </row>
    <row r="1687">
      <c r="A1687" t="inlineStr">
        <is>
          <t>No</t>
        </is>
      </c>
      <c r="B1687" t="inlineStr">
        <is>
          <t>QH98 .H82</t>
        </is>
      </c>
      <c r="C1687" t="inlineStr">
        <is>
          <t>0                      QH 0098000H  82</t>
        </is>
      </c>
      <c r="D1687" t="inlineStr">
        <is>
          <t>A treatise on limnology.</t>
        </is>
      </c>
      <c r="E1687" t="inlineStr">
        <is>
          <t>V.4</t>
        </is>
      </c>
      <c r="F1687" t="inlineStr">
        <is>
          <t>Yes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K1687" t="inlineStr">
        <is>
          <t>Hutchinson, G. Evelyn (George Evelyn), 1903-1991.</t>
        </is>
      </c>
      <c r="L1687" t="inlineStr">
        <is>
          <t>New York : Wiley, [1957-1993]</t>
        </is>
      </c>
      <c r="M1687" t="inlineStr">
        <is>
          <t>1957</t>
        </is>
      </c>
      <c r="O1687" t="inlineStr">
        <is>
          <t>eng</t>
        </is>
      </c>
      <c r="P1687" t="inlineStr">
        <is>
          <t>nyu</t>
        </is>
      </c>
      <c r="R1687" t="inlineStr">
        <is>
          <t xml:space="preserve">QH </t>
        </is>
      </c>
      <c r="S1687" t="n">
        <v>5</v>
      </c>
      <c r="T1687" t="n">
        <v>88</v>
      </c>
      <c r="U1687" t="inlineStr">
        <is>
          <t>1999-11-11</t>
        </is>
      </c>
      <c r="V1687" t="inlineStr">
        <is>
          <t>1999-11-11</t>
        </is>
      </c>
      <c r="W1687" t="inlineStr">
        <is>
          <t>1994-07-15</t>
        </is>
      </c>
      <c r="X1687" t="inlineStr">
        <is>
          <t>1994-07-15</t>
        </is>
      </c>
      <c r="Y1687" t="n">
        <v>1141</v>
      </c>
      <c r="Z1687" t="n">
        <v>963</v>
      </c>
      <c r="AA1687" t="n">
        <v>971</v>
      </c>
      <c r="AB1687" t="n">
        <v>7</v>
      </c>
      <c r="AC1687" t="n">
        <v>7</v>
      </c>
      <c r="AD1687" t="n">
        <v>36</v>
      </c>
      <c r="AE1687" t="n">
        <v>36</v>
      </c>
      <c r="AF1687" t="n">
        <v>14</v>
      </c>
      <c r="AG1687" t="n">
        <v>14</v>
      </c>
      <c r="AH1687" t="n">
        <v>6</v>
      </c>
      <c r="AI1687" t="n">
        <v>6</v>
      </c>
      <c r="AJ1687" t="n">
        <v>18</v>
      </c>
      <c r="AK1687" t="n">
        <v>18</v>
      </c>
      <c r="AL1687" t="n">
        <v>6</v>
      </c>
      <c r="AM1687" t="n">
        <v>6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Yes</t>
        </is>
      </c>
      <c r="AR1687">
        <f>HYPERLINK("http://catalog.hathitrust.org/Record/000695024","HathiTrust Record")</f>
        <v/>
      </c>
      <c r="AS1687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7">
        <f>HYPERLINK("http://www.worldcat.org/oclc/271888","WorldCat Record")</f>
        <v/>
      </c>
      <c r="AU1687" t="inlineStr">
        <is>
          <t>3858723159:eng</t>
        </is>
      </c>
      <c r="AV1687" t="inlineStr">
        <is>
          <t>271888</t>
        </is>
      </c>
      <c r="AW1687" t="inlineStr">
        <is>
          <t>991002149769702656</t>
        </is>
      </c>
      <c r="AX1687" t="inlineStr">
        <is>
          <t>991002149769702656</t>
        </is>
      </c>
      <c r="AY1687" t="inlineStr">
        <is>
          <t>2264221240002656</t>
        </is>
      </c>
      <c r="AZ1687" t="inlineStr">
        <is>
          <t>BOOK</t>
        </is>
      </c>
      <c r="BC1687" t="inlineStr">
        <is>
          <t>32285001936789</t>
        </is>
      </c>
      <c r="BD1687" t="inlineStr">
        <is>
          <t>893341085</t>
        </is>
      </c>
    </row>
    <row r="1688">
      <c r="A1688" t="inlineStr">
        <is>
          <t>No</t>
        </is>
      </c>
      <c r="B1688" t="inlineStr">
        <is>
          <t>QH98 .H82</t>
        </is>
      </c>
      <c r="C1688" t="inlineStr">
        <is>
          <t>0                      QH 0098000H  82</t>
        </is>
      </c>
      <c r="D1688" t="inlineStr">
        <is>
          <t>A treatise on limnology.</t>
        </is>
      </c>
      <c r="E1688" t="inlineStr">
        <is>
          <t>V.1</t>
        </is>
      </c>
      <c r="F1688" t="inlineStr">
        <is>
          <t>Yes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Hutchinson, G. Evelyn (George Evelyn), 1903-1991.</t>
        </is>
      </c>
      <c r="L1688" t="inlineStr">
        <is>
          <t>New York : Wiley, [1957-1993]</t>
        </is>
      </c>
      <c r="M1688" t="inlineStr">
        <is>
          <t>1957</t>
        </is>
      </c>
      <c r="O1688" t="inlineStr">
        <is>
          <t>eng</t>
        </is>
      </c>
      <c r="P1688" t="inlineStr">
        <is>
          <t>nyu</t>
        </is>
      </c>
      <c r="R1688" t="inlineStr">
        <is>
          <t xml:space="preserve">QH </t>
        </is>
      </c>
      <c r="S1688" t="n">
        <v>58</v>
      </c>
      <c r="T1688" t="n">
        <v>88</v>
      </c>
      <c r="U1688" t="inlineStr">
        <is>
          <t>1999-11-11</t>
        </is>
      </c>
      <c r="V1688" t="inlineStr">
        <is>
          <t>1999-11-11</t>
        </is>
      </c>
      <c r="W1688" t="inlineStr">
        <is>
          <t>1991-10-02</t>
        </is>
      </c>
      <c r="X1688" t="inlineStr">
        <is>
          <t>1994-07-15</t>
        </is>
      </c>
      <c r="Y1688" t="n">
        <v>1141</v>
      </c>
      <c r="Z1688" t="n">
        <v>963</v>
      </c>
      <c r="AA1688" t="n">
        <v>971</v>
      </c>
      <c r="AB1688" t="n">
        <v>7</v>
      </c>
      <c r="AC1688" t="n">
        <v>7</v>
      </c>
      <c r="AD1688" t="n">
        <v>36</v>
      </c>
      <c r="AE1688" t="n">
        <v>36</v>
      </c>
      <c r="AF1688" t="n">
        <v>14</v>
      </c>
      <c r="AG1688" t="n">
        <v>14</v>
      </c>
      <c r="AH1688" t="n">
        <v>6</v>
      </c>
      <c r="AI1688" t="n">
        <v>6</v>
      </c>
      <c r="AJ1688" t="n">
        <v>18</v>
      </c>
      <c r="AK1688" t="n">
        <v>18</v>
      </c>
      <c r="AL1688" t="n">
        <v>6</v>
      </c>
      <c r="AM1688" t="n">
        <v>6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Yes</t>
        </is>
      </c>
      <c r="AR1688">
        <f>HYPERLINK("http://catalog.hathitrust.org/Record/000695024","HathiTrust Record")</f>
        <v/>
      </c>
      <c r="AS1688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8">
        <f>HYPERLINK("http://www.worldcat.org/oclc/271888","WorldCat Record")</f>
        <v/>
      </c>
      <c r="AU1688" t="inlineStr">
        <is>
          <t>3858723159:eng</t>
        </is>
      </c>
      <c r="AV1688" t="inlineStr">
        <is>
          <t>271888</t>
        </is>
      </c>
      <c r="AW1688" t="inlineStr">
        <is>
          <t>991002149769702656</t>
        </is>
      </c>
      <c r="AX1688" t="inlineStr">
        <is>
          <t>991002149769702656</t>
        </is>
      </c>
      <c r="AY1688" t="inlineStr">
        <is>
          <t>2264221240002656</t>
        </is>
      </c>
      <c r="AZ1688" t="inlineStr">
        <is>
          <t>BOOK</t>
        </is>
      </c>
      <c r="BC1688" t="inlineStr">
        <is>
          <t>32285000716398</t>
        </is>
      </c>
      <c r="BD1688" t="inlineStr">
        <is>
          <t>893334983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